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14-06-2023" state="visible" r:id="rId4"/>
  </sheets>
  <calcPr calcId="171027"/>
</workbook>
</file>

<file path=xl/sharedStrings.xml><?xml version="1.0" encoding="utf-8"?>
<sst xmlns="http://schemas.openxmlformats.org/spreadsheetml/2006/main" count="6448" uniqueCount="841">
  <si>
    <t/>
  </si>
  <si>
    <t>PCS</t>
  </si>
  <si>
    <t>Carat</t>
  </si>
  <si>
    <t>Rap.($)</t>
  </si>
  <si>
    <t xml:space="preserve"> Disc %</t>
  </si>
  <si>
    <t xml:space="preserve"> Price/ct</t>
  </si>
  <si>
    <t>Amount</t>
  </si>
  <si>
    <t>Rap Avg</t>
  </si>
  <si>
    <t>TOTAL</t>
  </si>
  <si>
    <t>SELECTED</t>
  </si>
  <si>
    <t>SrNo</t>
  </si>
  <si>
    <t>Packet No</t>
  </si>
  <si>
    <t>DNA</t>
  </si>
  <si>
    <t>Shape</t>
  </si>
  <si>
    <t>Color</t>
  </si>
  <si>
    <t>Clarity</t>
  </si>
  <si>
    <t xml:space="preserve">Cut </t>
  </si>
  <si>
    <t xml:space="preserve"> Pol</t>
  </si>
  <si>
    <t>Sym</t>
  </si>
  <si>
    <t>Fls</t>
  </si>
  <si>
    <t>Measurement</t>
  </si>
  <si>
    <t>Ratio</t>
  </si>
  <si>
    <t>Depth%</t>
  </si>
  <si>
    <t>Table%</t>
  </si>
  <si>
    <t>Lab</t>
  </si>
  <si>
    <t>Report No</t>
  </si>
  <si>
    <t>Comments</t>
  </si>
  <si>
    <t>Key To Symbols</t>
  </si>
  <si>
    <t>TI</t>
  </si>
  <si>
    <t>Shade</t>
  </si>
  <si>
    <t>SI</t>
  </si>
  <si>
    <t>TB</t>
  </si>
  <si>
    <t>SB</t>
  </si>
  <si>
    <t>TO</t>
  </si>
  <si>
    <t>SO</t>
  </si>
  <si>
    <t>11059-63</t>
  </si>
  <si>
    <t>ROUND</t>
  </si>
  <si>
    <t>D</t>
  </si>
  <si>
    <t>VS1</t>
  </si>
  <si>
    <t>EX</t>
  </si>
  <si>
    <t>NON</t>
  </si>
  <si>
    <t>7.3*7.26*4.56</t>
  </si>
  <si>
    <t>GIA</t>
  </si>
  <si>
    <t>-</t>
  </si>
  <si>
    <t>Needle  Feather  Pinpoint  Indented Natural</t>
  </si>
  <si>
    <t>SPR1</t>
  </si>
  <si>
    <t>FR1</t>
  </si>
  <si>
    <t>MINOR BLACK</t>
  </si>
  <si>
    <t>NONE</t>
  </si>
  <si>
    <t>11116-38</t>
  </si>
  <si>
    <t>7.3*7.26*4.57</t>
  </si>
  <si>
    <t>Cloud  Crystal  Feather  Needle  Indented Natural</t>
  </si>
  <si>
    <t xml:space="preserve">PINPOINT </t>
  </si>
  <si>
    <t>11286-110</t>
  </si>
  <si>
    <t>7.38*7.34*4.61</t>
  </si>
  <si>
    <t>Feather  Needle  Cloud  Pinpoint</t>
  </si>
  <si>
    <t>21149-1</t>
  </si>
  <si>
    <t>8.08*8.05*5.04</t>
  </si>
  <si>
    <t>Crystal  Cloud</t>
  </si>
  <si>
    <t>CRL1</t>
  </si>
  <si>
    <t>21001-68</t>
  </si>
  <si>
    <t>E</t>
  </si>
  <si>
    <t>7.3*7.25*4.55</t>
  </si>
  <si>
    <t>Feather  Pinpoint</t>
  </si>
  <si>
    <t>PP1</t>
  </si>
  <si>
    <t>11274-8</t>
  </si>
  <si>
    <t>7.32*7.27*4.56</t>
  </si>
  <si>
    <t>Crystal  Feather  Needle</t>
  </si>
  <si>
    <t>141404-16</t>
  </si>
  <si>
    <t>7.33*7.28*4.55</t>
  </si>
  <si>
    <t>21098-34</t>
  </si>
  <si>
    <t>7.4*7.36*4.54</t>
  </si>
  <si>
    <t>Cloud</t>
  </si>
  <si>
    <t>PIN POINT BLACK</t>
  </si>
  <si>
    <t>11088-53</t>
  </si>
  <si>
    <t>7.35*7.32*4.59</t>
  </si>
  <si>
    <t>Cloud  Needle</t>
  </si>
  <si>
    <t>11051-10</t>
  </si>
  <si>
    <t>7.47*7.45*4.57</t>
  </si>
  <si>
    <t>Crystal  Feather  Pinpoint</t>
  </si>
  <si>
    <t>21031-29</t>
  </si>
  <si>
    <t>7.67*7.63*4.74</t>
  </si>
  <si>
    <t>Cloud  Feather  Natural</t>
  </si>
  <si>
    <t>21120-20</t>
  </si>
  <si>
    <t>7.65*7.6*4.74</t>
  </si>
  <si>
    <t>Feather  Cloud  Pinpoint</t>
  </si>
  <si>
    <t>21140-18</t>
  </si>
  <si>
    <t>7.65*7.62*4.75</t>
  </si>
  <si>
    <t>Crystal  Feather  Cloud  Needle</t>
  </si>
  <si>
    <t>21067-11</t>
  </si>
  <si>
    <t>FNT</t>
  </si>
  <si>
    <t>8.05*8*5.02</t>
  </si>
  <si>
    <t>Crystal  Needle  Cloud  Natural</t>
  </si>
  <si>
    <t>21067-29</t>
  </si>
  <si>
    <t>MED</t>
  </si>
  <si>
    <t>9.22*9.19*5.77</t>
  </si>
  <si>
    <t>Crystal  Needle</t>
  </si>
  <si>
    <t>21042-2</t>
  </si>
  <si>
    <t>10.18*10.13*6.34</t>
  </si>
  <si>
    <t>Cloud  Feather  Pinpoint</t>
  </si>
  <si>
    <t>21114-15</t>
  </si>
  <si>
    <t>F</t>
  </si>
  <si>
    <t>7.32*7.27*4.57</t>
  </si>
  <si>
    <t>UH-4</t>
  </si>
  <si>
    <t>7.35*7.31*4.59</t>
  </si>
  <si>
    <t>Crystal  Pinpoint  Indented Natural  Natural</t>
  </si>
  <si>
    <t>11275-87</t>
  </si>
  <si>
    <t>7.35*7.3*4.57</t>
  </si>
  <si>
    <t>21108-51</t>
  </si>
  <si>
    <t>7.62*7.59*4.72</t>
  </si>
  <si>
    <t>21140-13</t>
  </si>
  <si>
    <t>7.61*7.56*4.75</t>
  </si>
  <si>
    <t>Feather  Needle  Pinpoint</t>
  </si>
  <si>
    <t>21001-87</t>
  </si>
  <si>
    <t>7.75*7.69*4.84</t>
  </si>
  <si>
    <t>Feather  Pinpoint  Natural</t>
  </si>
  <si>
    <t>11235-22</t>
  </si>
  <si>
    <t>8.2*8.14*4.87</t>
  </si>
  <si>
    <t>11275-73</t>
  </si>
  <si>
    <t>8.05*8.01*5.02</t>
  </si>
  <si>
    <t>11284-1</t>
  </si>
  <si>
    <t>8.1*8.05*4.98</t>
  </si>
  <si>
    <t>Crystal  Feather  Needle  Pinpoint</t>
  </si>
  <si>
    <t>21031-18</t>
  </si>
  <si>
    <t>8.08*8.03*5.02</t>
  </si>
  <si>
    <t>Crystal  Needle  Pinpoint</t>
  </si>
  <si>
    <t>12068-27</t>
  </si>
  <si>
    <t>8.23*8.2*4.96</t>
  </si>
  <si>
    <t>Crystal  Cloud  Feather  Needle</t>
  </si>
  <si>
    <t>11253-2</t>
  </si>
  <si>
    <t>8.66*8.61*5.4</t>
  </si>
  <si>
    <t>Crystal  Pinpoint  Needle</t>
  </si>
  <si>
    <t>21137-6</t>
  </si>
  <si>
    <t>8.7*8.66*5.4</t>
  </si>
  <si>
    <t>Cloud  Feather</t>
  </si>
  <si>
    <t>21067-30</t>
  </si>
  <si>
    <t>9.06*9.02*5.51</t>
  </si>
  <si>
    <t>21139-6</t>
  </si>
  <si>
    <t>G</t>
  </si>
  <si>
    <t>7.39*7.34*4.48</t>
  </si>
  <si>
    <t>22003-33</t>
  </si>
  <si>
    <t>7.84*7.8*4.72</t>
  </si>
  <si>
    <t>Crystal  Needle  Indented Natural</t>
  </si>
  <si>
    <t>21140-12</t>
  </si>
  <si>
    <t>7.77*7.73*4.82</t>
  </si>
  <si>
    <t>11176-39</t>
  </si>
  <si>
    <t>8.1*8.07*4.98</t>
  </si>
  <si>
    <t>Feather  Needle  Pinpoint  Natural</t>
  </si>
  <si>
    <t>21139-3</t>
  </si>
  <si>
    <t>8.1*8.05*4.95</t>
  </si>
  <si>
    <t>21115-18</t>
  </si>
  <si>
    <t>8.12*8.07*5.01</t>
  </si>
  <si>
    <t>Crystal  Pinpoint</t>
  </si>
  <si>
    <t>21098-32</t>
  </si>
  <si>
    <t>8.16*8.11*5.09</t>
  </si>
  <si>
    <t>21137-5</t>
  </si>
  <si>
    <t>8.66*8.62*5.41</t>
  </si>
  <si>
    <t>Feather  Pinpoint  Cloud</t>
  </si>
  <si>
    <t>21081-3</t>
  </si>
  <si>
    <t>9.33*9.27*5.71</t>
  </si>
  <si>
    <t>Crystal  Cloud  Needle  Pinpoint</t>
  </si>
  <si>
    <t>162-78</t>
  </si>
  <si>
    <t>H</t>
  </si>
  <si>
    <t>7.31*7.27*4.54</t>
  </si>
  <si>
    <t>Crystal  Needle  Natural</t>
  </si>
  <si>
    <t>22018-5</t>
  </si>
  <si>
    <t>7.69*7.65*4.75</t>
  </si>
  <si>
    <t>Cloud  Feather  Needle</t>
  </si>
  <si>
    <t>21001-2</t>
  </si>
  <si>
    <t>8.05*8*5.03</t>
  </si>
  <si>
    <t>141444-101</t>
  </si>
  <si>
    <t>8.28*8.24*5.14</t>
  </si>
  <si>
    <t>Crystal  Needle  Cloud</t>
  </si>
  <si>
    <t>161-113</t>
  </si>
  <si>
    <t>8.6*8.54*5.37</t>
  </si>
  <si>
    <t>11268-6</t>
  </si>
  <si>
    <t>I</t>
  </si>
  <si>
    <t>7.44*7.41*4.4</t>
  </si>
  <si>
    <t>Cloud  Crystal  Needle</t>
  </si>
  <si>
    <t>21141-19</t>
  </si>
  <si>
    <t>7.33*7.28*4.56</t>
  </si>
  <si>
    <t>11204-18</t>
  </si>
  <si>
    <t>7.45*7.41*4.66</t>
  </si>
  <si>
    <t>21140-10</t>
  </si>
  <si>
    <t>7.62*7.57*4.74</t>
  </si>
  <si>
    <t>Feather  Cloud  Needle</t>
  </si>
  <si>
    <t>21110-8</t>
  </si>
  <si>
    <t>7.62*7.58*4.76</t>
  </si>
  <si>
    <t>Cloud  Crystal  Pinpoint</t>
  </si>
  <si>
    <t>162-113</t>
  </si>
  <si>
    <t>8.05*8.01*4.83</t>
  </si>
  <si>
    <t>161-62</t>
  </si>
  <si>
    <t>8.12*8.08*4.93</t>
  </si>
  <si>
    <t>Crystal  Cloud  Needle</t>
  </si>
  <si>
    <t>21072-3</t>
  </si>
  <si>
    <t>8.06*8.03*5</t>
  </si>
  <si>
    <t>162-27</t>
  </si>
  <si>
    <t>8.12*8.09*4.98</t>
  </si>
  <si>
    <t>11174-24</t>
  </si>
  <si>
    <t>8.21*8.17*5.09</t>
  </si>
  <si>
    <t>162-2</t>
  </si>
  <si>
    <t>8.32*8.28*5.09</t>
  </si>
  <si>
    <t>11225-24</t>
  </si>
  <si>
    <t>8.33*8.29*5.11</t>
  </si>
  <si>
    <t>Crystal  Feather  Cloud</t>
  </si>
  <si>
    <t>11157-19</t>
  </si>
  <si>
    <t>8.63*8.58*5.39</t>
  </si>
  <si>
    <t>11108-121</t>
  </si>
  <si>
    <t>J</t>
  </si>
  <si>
    <t>7.37*7.32*4.48</t>
  </si>
  <si>
    <t>11147-25</t>
  </si>
  <si>
    <t>7.43*7.42*4.47</t>
  </si>
  <si>
    <t>12061-45</t>
  </si>
  <si>
    <t>7.64*7.6*4.76</t>
  </si>
  <si>
    <t>21114-18</t>
  </si>
  <si>
    <t>7.59*7.54*4.73</t>
  </si>
  <si>
    <t>11163-103</t>
  </si>
  <si>
    <t>7.63*7.58*4.77</t>
  </si>
  <si>
    <t>Cloud  Crystal  Feather  Needle</t>
  </si>
  <si>
    <t>21099-23</t>
  </si>
  <si>
    <t>7.63*7.58*4.75</t>
  </si>
  <si>
    <t>Crystal  Needle  Feather  Cloud  Pinpoint</t>
  </si>
  <si>
    <t>21057-16</t>
  </si>
  <si>
    <t>7.82*7.77*4.86</t>
  </si>
  <si>
    <t>11225-56</t>
  </si>
  <si>
    <t>8.17*8.13*4.92</t>
  </si>
  <si>
    <t xml:space="preserve">HAIR LINE </t>
  </si>
  <si>
    <t>141411-16</t>
  </si>
  <si>
    <t>8.06*8.04*4.99</t>
  </si>
  <si>
    <t>Cloud  Indented Natural  Natural</t>
  </si>
  <si>
    <t>21098-15</t>
  </si>
  <si>
    <t>8.17*8.14*4.99</t>
  </si>
  <si>
    <t>Cloud  Crystal  Feather  Pinpoint</t>
  </si>
  <si>
    <t>11193-12</t>
  </si>
  <si>
    <t>8.41*8.36*5.26</t>
  </si>
  <si>
    <t>161-65</t>
  </si>
  <si>
    <t>162-83</t>
  </si>
  <si>
    <t>8.84*8.78*5.46</t>
  </si>
  <si>
    <t>21001-20</t>
  </si>
  <si>
    <t>9.07*9.02*5.65</t>
  </si>
  <si>
    <t>Crystal  Feather  Needle  Cloud  Pinpoint</t>
  </si>
  <si>
    <t>21134-22</t>
  </si>
  <si>
    <t>VS2</t>
  </si>
  <si>
    <t>7.32*7.28*4.55</t>
  </si>
  <si>
    <t>UH-7</t>
  </si>
  <si>
    <t>8.12*8.07*5.05</t>
  </si>
  <si>
    <t>Crystal  Cloud  Feather  Needle  Indented Natural  Natural</t>
  </si>
  <si>
    <t>21027-5</t>
  </si>
  <si>
    <t>8.02*7.96*5.01</t>
  </si>
  <si>
    <t>Crystal  Feather  Needle  Indented Natural  Natural</t>
  </si>
  <si>
    <t>21109-4</t>
  </si>
  <si>
    <t>8.15*8.11*4.96</t>
  </si>
  <si>
    <t>21109-12</t>
  </si>
  <si>
    <t>8.15*8.12*5.05</t>
  </si>
  <si>
    <t>Crystal  Feather  Pinpoint  Cloud</t>
  </si>
  <si>
    <t>21032-14</t>
  </si>
  <si>
    <t>7.29*7.24*4.55</t>
  </si>
  <si>
    <t>141283-17</t>
  </si>
  <si>
    <t>7.5*7.46*4.45</t>
  </si>
  <si>
    <t>21132-33</t>
  </si>
  <si>
    <t>7.3*7.25*4.54</t>
  </si>
  <si>
    <t>21122-1</t>
  </si>
  <si>
    <t>7.33*7.29*4.57</t>
  </si>
  <si>
    <t>21031-8</t>
  </si>
  <si>
    <t>7.7*7.64*4.7</t>
  </si>
  <si>
    <t>Crystal  Needle  Pinpoint  Natural</t>
  </si>
  <si>
    <t>11241-199</t>
  </si>
  <si>
    <t>7.75*7.7*4.85</t>
  </si>
  <si>
    <t>21120-9</t>
  </si>
  <si>
    <t>7.77*7.73*4.8</t>
  </si>
  <si>
    <t>Cloud  Crystal</t>
  </si>
  <si>
    <t>21114-17</t>
  </si>
  <si>
    <t>7.89*7.84*4.94</t>
  </si>
  <si>
    <t>161-116</t>
  </si>
  <si>
    <t>8.12*8.06*4.84</t>
  </si>
  <si>
    <t>Feather  Needle</t>
  </si>
  <si>
    <t>21137-4</t>
  </si>
  <si>
    <t>8.12*8.09*4.95</t>
  </si>
  <si>
    <t>Cloud  Feather  Crystal  Needle</t>
  </si>
  <si>
    <t>11193-78</t>
  </si>
  <si>
    <t>8.05*8.01*5.03</t>
  </si>
  <si>
    <t>21146-5</t>
  </si>
  <si>
    <t>Feather  Crystal  Needle  Pinpoint  Indented Natural  Natural</t>
  </si>
  <si>
    <t>21135-88</t>
  </si>
  <si>
    <t>7.35*7.3*4.56</t>
  </si>
  <si>
    <t>Crystal  Cloud  Feather</t>
  </si>
  <si>
    <t>21108-65</t>
  </si>
  <si>
    <t>7.34*7.3*4.58</t>
  </si>
  <si>
    <t>Cloud  Crystal  Feather</t>
  </si>
  <si>
    <t>21140-8</t>
  </si>
  <si>
    <t>7.62*7.57*4.75</t>
  </si>
  <si>
    <t>Feather  Crystal  Pinpoint</t>
  </si>
  <si>
    <t>21138-1</t>
  </si>
  <si>
    <t>7.72*7.68*4.71</t>
  </si>
  <si>
    <t>Feather  Cloud  Crystal  Needle</t>
  </si>
  <si>
    <t>11147-78</t>
  </si>
  <si>
    <t>7.88*7.84*4.58</t>
  </si>
  <si>
    <t>Feather  Crystal  Needle</t>
  </si>
  <si>
    <t>162-9</t>
  </si>
  <si>
    <t>8.09*8.05*5</t>
  </si>
  <si>
    <t>Crystal  Cloud  Needle  Natural</t>
  </si>
  <si>
    <t>11042-13</t>
  </si>
  <si>
    <t>8.12*8.07*4.97</t>
  </si>
  <si>
    <t>21140-1</t>
  </si>
  <si>
    <t>7.32*7.28*4.56</t>
  </si>
  <si>
    <t>21139-2</t>
  </si>
  <si>
    <t>7.38*7.35*4.52</t>
  </si>
  <si>
    <t>Feather  Crystal  Cloud</t>
  </si>
  <si>
    <t>21140-14</t>
  </si>
  <si>
    <t>Feather  Cloud</t>
  </si>
  <si>
    <t>21104-20</t>
  </si>
  <si>
    <t>7.49*7.46*4.66</t>
  </si>
  <si>
    <t>163-177</t>
  </si>
  <si>
    <t>7.62*7.56*4.75</t>
  </si>
  <si>
    <t>Crystal  Feather  Needle  Indented Natural</t>
  </si>
  <si>
    <t>11163-47</t>
  </si>
  <si>
    <t>7.79*7.74*4.86</t>
  </si>
  <si>
    <t>11193-2</t>
  </si>
  <si>
    <t>8.08*8.04*4.97</t>
  </si>
  <si>
    <t>Crystal  Feather</t>
  </si>
  <si>
    <t>21109-26</t>
  </si>
  <si>
    <t>8.39*8.35*5.16</t>
  </si>
  <si>
    <t>141441-18</t>
  </si>
  <si>
    <t>8.73*8.68*5.33</t>
  </si>
  <si>
    <t>Crystal  Needle  Feather</t>
  </si>
  <si>
    <t>21138-2</t>
  </si>
  <si>
    <t>8.89*8.83*5.54</t>
  </si>
  <si>
    <t>21079-2</t>
  </si>
  <si>
    <t>9.32*9.26*5.71</t>
  </si>
  <si>
    <t xml:space="preserve">SMALL </t>
  </si>
  <si>
    <t>11269-58</t>
  </si>
  <si>
    <t>21027-6</t>
  </si>
  <si>
    <t>7.32*7.27*4.53</t>
  </si>
  <si>
    <t>161-44</t>
  </si>
  <si>
    <t>7.4*7.35*4.48</t>
  </si>
  <si>
    <t>21141-33</t>
  </si>
  <si>
    <t>7.3*7.27*4.55</t>
  </si>
  <si>
    <t>163-233</t>
  </si>
  <si>
    <t>7.43*7.38*4.63</t>
  </si>
  <si>
    <t>161-70</t>
  </si>
  <si>
    <t>7.59*7.53*4.71</t>
  </si>
  <si>
    <t>Twinning Wisp  Feather</t>
  </si>
  <si>
    <t>21121-22</t>
  </si>
  <si>
    <t>7.74*7.68*4.84</t>
  </si>
  <si>
    <t>11241-208</t>
  </si>
  <si>
    <t>8.08*8.05*4.94</t>
  </si>
  <si>
    <t>Cloud  Crystal  Feather  Indented Natural  Needle  Natural</t>
  </si>
  <si>
    <t>11204-38</t>
  </si>
  <si>
    <t>8.2*8.17*4.93</t>
  </si>
  <si>
    <t>21149-5</t>
  </si>
  <si>
    <t>8.06*8.03*5.01</t>
  </si>
  <si>
    <t>11274-5</t>
  </si>
  <si>
    <t>8.21*8.16*5.14</t>
  </si>
  <si>
    <t>11193-69</t>
  </si>
  <si>
    <t>8.86*8.81*5.53</t>
  </si>
  <si>
    <t>21109-15</t>
  </si>
  <si>
    <t>10.13*10.07*6.31</t>
  </si>
  <si>
    <t>FR2</t>
  </si>
  <si>
    <t>11275-14</t>
  </si>
  <si>
    <t>7.45*7.41*4.43</t>
  </si>
  <si>
    <t>21106-37</t>
  </si>
  <si>
    <t>7.32*7.27*4.54</t>
  </si>
  <si>
    <t>11060-4</t>
  </si>
  <si>
    <t>7.33*7.29*4.46</t>
  </si>
  <si>
    <t>Feather  Indented Natural  Needle  Pinpoint  Natural</t>
  </si>
  <si>
    <t>11189-59</t>
  </si>
  <si>
    <t>7.33*7.29*4.54</t>
  </si>
  <si>
    <t>MEDIUM BLACK</t>
  </si>
  <si>
    <t>21109-20</t>
  </si>
  <si>
    <t>7.37*7.32*4.45</t>
  </si>
  <si>
    <t>22003-10</t>
  </si>
  <si>
    <t>7.33*7.28*4.53</t>
  </si>
  <si>
    <t>11189-83</t>
  </si>
  <si>
    <t>7.59*7.54*4.75</t>
  </si>
  <si>
    <t>Crystal  Cloud  Feather  Indented Natural  Needle</t>
  </si>
  <si>
    <t>11241-177</t>
  </si>
  <si>
    <t>7.79*7.74*4.83</t>
  </si>
  <si>
    <t>21077-14</t>
  </si>
  <si>
    <t>8.02*7.98*5.04</t>
  </si>
  <si>
    <t>Feather  Cloud  Crystal  Needle  Indented Natural</t>
  </si>
  <si>
    <t>22018-60</t>
  </si>
  <si>
    <t>8.18*8.14*4.9</t>
  </si>
  <si>
    <t>21140-2</t>
  </si>
  <si>
    <t>8.05*8.01*4.99</t>
  </si>
  <si>
    <t>Feather  Crystal  Cloud  Pinpoint</t>
  </si>
  <si>
    <t>21027-1</t>
  </si>
  <si>
    <t>8.17*8.12*5.09</t>
  </si>
  <si>
    <t>11193-9</t>
  </si>
  <si>
    <t>8.17*8.12*5.1</t>
  </si>
  <si>
    <t>21040-2</t>
  </si>
  <si>
    <t>8.39*8.35*5.12</t>
  </si>
  <si>
    <t>21072-5</t>
  </si>
  <si>
    <t>8.72*8.7*5.31</t>
  </si>
  <si>
    <t>Feather  Crystal  Cloud  Indented Natural  Natural</t>
  </si>
  <si>
    <t>11278-55</t>
  </si>
  <si>
    <t>7.52*7.49*4.39</t>
  </si>
  <si>
    <t>Feather  Crystal  Cloud  Needle</t>
  </si>
  <si>
    <t>21138-4</t>
  </si>
  <si>
    <t>7.44*7.39*4.52</t>
  </si>
  <si>
    <t>11265-19</t>
  </si>
  <si>
    <t>HU-45</t>
  </si>
  <si>
    <t>8.01*7.97*4.92</t>
  </si>
  <si>
    <t>11147-37</t>
  </si>
  <si>
    <t>8.14*8.1*4.99</t>
  </si>
  <si>
    <t>11193-88</t>
  </si>
  <si>
    <t>8.04*7.98*5.02</t>
  </si>
  <si>
    <t>141411-3</t>
  </si>
  <si>
    <t>8.11*8.07*4.97</t>
  </si>
  <si>
    <t>Crystal</t>
  </si>
  <si>
    <t>22005-39</t>
  </si>
  <si>
    <t>8.21*8.18*4.96</t>
  </si>
  <si>
    <t>Crystal  Cloud  Needle  Feather</t>
  </si>
  <si>
    <t>21115-17</t>
  </si>
  <si>
    <t>8.22*8.17*5.09</t>
  </si>
  <si>
    <t>11235-9</t>
  </si>
  <si>
    <t>8.29*8.25*5.13</t>
  </si>
  <si>
    <t>11184-8</t>
  </si>
  <si>
    <t>8.72*8.66*5.39</t>
  </si>
  <si>
    <t>CRL2</t>
  </si>
  <si>
    <t>21027-28</t>
  </si>
  <si>
    <t>SI1</t>
  </si>
  <si>
    <t>7.36*7.32*4.51</t>
  </si>
  <si>
    <t>21130-42</t>
  </si>
  <si>
    <t>7.39*7.36*4.61</t>
  </si>
  <si>
    <t>11241-32</t>
  </si>
  <si>
    <t>8.08*8.04*5.03</t>
  </si>
  <si>
    <t>11190-15</t>
  </si>
  <si>
    <t>8.21*8.19*5.02</t>
  </si>
  <si>
    <t>11241-245</t>
  </si>
  <si>
    <t>8.14*8.09*5.03</t>
  </si>
  <si>
    <t>11225-52</t>
  </si>
  <si>
    <t>8.21*8.16*5.09</t>
  </si>
  <si>
    <t>11231-5</t>
  </si>
  <si>
    <t>8.29*8.24*5.17</t>
  </si>
  <si>
    <t>21067-35</t>
  </si>
  <si>
    <t>8.57*8.52*5.32</t>
  </si>
  <si>
    <t>21078-6</t>
  </si>
  <si>
    <t>9.31*9.25*5.68</t>
  </si>
  <si>
    <t>21078-18</t>
  </si>
  <si>
    <t>10.18*10.11*6.34</t>
  </si>
  <si>
    <t>Crystal  Feather  Needle  Cloud  Indented Natural  Natural</t>
  </si>
  <si>
    <t>11147-15</t>
  </si>
  <si>
    <t>7.33*7.3*4.48</t>
  </si>
  <si>
    <t>22001-30</t>
  </si>
  <si>
    <t>Crystal  Feather  Indented Natural  Needle</t>
  </si>
  <si>
    <t>21008-9</t>
  </si>
  <si>
    <t>7.37*7.33*4.52</t>
  </si>
  <si>
    <t>21130-91</t>
  </si>
  <si>
    <t>11043-37</t>
  </si>
  <si>
    <t>7.41*7.36*4.62</t>
  </si>
  <si>
    <t>11076-75</t>
  </si>
  <si>
    <t>7.47*7.44*4.7</t>
  </si>
  <si>
    <t>162-85</t>
  </si>
  <si>
    <t>7.67*7.61*4.64</t>
  </si>
  <si>
    <t>Twinning Wisp  Crystal  Feather  Indented Natural  Natural</t>
  </si>
  <si>
    <t>11140-3</t>
  </si>
  <si>
    <t>Crystal  Cloud  Feather  Needle  Indented Natural</t>
  </si>
  <si>
    <t>21067-13</t>
  </si>
  <si>
    <t>11291-1</t>
  </si>
  <si>
    <t>8.06*8.03*5.03</t>
  </si>
  <si>
    <t>21027-110</t>
  </si>
  <si>
    <t>9.07*9.02*5.66</t>
  </si>
  <si>
    <t>Crystal  Cloud  Feather  Needle  Natural</t>
  </si>
  <si>
    <t>12044-123</t>
  </si>
  <si>
    <t>7.63*7.59*4.77</t>
  </si>
  <si>
    <t>11275-102</t>
  </si>
  <si>
    <t>7.68*7.63*4.79</t>
  </si>
  <si>
    <t>Feather  Twinning Wisp  Natural</t>
  </si>
  <si>
    <t>22005-21</t>
  </si>
  <si>
    <t>8.01*7.98*4.66</t>
  </si>
  <si>
    <t>21109-32</t>
  </si>
  <si>
    <t>7.75*7.72*4.85</t>
  </si>
  <si>
    <t>21130-79</t>
  </si>
  <si>
    <t>7.78*7.74*4.85</t>
  </si>
  <si>
    <t>21001-1</t>
  </si>
  <si>
    <t>8.07*8.01*5.04</t>
  </si>
  <si>
    <t>21001-121</t>
  </si>
  <si>
    <t>8.1*8.05*5.05</t>
  </si>
  <si>
    <t>141441-28</t>
  </si>
  <si>
    <t>8.36*8.31*5.22</t>
  </si>
  <si>
    <t>22001-38</t>
  </si>
  <si>
    <t>8.42*8.36*5.25</t>
  </si>
  <si>
    <t>162-34</t>
  </si>
  <si>
    <t>8.63*8.61*5.4</t>
  </si>
  <si>
    <t>Twinning Wisp  Crystal  Feather  Needle</t>
  </si>
  <si>
    <t>161-52</t>
  </si>
  <si>
    <t>8.76*8.71*5.36</t>
  </si>
  <si>
    <t>22001-10</t>
  </si>
  <si>
    <t>7.45*7.42*4.41</t>
  </si>
  <si>
    <t>161-55</t>
  </si>
  <si>
    <t>7.45*7.4*4.44</t>
  </si>
  <si>
    <t>11174-11</t>
  </si>
  <si>
    <t>7.5*7.47*4.64</t>
  </si>
  <si>
    <t>11275-31</t>
  </si>
  <si>
    <t>7.73*7.69*4.74</t>
  </si>
  <si>
    <t>162-6</t>
  </si>
  <si>
    <t>8.07*8.01*4.95</t>
  </si>
  <si>
    <t>Twinning Wisp</t>
  </si>
  <si>
    <t>21001-45</t>
  </si>
  <si>
    <t>8.06*8.02*5</t>
  </si>
  <si>
    <t>11190-6</t>
  </si>
  <si>
    <t>11286-131</t>
  </si>
  <si>
    <t>8.08*8.02*5.02</t>
  </si>
  <si>
    <t>21040-1</t>
  </si>
  <si>
    <t>8.7*8.65*5.4</t>
  </si>
  <si>
    <t>11275-65</t>
  </si>
  <si>
    <t>21109-31</t>
  </si>
  <si>
    <t>10.12*10.07*6.36</t>
  </si>
  <si>
    <t>11193-38</t>
  </si>
  <si>
    <t>7.35*7.31*4.53</t>
  </si>
  <si>
    <t>11241-239</t>
  </si>
  <si>
    <t>7.37*7.34*4.52</t>
  </si>
  <si>
    <t>21087-5</t>
  </si>
  <si>
    <t>7.32*7.29*4.55</t>
  </si>
  <si>
    <t>21055-32</t>
  </si>
  <si>
    <t>7.33*7.29*4.58</t>
  </si>
  <si>
    <t>11088-75</t>
  </si>
  <si>
    <t>163-8</t>
  </si>
  <si>
    <t>7.37*7.34*4.59</t>
  </si>
  <si>
    <t>21111-11</t>
  </si>
  <si>
    <t>7.52*7.47*4.68</t>
  </si>
  <si>
    <t>11057-57</t>
  </si>
  <si>
    <t>7.65*7.6*4.68</t>
  </si>
  <si>
    <t>Crystal  Feather  Indented Natural  Pinpoint  Natural</t>
  </si>
  <si>
    <t>11147-21</t>
  </si>
  <si>
    <t>7.87*7.82*4.75</t>
  </si>
  <si>
    <t>11262-8</t>
  </si>
  <si>
    <t>8.07*8.02*5.01</t>
  </si>
  <si>
    <t>21072-14</t>
  </si>
  <si>
    <t>8.19*8.15*4.93</t>
  </si>
  <si>
    <t>Feather  Crystal  Needle  Pinpoint</t>
  </si>
  <si>
    <t>11260-4</t>
  </si>
  <si>
    <t>8.04*7.99*5.02</t>
  </si>
  <si>
    <t>11174-39</t>
  </si>
  <si>
    <t>11291-5</t>
  </si>
  <si>
    <t>U-1196</t>
  </si>
  <si>
    <t>8.03*7.98*5</t>
  </si>
  <si>
    <t>Feather  Crystal  Needle  Natural</t>
  </si>
  <si>
    <t>11260-6</t>
  </si>
  <si>
    <t>8.17*8.13*4.99</t>
  </si>
  <si>
    <t>11162-41</t>
  </si>
  <si>
    <t>8.07*8.03*5.03</t>
  </si>
  <si>
    <t>11060-40</t>
  </si>
  <si>
    <t>8.18*8.12*4.98</t>
  </si>
  <si>
    <t>Twinning Wisp  Feather  Needle  Pinpoint</t>
  </si>
  <si>
    <t>11136-135</t>
  </si>
  <si>
    <t>8.3*8.26*5.19</t>
  </si>
  <si>
    <t>11235-28</t>
  </si>
  <si>
    <t>9.37*9.35*5.62</t>
  </si>
  <si>
    <t>21040-16</t>
  </si>
  <si>
    <t>9.86*9.81*6.14</t>
  </si>
  <si>
    <t>162-38</t>
  </si>
  <si>
    <t>7.4*7.37*4.45</t>
  </si>
  <si>
    <t>Twinning Wisp  Feather  Indented Natural</t>
  </si>
  <si>
    <t>11193-76</t>
  </si>
  <si>
    <t>21093-2</t>
  </si>
  <si>
    <t>7.29*7.25*4.57</t>
  </si>
  <si>
    <t>Crystal  Cloud  Needle  Indented Natural  Natural</t>
  </si>
  <si>
    <t>12044-122</t>
  </si>
  <si>
    <t>7.36*7.34*4.54</t>
  </si>
  <si>
    <t>11211-5</t>
  </si>
  <si>
    <t>7.46*7.43*4.48</t>
  </si>
  <si>
    <t>11136-1</t>
  </si>
  <si>
    <t>7.37*7.32*4.57</t>
  </si>
  <si>
    <t>12055-50</t>
  </si>
  <si>
    <t>7.36*7.32*4.58</t>
  </si>
  <si>
    <t>Crystal  Feather  Cloud  Needle  Indented Natural</t>
  </si>
  <si>
    <t>11108-61</t>
  </si>
  <si>
    <t>7.4*7.36*4.62</t>
  </si>
  <si>
    <t>Twinning Wisp  Cloud  Crystal  Feather  Needle</t>
  </si>
  <si>
    <t>163-21</t>
  </si>
  <si>
    <t>7.46*7.44*4.62</t>
  </si>
  <si>
    <t>Twinning Wisp  Feather  Crystal  Needle  Indented Natural</t>
  </si>
  <si>
    <t>11162-59</t>
  </si>
  <si>
    <t>7.48*7.43*4.67</t>
  </si>
  <si>
    <t>Twinning Wisp  Feather  Crystal</t>
  </si>
  <si>
    <t>162-13</t>
  </si>
  <si>
    <t>7.64*7.6*4.68</t>
  </si>
  <si>
    <t>Twinning Wisp  Feather  Crystal  Needle</t>
  </si>
  <si>
    <t>21031-9</t>
  </si>
  <si>
    <t>7.66*7.62*4.78</t>
  </si>
  <si>
    <t>22001-11</t>
  </si>
  <si>
    <t>7.62*7.56*4.74</t>
  </si>
  <si>
    <t>Crystal  Feather  Indented Natural</t>
  </si>
  <si>
    <t>11118-41</t>
  </si>
  <si>
    <t>7.69*7.65*4.76</t>
  </si>
  <si>
    <t>162-111</t>
  </si>
  <si>
    <t>7.99*7.93*4.9</t>
  </si>
  <si>
    <t>Twinning Wisp  Cloud  Feather  Needle</t>
  </si>
  <si>
    <t>UH-17</t>
  </si>
  <si>
    <t>8.08*8.03*4.88</t>
  </si>
  <si>
    <t>Crystal  Feather  Needle  Cloud  Natural</t>
  </si>
  <si>
    <t>161-47</t>
  </si>
  <si>
    <t>8.07*8.04*4.97</t>
  </si>
  <si>
    <t>11136-43</t>
  </si>
  <si>
    <t>8.03*7.98*5.03</t>
  </si>
  <si>
    <t>Cloud  Crystal  Indented Natural  Needle</t>
  </si>
  <si>
    <t>11275-83</t>
  </si>
  <si>
    <t>8.09*8.04*4.99</t>
  </si>
  <si>
    <t>12037-19</t>
  </si>
  <si>
    <t>8.12*8.08*4.96</t>
  </si>
  <si>
    <t>162-51</t>
  </si>
  <si>
    <t>8.13*8.09*4.99</t>
  </si>
  <si>
    <t>21078-10</t>
  </si>
  <si>
    <t>8.11*8.06*5.05</t>
  </si>
  <si>
    <t>11193-103</t>
  </si>
  <si>
    <t>8.67*8.62*5.41</t>
  </si>
  <si>
    <t>162-37</t>
  </si>
  <si>
    <t>9.2*9.17*5.73</t>
  </si>
  <si>
    <t>11147-86</t>
  </si>
  <si>
    <t>9.31*9.27*5.71</t>
  </si>
  <si>
    <t>141445-21</t>
  </si>
  <si>
    <t>7.43*7.38*4.45</t>
  </si>
  <si>
    <t>11041-21</t>
  </si>
  <si>
    <t>7.38*7.35*4.5</t>
  </si>
  <si>
    <t>11129-10</t>
  </si>
  <si>
    <t>7.31*7.27*4.5</t>
  </si>
  <si>
    <t>Feather  Crystal  Indented Natural  Needle  Natural</t>
  </si>
  <si>
    <t>11163-175</t>
  </si>
  <si>
    <t>7.3*7.26*4.55</t>
  </si>
  <si>
    <t>21072-30</t>
  </si>
  <si>
    <t>7.36*7.32*4.56</t>
  </si>
  <si>
    <t>11241-246</t>
  </si>
  <si>
    <t>7.31*7.26*4.54</t>
  </si>
  <si>
    <t>162-39</t>
  </si>
  <si>
    <t>7.33*7.28*4.58</t>
  </si>
  <si>
    <t>11225-29</t>
  </si>
  <si>
    <t>7.45*7.4*4.47</t>
  </si>
  <si>
    <t>21134-13</t>
  </si>
  <si>
    <t>7.39*7.35*4.59</t>
  </si>
  <si>
    <t>21051-5</t>
  </si>
  <si>
    <t>7.43*7.38*4.64</t>
  </si>
  <si>
    <t>11130-23</t>
  </si>
  <si>
    <t>7.45*7.4*4.66</t>
  </si>
  <si>
    <t>21055-60</t>
  </si>
  <si>
    <t>7.71*7.67*4.72</t>
  </si>
  <si>
    <t>21072-18</t>
  </si>
  <si>
    <t>7.78*7.73*4.85</t>
  </si>
  <si>
    <t>U-1477</t>
  </si>
  <si>
    <t>8.03*7.98*5.04</t>
  </si>
  <si>
    <t>22002-100</t>
  </si>
  <si>
    <t>8.05*8*5.05</t>
  </si>
  <si>
    <t>Feather  Twinning Wisp  Crystal  Needle  Natural</t>
  </si>
  <si>
    <t>162-20</t>
  </si>
  <si>
    <t>Twinning Wisp  Feather  Needle</t>
  </si>
  <si>
    <t>21077-8</t>
  </si>
  <si>
    <t>11174-41</t>
  </si>
  <si>
    <t>8.18*8.12*5.07</t>
  </si>
  <si>
    <t>11275-88</t>
  </si>
  <si>
    <t>8.3*8.24*5.19</t>
  </si>
  <si>
    <t>11147-77</t>
  </si>
  <si>
    <t>8.69*8.63*5.38</t>
  </si>
  <si>
    <t>Crystal  Feather  Needle  Cloud</t>
  </si>
  <si>
    <t>162-71</t>
  </si>
  <si>
    <t>9.19*9.15*5.73</t>
  </si>
  <si>
    <t>11274-49</t>
  </si>
  <si>
    <t>9.27*9.22*5.74</t>
  </si>
  <si>
    <t>Twinning Wisp  Cloud  Feather  Crystal</t>
  </si>
  <si>
    <t>11254-55</t>
  </si>
  <si>
    <t>SI2</t>
  </si>
  <si>
    <t>7.41*7.36*4.48</t>
  </si>
  <si>
    <t>12075-63</t>
  </si>
  <si>
    <t>7.29*7.25*4.56</t>
  </si>
  <si>
    <t>11185-44</t>
  </si>
  <si>
    <t>7.3*7.25*4.56</t>
  </si>
  <si>
    <t>Twinning Wisp  Feather  Crystal  Needle  Indented Natural  Natural</t>
  </si>
  <si>
    <t>11189-85</t>
  </si>
  <si>
    <t>7.32*7.28*4.58</t>
  </si>
  <si>
    <t>22018-66</t>
  </si>
  <si>
    <t>7.32*7.29*4.57</t>
  </si>
  <si>
    <t>21027-57</t>
  </si>
  <si>
    <t>7.85*7.82*4.85</t>
  </si>
  <si>
    <t>12056-45</t>
  </si>
  <si>
    <t>8.09*8.06*5.03</t>
  </si>
  <si>
    <t>21135-29</t>
  </si>
  <si>
    <t>8.17*8.12*4.99</t>
  </si>
  <si>
    <t>12046-30</t>
  </si>
  <si>
    <t>7.44*7.43*4.42</t>
  </si>
  <si>
    <t>163-303</t>
  </si>
  <si>
    <t>7.79*7.74*4.89</t>
  </si>
  <si>
    <t>Twinning Wisp  Crystal  Feather  Indented Natural</t>
  </si>
  <si>
    <t>11121-3</t>
  </si>
  <si>
    <t>8.09*8.04*4.93</t>
  </si>
  <si>
    <t>12068-17</t>
  </si>
  <si>
    <t>8.07*8.02*5.02</t>
  </si>
  <si>
    <t>11275-3</t>
  </si>
  <si>
    <t>8.05*8*5.06</t>
  </si>
  <si>
    <t>Twinning Wisp  Feather  Crystal  Indented Natural  Needle  Natural</t>
  </si>
  <si>
    <t>11268-11</t>
  </si>
  <si>
    <t>11261-6</t>
  </si>
  <si>
    <t>8.44*8.38*5.26</t>
  </si>
  <si>
    <t>11087-2</t>
  </si>
  <si>
    <t>8.71*8.65*5.36</t>
  </si>
  <si>
    <t>21031-42</t>
  </si>
  <si>
    <t>9.31*9.25*5.73</t>
  </si>
  <si>
    <t>11016-28</t>
  </si>
  <si>
    <t>10.11*10.06*6.27</t>
  </si>
  <si>
    <t>Feather  Crystal  Indented Natural</t>
  </si>
  <si>
    <t>12040-8</t>
  </si>
  <si>
    <t>7.29*7.24*4.56</t>
  </si>
  <si>
    <t>Twinning Wisp  Crystal  Feather  Cloud  Needle  Indented Natural</t>
  </si>
  <si>
    <t>SPR2</t>
  </si>
  <si>
    <t>11016-4</t>
  </si>
  <si>
    <t>7.35*7.3*4.51</t>
  </si>
  <si>
    <t>Crystal  Feather  Cloud  Needle  Natural</t>
  </si>
  <si>
    <t>21101-21</t>
  </si>
  <si>
    <t>7.4*7.36*4.47</t>
  </si>
  <si>
    <t>21093-21</t>
  </si>
  <si>
    <t>7.66*7.62*4.76</t>
  </si>
  <si>
    <t>11191-147</t>
  </si>
  <si>
    <t>8.08*8.04*5.05</t>
  </si>
  <si>
    <t>11193-27</t>
  </si>
  <si>
    <t>8.14*8.1*4.98</t>
  </si>
  <si>
    <t>11051-108</t>
  </si>
  <si>
    <t>8.89*8.86*5.51</t>
  </si>
  <si>
    <t>12044-128</t>
  </si>
  <si>
    <t>9.22*9.16*5.73</t>
  </si>
  <si>
    <t>21109-30</t>
  </si>
  <si>
    <t>7.45*7.41*4.48</t>
  </si>
  <si>
    <t>11163-95</t>
  </si>
  <si>
    <t>7.55*7.5*4.38</t>
  </si>
  <si>
    <t>21108-46</t>
  </si>
  <si>
    <t>7.69*7.65*4.78</t>
  </si>
  <si>
    <t>UH-14</t>
  </si>
  <si>
    <t>8.07*8.03*5</t>
  </si>
  <si>
    <t>11174-54</t>
  </si>
  <si>
    <t>8.06*8.01*4.99</t>
  </si>
  <si>
    <t>162-35</t>
  </si>
  <si>
    <t>8.14*8.09*5.02</t>
  </si>
  <si>
    <t>Crystal  Feather  Needle  Natural</t>
  </si>
  <si>
    <t>U-1564</t>
  </si>
  <si>
    <t>8.13*8.08*5.01</t>
  </si>
  <si>
    <t>142088-68</t>
  </si>
  <si>
    <t>11198-2</t>
  </si>
  <si>
    <t>7.3*7.26*4.59</t>
  </si>
  <si>
    <t>22018-49</t>
  </si>
  <si>
    <t>7.32*7.29*4.58</t>
  </si>
  <si>
    <t>Feather  Cloud  Crystal</t>
  </si>
  <si>
    <t>11057-42</t>
  </si>
  <si>
    <t>7.4*7.38*4.57</t>
  </si>
  <si>
    <t>Feather  Crystal</t>
  </si>
  <si>
    <t>11008-11</t>
  </si>
  <si>
    <t>7.74*7.69*4.67</t>
  </si>
  <si>
    <t>161-29</t>
  </si>
  <si>
    <t>8.07*8.02*4.95</t>
  </si>
  <si>
    <t>Crystal  Indented Natural</t>
  </si>
  <si>
    <t>162-76</t>
  </si>
  <si>
    <t>8.06*8.03*4.96</t>
  </si>
  <si>
    <t>21109-2</t>
  </si>
  <si>
    <t>8.03*7.97*5.01</t>
  </si>
  <si>
    <t>Crystal  Feather  Cloud  Indented Natural  Needle</t>
  </si>
  <si>
    <t>21027-20</t>
  </si>
  <si>
    <t>8.06*8.01*5.03</t>
  </si>
  <si>
    <t>Twinning Wisp  Crystal  Feather  Cloud  Needle</t>
  </si>
  <si>
    <t>161-75</t>
  </si>
  <si>
    <t>8.5*8.47*5.29</t>
  </si>
  <si>
    <t>Crystal  Needle  Indented Natural  Natural</t>
  </si>
  <si>
    <t>21040-11</t>
  </si>
  <si>
    <t>11274-58</t>
  </si>
  <si>
    <t>9.06*9.02*5.37</t>
  </si>
  <si>
    <t>162-114</t>
  </si>
  <si>
    <t>9.19*9.17*5.71</t>
  </si>
  <si>
    <t>12069-27</t>
  </si>
  <si>
    <t>Twinning Wisp  Crystal  Feather  Needle  Indented Natural</t>
  </si>
  <si>
    <t>22002-57</t>
  </si>
  <si>
    <t>7.32*7.28*4.57</t>
  </si>
  <si>
    <t>162-77</t>
  </si>
  <si>
    <t>7.36*7.31*4.57</t>
  </si>
  <si>
    <t>11162-97</t>
  </si>
  <si>
    <t>12046-52</t>
  </si>
  <si>
    <t>7.35*7.32*4.53</t>
  </si>
  <si>
    <t>162-84</t>
  </si>
  <si>
    <t>7.49*7.46*4.62</t>
  </si>
  <si>
    <t>11274-30</t>
  </si>
  <si>
    <t>7.65*7.62*4.77</t>
  </si>
  <si>
    <t>Twinning Wisp  Feather  Crystal  Cloud  Needle</t>
  </si>
  <si>
    <t>163-11</t>
  </si>
  <si>
    <t>7.77*7.73*4.84</t>
  </si>
  <si>
    <t>Twinning Wisp  Crystal  Needle</t>
  </si>
  <si>
    <t>11274-63</t>
  </si>
  <si>
    <t>7.8*7.75*4.86</t>
  </si>
  <si>
    <t>161-25</t>
  </si>
  <si>
    <t>8.04*8*5.04</t>
  </si>
  <si>
    <t>162-33</t>
  </si>
  <si>
    <t>8.05*8.02*5.02</t>
  </si>
  <si>
    <t>Crystal  Twinning Wisp  Feather  Needle</t>
  </si>
  <si>
    <t>11193-74</t>
  </si>
  <si>
    <t>8.05*7.99*5.04</t>
  </si>
  <si>
    <t>Feather  Crystal  Cloud  Needle  Indented Natural  Natural</t>
  </si>
  <si>
    <t>11276-34</t>
  </si>
  <si>
    <t>8.09*8.05*5.03</t>
  </si>
  <si>
    <t>11286-153</t>
  </si>
  <si>
    <t>8.08*8.06*5.03</t>
  </si>
  <si>
    <t>12017-39</t>
  </si>
  <si>
    <t>7.32*7.27*4.59</t>
  </si>
  <si>
    <t>12055-56</t>
  </si>
  <si>
    <t>Feather  Twinning Wisp  Crystal  Needle</t>
  </si>
  <si>
    <t>11174-37</t>
  </si>
  <si>
    <t>7.33*7.31*4.56</t>
  </si>
  <si>
    <t>11163-135</t>
  </si>
  <si>
    <t>7.3*7.25*4.58</t>
  </si>
  <si>
    <t>22002-22</t>
  </si>
  <si>
    <t>7.6*7.56*4.75</t>
  </si>
  <si>
    <t>Feather  Twinning Wisp  Crystal  Cloud  Indented Natural  Natural</t>
  </si>
  <si>
    <t>22018-16</t>
  </si>
  <si>
    <t>7.67*7.61*4.72</t>
  </si>
  <si>
    <t>11163-183</t>
  </si>
  <si>
    <t>7.67*7.63*4.78</t>
  </si>
  <si>
    <t>Twinning Wisp  Feather  Indented Natural  Natural</t>
  </si>
  <si>
    <t>162-3</t>
  </si>
  <si>
    <t>8.01*7.96*5.03</t>
  </si>
  <si>
    <t>Twinning Wisp  Feather  Crystal  Needle  Indented Natural  Extra Facet</t>
  </si>
  <si>
    <t>142088-92</t>
  </si>
  <si>
    <t>8.04*8.01*5.03</t>
  </si>
  <si>
    <t>Twinning Wisp  Feather  Indented Natural  Needle  Natural</t>
  </si>
  <si>
    <t>22005-42</t>
  </si>
  <si>
    <t>8.03*8.01*5</t>
  </si>
  <si>
    <t>Feather  Crystal  Needle  Indented Natural  Natural</t>
  </si>
  <si>
    <t>22003-5</t>
  </si>
  <si>
    <t>8.11*8.05*5.06</t>
  </si>
  <si>
    <t>21001-94</t>
  </si>
  <si>
    <t>9.23*9.17*5.74</t>
  </si>
  <si>
    <t>11041-44</t>
  </si>
  <si>
    <t>I1</t>
  </si>
  <si>
    <t>8.07*8.02*4.98</t>
  </si>
  <si>
    <t>11241-203</t>
  </si>
  <si>
    <t>7.33*7.28*4.57</t>
  </si>
  <si>
    <t>Feather  Crystal  Cloud  Indented Natural</t>
  </si>
  <si>
    <t>161-115</t>
  </si>
  <si>
    <t>7.55*7.49*4.7</t>
  </si>
  <si>
    <t>11046-19</t>
  </si>
  <si>
    <t>8.03*8*5.04</t>
  </si>
  <si>
    <t>11136-34</t>
  </si>
  <si>
    <t>7.47*7.42*4.48</t>
  </si>
  <si>
    <t>Feather  Twinning Wisp  Crystal</t>
  </si>
  <si>
    <t>12005-3</t>
  </si>
  <si>
    <t>8.11*8.06*4.97</t>
  </si>
  <si>
    <t>11076-36</t>
  </si>
  <si>
    <t>7.32*7.27*4.58</t>
  </si>
  <si>
    <t>11041-28</t>
  </si>
  <si>
    <t>8.04*7.99*5.03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</si>
</sst>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color theme="1"/>
      <family val="2"/>
      <scheme val="minor"/>
      <sz val="11"/>
      <name val="Calibri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b/>
      <color rgb="006AA8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color rgb="283895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3a8ed2"/>
        <bgColor rgb="3a8ed2"/>
      </patternFill>
    </fill>
  </fills>
  <borders count="5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44"/>
  <sheetViews>
    <sheetView workbookViewId="0">
      <pane ySplit="5" topLeftCell="A6" activePane="bottomLeft" state="frozen"/>
      <selection pane="bottomLeft"/>
    </sheetView>
  </sheetViews>
  <sheetFormatPr defaultRowHeight="15" outlineLevelRow="0" outlineLevelCol="0" x14ac:dyDescent="55"/>
  <cols>
    <col min="1" max="1" width="6" customWidth="1"/>
    <col min="2" max="2" width="14" customWidth="1"/>
    <col min="3" max="4" width="10" customWidth="1"/>
    <col min="5" max="7" width="6" customWidth="1"/>
    <col min="8" max="9" width="10" customWidth="1"/>
    <col min="10" max="11" width="6" customWidth="1"/>
    <col min="12" max="15" width="10" customWidth="1"/>
    <col min="16" max="16" width="16" customWidth="1"/>
    <col min="17" max="17" width="12" customWidth="1"/>
    <col min="18" max="19" width="6" customWidth="1"/>
    <col min="20" max="20" width="10" customWidth="1"/>
    <col min="21" max="21" width="13" customWidth="1"/>
    <col min="22" max="22" width="30" customWidth="1"/>
    <col min="23" max="23" width="35" customWidth="1"/>
    <col min="24" max="24" width="12" customWidth="1"/>
    <col min="25" max="25" width="10" customWidth="1"/>
    <col min="26" max="30" width="12" customWidth="1"/>
    <col min="31" max="31" width="10" hidden="1" customWidth="1"/>
  </cols>
  <sheetData>
    <row r="1" spans="1:51" x14ac:dyDescent="0.25">
      <c r="A1" s="1" t="s">
        <v>0</v>
      </c>
      <c r="B1" s="1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 t="s">
        <v>7</v>
      </c>
    </row>
    <row r="2" spans="1:51" x14ac:dyDescent="0.25">
      <c r="A2" s="1"/>
      <c r="B2" s="1"/>
      <c r="C2" s="2" t="s">
        <v>8</v>
      </c>
      <c r="D2" s="3">
        <f>ROUND(COUNTA(D6:D341),2)</f>
      </c>
      <c r="E2" s="3">
        <f>ROUND(SUM(E6:E341),2)</f>
      </c>
      <c r="F2" s="3">
        <f>ROUND(AY2/E2,2)</f>
      </c>
      <c r="G2" s="3">
        <f>ROUND((I2/AY2*100)-100,2)</f>
      </c>
      <c r="H2" s="3">
        <f>ROUND(I2/E2,2)</f>
      </c>
      <c r="I2" s="3">
        <f>ROUND(SUM(O6:O341),2)</f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3">
        <f>ROUND(SUM(AE6:AE341),2)</f>
      </c>
    </row>
    <row r="3" spans="1:51" x14ac:dyDescent="0.25">
      <c r="A3" s="1"/>
      <c r="B3" s="1"/>
      <c r="C3" s="2" t="s">
        <v>9</v>
      </c>
      <c r="D3" s="3">
        <f>ROUND(SUBTOTAL(3,D6:D341),2)</f>
      </c>
      <c r="E3" s="3">
        <f>ROUND(SUBTOTAL(9,E6:E341),2)</f>
      </c>
      <c r="F3" s="3">
        <f>ROUND(AY3/E3,2)</f>
      </c>
      <c r="G3" s="3">
        <f>ROUND((I3/AY3*100)-100,2)</f>
      </c>
      <c r="H3" s="3">
        <f>ROUND(I3/E3,2)</f>
      </c>
      <c r="I3" s="3">
        <f>ROUND(SUBTOTAL(9,O6:O341),2)</f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3">
        <f>ROUND(SUBTOTAL(9,AE6:AE341),2)</f>
      </c>
    </row>
    <row r="5" spans="1:31" x14ac:dyDescent="0.25">
      <c r="A5" s="2" t="s">
        <v>10</v>
      </c>
      <c r="B5" s="2" t="s">
        <v>11</v>
      </c>
      <c r="C5" s="2" t="s">
        <v>12</v>
      </c>
      <c r="D5" s="2" t="s">
        <v>13</v>
      </c>
      <c r="E5" s="2" t="s">
        <v>2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3</v>
      </c>
      <c r="M5" s="2" t="s">
        <v>4</v>
      </c>
      <c r="N5" s="2" t="s">
        <v>5</v>
      </c>
      <c r="O5" s="2" t="s">
        <v>6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2" t="s">
        <v>27</v>
      </c>
      <c r="X5" s="2" t="s">
        <v>28</v>
      </c>
      <c r="Y5" s="2" t="s">
        <v>29</v>
      </c>
      <c r="Z5" s="2" t="s">
        <v>30</v>
      </c>
      <c r="AA5" s="2" t="s">
        <v>31</v>
      </c>
      <c r="AB5" s="2" t="s">
        <v>32</v>
      </c>
      <c r="AC5" s="2" t="s">
        <v>33</v>
      </c>
      <c r="AD5" s="2" t="s">
        <v>34</v>
      </c>
      <c r="AE5" s="2" t="s">
        <v>7</v>
      </c>
    </row>
    <row r="6" spans="1:31" x14ac:dyDescent="0.25">
      <c r="A6" s="4">
        <v>1</v>
      </c>
      <c r="B6" s="1" t="s">
        <v>35</v>
      </c>
      <c r="C6" s="5">
        <f>HYPERLINK("https://client.unique.diamonds/dna/11059-63","DNA")</f>
      </c>
      <c r="D6" s="1" t="s">
        <v>36</v>
      </c>
      <c r="E6" s="6">
        <v>1.5</v>
      </c>
      <c r="F6" s="1" t="s">
        <v>37</v>
      </c>
      <c r="G6" s="1" t="s">
        <v>38</v>
      </c>
      <c r="H6" s="1" t="s">
        <v>39</v>
      </c>
      <c r="I6" s="1" t="s">
        <v>39</v>
      </c>
      <c r="J6" s="1" t="s">
        <v>39</v>
      </c>
      <c r="K6" s="1" t="s">
        <v>40</v>
      </c>
      <c r="L6" s="4">
        <v>17500</v>
      </c>
      <c r="M6" s="6">
        <v>-39.5</v>
      </c>
      <c r="N6" s="7">
        <f>IF(AND(L6 &lt;&gt; "-", M6 &lt;&gt; "-"),L6*( 1 + M6%),0)</f>
      </c>
      <c r="O6" s="7">
        <f>( N6 * E6 )</f>
      </c>
      <c r="P6" s="1" t="s">
        <v>41</v>
      </c>
      <c r="Q6" s="6">
        <v>1.01</v>
      </c>
      <c r="R6" s="6">
        <v>62.7</v>
      </c>
      <c r="S6" s="4">
        <v>58</v>
      </c>
      <c r="T6" s="1" t="s">
        <v>42</v>
      </c>
      <c r="U6" s="5">
        <f>HYPERLINK("https://www.gia.edu/report-check?reportno=1423424292","1423424292")</f>
      </c>
      <c r="V6" s="1" t="s">
        <v>43</v>
      </c>
      <c r="W6" s="1" t="s">
        <v>44</v>
      </c>
      <c r="X6" s="1" t="s">
        <v>45</v>
      </c>
      <c r="Y6" s="1" t="s">
        <v>40</v>
      </c>
      <c r="Z6" s="1" t="s">
        <v>46</v>
      </c>
      <c r="AA6" s="1" t="s">
        <v>47</v>
      </c>
      <c r="AB6" s="1" t="s">
        <v>40</v>
      </c>
      <c r="AC6" s="1" t="s">
        <v>48</v>
      </c>
      <c r="AD6" s="1" t="s">
        <v>43</v>
      </c>
      <c r="AE6" s="8">
        <f>IF(L6&lt;&gt;"",L6*E6,0)</f>
      </c>
    </row>
    <row r="7" spans="1:31" x14ac:dyDescent="0.25">
      <c r="A7" s="4">
        <v>2</v>
      </c>
      <c r="B7" s="1" t="s">
        <v>49</v>
      </c>
      <c r="C7" s="5">
        <f>HYPERLINK("https://client.unique.diamonds/dna/11116-38","DNA")</f>
      </c>
      <c r="D7" s="1" t="s">
        <v>36</v>
      </c>
      <c r="E7" s="6">
        <v>1.5</v>
      </c>
      <c r="F7" s="1" t="s">
        <v>37</v>
      </c>
      <c r="G7" s="1" t="s">
        <v>38</v>
      </c>
      <c r="H7" s="1" t="s">
        <v>39</v>
      </c>
      <c r="I7" s="1" t="s">
        <v>39</v>
      </c>
      <c r="J7" s="1" t="s">
        <v>39</v>
      </c>
      <c r="K7" s="1" t="s">
        <v>40</v>
      </c>
      <c r="L7" s="4">
        <v>17500</v>
      </c>
      <c r="M7" s="6">
        <v>-39.5</v>
      </c>
      <c r="N7" s="7">
        <f>IF(AND(L7 &lt;&gt; "-", M7 &lt;&gt; "-"),L7*( 1 + M7%),0)</f>
      </c>
      <c r="O7" s="7">
        <f>( N7 * E7 )</f>
      </c>
      <c r="P7" s="1" t="s">
        <v>50</v>
      </c>
      <c r="Q7" s="6">
        <v>1.01</v>
      </c>
      <c r="R7" s="6">
        <v>62.8</v>
      </c>
      <c r="S7" s="4">
        <v>59</v>
      </c>
      <c r="T7" s="1" t="s">
        <v>42</v>
      </c>
      <c r="U7" s="5">
        <f>HYPERLINK("https://www.gia.edu/report-check?reportno=5433073093","5433073093")</f>
      </c>
      <c r="V7" s="1" t="s">
        <v>43</v>
      </c>
      <c r="W7" s="1" t="s">
        <v>51</v>
      </c>
      <c r="X7" s="1" t="s">
        <v>40</v>
      </c>
      <c r="Y7" s="1" t="s">
        <v>40</v>
      </c>
      <c r="Z7" s="1" t="s">
        <v>45</v>
      </c>
      <c r="AA7" s="1" t="s">
        <v>52</v>
      </c>
      <c r="AB7" s="1" t="s">
        <v>47</v>
      </c>
      <c r="AC7" s="1" t="s">
        <v>48</v>
      </c>
      <c r="AD7" s="1" t="s">
        <v>43</v>
      </c>
      <c r="AE7" s="8">
        <f>IF(L7&lt;&gt;"",L7*E7,0)</f>
      </c>
    </row>
    <row r="8" spans="1:31" x14ac:dyDescent="0.25">
      <c r="A8" s="4">
        <v>3</v>
      </c>
      <c r="B8" s="1" t="s">
        <v>53</v>
      </c>
      <c r="C8" s="5">
        <f>HYPERLINK("https://client.unique.diamonds/dna/11286-110","DNA")</f>
      </c>
      <c r="D8" s="1" t="s">
        <v>36</v>
      </c>
      <c r="E8" s="6">
        <v>1.53</v>
      </c>
      <c r="F8" s="1" t="s">
        <v>37</v>
      </c>
      <c r="G8" s="1" t="s">
        <v>38</v>
      </c>
      <c r="H8" s="1" t="s">
        <v>39</v>
      </c>
      <c r="I8" s="1" t="s">
        <v>39</v>
      </c>
      <c r="J8" s="1" t="s">
        <v>39</v>
      </c>
      <c r="K8" s="1" t="s">
        <v>40</v>
      </c>
      <c r="L8" s="4">
        <v>17500</v>
      </c>
      <c r="M8" s="6">
        <v>-39.63</v>
      </c>
      <c r="N8" s="7">
        <f>IF(AND(L8 &lt;&gt; "-", M8 &lt;&gt; "-"),L8*( 1 + M8%),0)</f>
      </c>
      <c r="O8" s="7">
        <f>( N8 * E8 )</f>
      </c>
      <c r="P8" s="1" t="s">
        <v>54</v>
      </c>
      <c r="Q8" s="6">
        <v>1.01</v>
      </c>
      <c r="R8" s="6">
        <v>62.7</v>
      </c>
      <c r="S8" s="4">
        <v>55</v>
      </c>
      <c r="T8" s="1" t="s">
        <v>42</v>
      </c>
      <c r="U8" s="5">
        <f>HYPERLINK("https://www.gia.edu/report-check?reportno=2457158315","2457158315")</f>
      </c>
      <c r="V8" s="1" t="s">
        <v>43</v>
      </c>
      <c r="W8" s="1" t="s">
        <v>55</v>
      </c>
      <c r="X8" s="1" t="s">
        <v>40</v>
      </c>
      <c r="Y8" s="1" t="s">
        <v>40</v>
      </c>
      <c r="Z8" s="1" t="s">
        <v>46</v>
      </c>
      <c r="AA8" s="1" t="s">
        <v>47</v>
      </c>
      <c r="AB8" s="1" t="s">
        <v>40</v>
      </c>
      <c r="AC8" s="1" t="s">
        <v>48</v>
      </c>
      <c r="AD8" s="1" t="s">
        <v>43</v>
      </c>
      <c r="AE8" s="8">
        <f>IF(L8&lt;&gt;"",L8*E8,0)</f>
      </c>
    </row>
    <row r="9" spans="1:31" x14ac:dyDescent="0.25">
      <c r="A9" s="4">
        <v>4</v>
      </c>
      <c r="B9" s="1" t="s">
        <v>56</v>
      </c>
      <c r="C9" s="5">
        <f>HYPERLINK("https://client.unique.diamonds/dna/21149-1","DNA")</f>
      </c>
      <c r="D9" s="1" t="s">
        <v>36</v>
      </c>
      <c r="E9" s="6">
        <v>2.03</v>
      </c>
      <c r="F9" s="1" t="s">
        <v>37</v>
      </c>
      <c r="G9" s="1" t="s">
        <v>38</v>
      </c>
      <c r="H9" s="1" t="s">
        <v>39</v>
      </c>
      <c r="I9" s="1" t="s">
        <v>39</v>
      </c>
      <c r="J9" s="1" t="s">
        <v>39</v>
      </c>
      <c r="K9" s="1" t="s">
        <v>40</v>
      </c>
      <c r="L9" s="4">
        <v>24500</v>
      </c>
      <c r="M9" s="6">
        <v>-33</v>
      </c>
      <c r="N9" s="7">
        <f>IF(AND(L9 &lt;&gt; "-", M9 &lt;&gt; "-"),L9*( 1 + M9%),0)</f>
      </c>
      <c r="O9" s="7">
        <f>( N9 * E9 )</f>
      </c>
      <c r="P9" s="1" t="s">
        <v>57</v>
      </c>
      <c r="Q9" s="6">
        <v>1</v>
      </c>
      <c r="R9" s="6">
        <v>62.5</v>
      </c>
      <c r="S9" s="4">
        <v>58</v>
      </c>
      <c r="T9" s="1" t="s">
        <v>42</v>
      </c>
      <c r="U9" s="5">
        <f>HYPERLINK("https://www.gia.edu/report-check?reportno=6462739336","6462739336")</f>
      </c>
      <c r="V9" s="1" t="s">
        <v>43</v>
      </c>
      <c r="W9" s="1" t="s">
        <v>58</v>
      </c>
      <c r="X9" s="1" t="s">
        <v>45</v>
      </c>
      <c r="Y9" s="1" t="s">
        <v>40</v>
      </c>
      <c r="Z9" s="1" t="s">
        <v>59</v>
      </c>
      <c r="AA9" s="1" t="s">
        <v>40</v>
      </c>
      <c r="AB9" s="1" t="s">
        <v>40</v>
      </c>
      <c r="AC9" s="1" t="s">
        <v>48</v>
      </c>
      <c r="AD9" s="1" t="s">
        <v>43</v>
      </c>
      <c r="AE9" s="8">
        <f>IF(L9&lt;&gt;"",L9*E9,0)</f>
      </c>
    </row>
    <row r="10" spans="1:31" x14ac:dyDescent="0.25">
      <c r="A10" s="4">
        <v>5</v>
      </c>
      <c r="B10" s="1" t="s">
        <v>60</v>
      </c>
      <c r="C10" s="5">
        <f>HYPERLINK("https://client.unique.diamonds/dna/21001-68","DNA")</f>
      </c>
      <c r="D10" s="1" t="s">
        <v>36</v>
      </c>
      <c r="E10" s="6">
        <v>1.5</v>
      </c>
      <c r="F10" s="1" t="s">
        <v>61</v>
      </c>
      <c r="G10" s="1" t="s">
        <v>38</v>
      </c>
      <c r="H10" s="1" t="s">
        <v>39</v>
      </c>
      <c r="I10" s="1" t="s">
        <v>39</v>
      </c>
      <c r="J10" s="1" t="s">
        <v>39</v>
      </c>
      <c r="K10" s="1" t="s">
        <v>40</v>
      </c>
      <c r="L10" s="4">
        <v>16200</v>
      </c>
      <c r="M10" s="6">
        <v>-39.03</v>
      </c>
      <c r="N10" s="7">
        <f>IF(AND(L10 &lt;&gt; "-", M10 &lt;&gt; "-"),L10*( 1 + M10%),0)</f>
      </c>
      <c r="O10" s="7">
        <f>( N10 * E10 )</f>
      </c>
      <c r="P10" s="1" t="s">
        <v>62</v>
      </c>
      <c r="Q10" s="6">
        <v>1.01</v>
      </c>
      <c r="R10" s="6">
        <v>62.6</v>
      </c>
      <c r="S10" s="4">
        <v>57</v>
      </c>
      <c r="T10" s="1" t="s">
        <v>42</v>
      </c>
      <c r="U10" s="5">
        <f>HYPERLINK("https://www.gia.edu/report-check?reportno=6455395606","6455395606")</f>
      </c>
      <c r="V10" s="1" t="s">
        <v>43</v>
      </c>
      <c r="W10" s="1" t="s">
        <v>63</v>
      </c>
      <c r="X10" s="1" t="s">
        <v>64</v>
      </c>
      <c r="Y10" s="1" t="s">
        <v>40</v>
      </c>
      <c r="Z10" s="1" t="s">
        <v>46</v>
      </c>
      <c r="AA10" s="1" t="s">
        <v>52</v>
      </c>
      <c r="AB10" s="1" t="s">
        <v>40</v>
      </c>
      <c r="AC10" s="1" t="s">
        <v>48</v>
      </c>
      <c r="AD10" s="1" t="s">
        <v>43</v>
      </c>
      <c r="AE10" s="8">
        <f>IF(L10&lt;&gt;"",L10*E10,0)</f>
      </c>
    </row>
    <row r="11" spans="1:31" x14ac:dyDescent="0.25">
      <c r="A11" s="4">
        <v>6</v>
      </c>
      <c r="B11" s="1" t="s">
        <v>65</v>
      </c>
      <c r="C11" s="5">
        <f>HYPERLINK("https://client.unique.diamonds/dna/11274-8","DNA")</f>
      </c>
      <c r="D11" s="1" t="s">
        <v>36</v>
      </c>
      <c r="E11" s="6">
        <v>1.5</v>
      </c>
      <c r="F11" s="1" t="s">
        <v>61</v>
      </c>
      <c r="G11" s="1" t="s">
        <v>38</v>
      </c>
      <c r="H11" s="1" t="s">
        <v>39</v>
      </c>
      <c r="I11" s="1" t="s">
        <v>39</v>
      </c>
      <c r="J11" s="1" t="s">
        <v>39</v>
      </c>
      <c r="K11" s="1" t="s">
        <v>40</v>
      </c>
      <c r="L11" s="4">
        <v>16200</v>
      </c>
      <c r="M11" s="6">
        <v>-40</v>
      </c>
      <c r="N11" s="7">
        <f>IF(AND(L11 &lt;&gt; "-", M11 &lt;&gt; "-"),L11*( 1 + M11%),0)</f>
      </c>
      <c r="O11" s="7">
        <f>( N11 * E11 )</f>
      </c>
      <c r="P11" s="1" t="s">
        <v>66</v>
      </c>
      <c r="Q11" s="6">
        <v>1.01</v>
      </c>
      <c r="R11" s="6">
        <v>62.6</v>
      </c>
      <c r="S11" s="4">
        <v>57</v>
      </c>
      <c r="T11" s="1" t="s">
        <v>42</v>
      </c>
      <c r="U11" s="5">
        <f>HYPERLINK("https://www.gia.edu/report-check?reportno=6445872567","6445872567")</f>
      </c>
      <c r="V11" s="1" t="s">
        <v>43</v>
      </c>
      <c r="W11" s="1" t="s">
        <v>67</v>
      </c>
      <c r="X11" s="1" t="s">
        <v>64</v>
      </c>
      <c r="Y11" s="1" t="s">
        <v>40</v>
      </c>
      <c r="Z11" s="1" t="s">
        <v>45</v>
      </c>
      <c r="AA11" s="1" t="s">
        <v>40</v>
      </c>
      <c r="AB11" s="1" t="s">
        <v>47</v>
      </c>
      <c r="AC11" s="1" t="s">
        <v>48</v>
      </c>
      <c r="AD11" s="1" t="s">
        <v>43</v>
      </c>
      <c r="AE11" s="8">
        <f>IF(L11&lt;&gt;"",L11*E11,0)</f>
      </c>
    </row>
    <row r="12" spans="1:31" x14ac:dyDescent="0.25">
      <c r="A12" s="4">
        <v>7</v>
      </c>
      <c r="B12" s="1" t="s">
        <v>68</v>
      </c>
      <c r="C12" s="5">
        <f>HYPERLINK("https://client.unique.diamonds/dna/141404-16","DNA")</f>
      </c>
      <c r="D12" s="1" t="s">
        <v>36</v>
      </c>
      <c r="E12" s="6">
        <v>1.51</v>
      </c>
      <c r="F12" s="1" t="s">
        <v>61</v>
      </c>
      <c r="G12" s="1" t="s">
        <v>38</v>
      </c>
      <c r="H12" s="1" t="s">
        <v>39</v>
      </c>
      <c r="I12" s="1" t="s">
        <v>39</v>
      </c>
      <c r="J12" s="1" t="s">
        <v>39</v>
      </c>
      <c r="K12" s="1" t="s">
        <v>40</v>
      </c>
      <c r="L12" s="4">
        <v>16200</v>
      </c>
      <c r="M12" s="6">
        <v>-40.5</v>
      </c>
      <c r="N12" s="7">
        <f>IF(AND(L12 &lt;&gt; "-", M12 &lt;&gt; "-"),L12*( 1 + M12%),0)</f>
      </c>
      <c r="O12" s="7">
        <f>( N12 * E12 )</f>
      </c>
      <c r="P12" s="1" t="s">
        <v>69</v>
      </c>
      <c r="Q12" s="6">
        <v>1.01</v>
      </c>
      <c r="R12" s="6">
        <v>62.3</v>
      </c>
      <c r="S12" s="4">
        <v>57</v>
      </c>
      <c r="T12" s="1" t="s">
        <v>42</v>
      </c>
      <c r="U12" s="5">
        <f>HYPERLINK("https://www.gia.edu/report-check?reportno=7411102002","7411102002")</f>
      </c>
      <c r="V12" s="1" t="s">
        <v>43</v>
      </c>
      <c r="W12" s="1" t="s">
        <v>67</v>
      </c>
      <c r="X12" s="1" t="s">
        <v>45</v>
      </c>
      <c r="Y12" s="1" t="s">
        <v>40</v>
      </c>
      <c r="Z12" s="1" t="s">
        <v>46</v>
      </c>
      <c r="AA12" s="1" t="s">
        <v>47</v>
      </c>
      <c r="AB12" s="1" t="s">
        <v>47</v>
      </c>
      <c r="AC12" s="1" t="s">
        <v>48</v>
      </c>
      <c r="AD12" s="1" t="s">
        <v>43</v>
      </c>
      <c r="AE12" s="8">
        <f>IF(L12&lt;&gt;"",L12*E12,0)</f>
      </c>
    </row>
    <row r="13" spans="1:31" x14ac:dyDescent="0.25">
      <c r="A13" s="4">
        <v>8</v>
      </c>
      <c r="B13" s="1" t="s">
        <v>70</v>
      </c>
      <c r="C13" s="5">
        <f>HYPERLINK("https://client.unique.diamonds/dna/21098-34","DNA")</f>
      </c>
      <c r="D13" s="1" t="s">
        <v>36</v>
      </c>
      <c r="E13" s="6">
        <v>1.53</v>
      </c>
      <c r="F13" s="1" t="s">
        <v>61</v>
      </c>
      <c r="G13" s="1" t="s">
        <v>38</v>
      </c>
      <c r="H13" s="1" t="s">
        <v>39</v>
      </c>
      <c r="I13" s="1" t="s">
        <v>39</v>
      </c>
      <c r="J13" s="1" t="s">
        <v>39</v>
      </c>
      <c r="K13" s="1" t="s">
        <v>40</v>
      </c>
      <c r="L13" s="4">
        <v>16200</v>
      </c>
      <c r="M13" s="6">
        <v>-37.5</v>
      </c>
      <c r="N13" s="7">
        <f>IF(AND(L13 &lt;&gt; "-", M13 &lt;&gt; "-"),L13*( 1 + M13%),0)</f>
      </c>
      <c r="O13" s="7">
        <f>( N13 * E13 )</f>
      </c>
      <c r="P13" s="1" t="s">
        <v>71</v>
      </c>
      <c r="Q13" s="6">
        <v>1.01</v>
      </c>
      <c r="R13" s="6">
        <v>61.5</v>
      </c>
      <c r="S13" s="4">
        <v>59</v>
      </c>
      <c r="T13" s="1" t="s">
        <v>42</v>
      </c>
      <c r="U13" s="5">
        <f>HYPERLINK("https://www.gia.edu/report-check?reportno=1463491825","1463491825")</f>
      </c>
      <c r="V13" s="1" t="s">
        <v>43</v>
      </c>
      <c r="W13" s="1" t="s">
        <v>72</v>
      </c>
      <c r="X13" s="1" t="s">
        <v>40</v>
      </c>
      <c r="Y13" s="1" t="s">
        <v>40</v>
      </c>
      <c r="Z13" s="1" t="s">
        <v>45</v>
      </c>
      <c r="AA13" s="1" t="s">
        <v>40</v>
      </c>
      <c r="AB13" s="1" t="s">
        <v>73</v>
      </c>
      <c r="AC13" s="1" t="s">
        <v>48</v>
      </c>
      <c r="AD13" s="1" t="s">
        <v>43</v>
      </c>
      <c r="AE13" s="8">
        <f>IF(L13&lt;&gt;"",L13*E13,0)</f>
      </c>
    </row>
    <row r="14" spans="1:31" x14ac:dyDescent="0.25">
      <c r="A14" s="4">
        <v>9</v>
      </c>
      <c r="B14" s="1" t="s">
        <v>74</v>
      </c>
      <c r="C14" s="5">
        <f>HYPERLINK("https://client.unique.diamonds/dna/11088-53","DNA")</f>
      </c>
      <c r="D14" s="1" t="s">
        <v>36</v>
      </c>
      <c r="E14" s="6">
        <v>1.53</v>
      </c>
      <c r="F14" s="1" t="s">
        <v>61</v>
      </c>
      <c r="G14" s="1" t="s">
        <v>38</v>
      </c>
      <c r="H14" s="1" t="s">
        <v>39</v>
      </c>
      <c r="I14" s="1" t="s">
        <v>39</v>
      </c>
      <c r="J14" s="1" t="s">
        <v>39</v>
      </c>
      <c r="K14" s="1" t="s">
        <v>40</v>
      </c>
      <c r="L14" s="4">
        <v>16200</v>
      </c>
      <c r="M14" s="6">
        <v>-40</v>
      </c>
      <c r="N14" s="7">
        <f>IF(AND(L14 &lt;&gt; "-", M14 &lt;&gt; "-"),L14*( 1 + M14%),0)</f>
      </c>
      <c r="O14" s="7">
        <f>( N14 * E14 )</f>
      </c>
      <c r="P14" s="1" t="s">
        <v>75</v>
      </c>
      <c r="Q14" s="6">
        <v>1</v>
      </c>
      <c r="R14" s="6">
        <v>62.5</v>
      </c>
      <c r="S14" s="4">
        <v>58</v>
      </c>
      <c r="T14" s="1" t="s">
        <v>42</v>
      </c>
      <c r="U14" s="5">
        <f>HYPERLINK("https://www.gia.edu/report-check?reportno=6425754475","6425754475")</f>
      </c>
      <c r="V14" s="1" t="s">
        <v>43</v>
      </c>
      <c r="W14" s="1" t="s">
        <v>76</v>
      </c>
      <c r="X14" s="1" t="s">
        <v>45</v>
      </c>
      <c r="Y14" s="1" t="s">
        <v>40</v>
      </c>
      <c r="Z14" s="1" t="s">
        <v>45</v>
      </c>
      <c r="AA14" s="1" t="s">
        <v>52</v>
      </c>
      <c r="AB14" s="1" t="s">
        <v>73</v>
      </c>
      <c r="AC14" s="1" t="s">
        <v>48</v>
      </c>
      <c r="AD14" s="1" t="s">
        <v>43</v>
      </c>
      <c r="AE14" s="8">
        <f>IF(L14&lt;&gt;"",L14*E14,0)</f>
      </c>
    </row>
    <row r="15" spans="1:31" x14ac:dyDescent="0.25">
      <c r="A15" s="4">
        <v>10</v>
      </c>
      <c r="B15" s="1" t="s">
        <v>77</v>
      </c>
      <c r="C15" s="5">
        <f>HYPERLINK("https://client.unique.diamonds/dna/11051-10","DNA")</f>
      </c>
      <c r="D15" s="1" t="s">
        <v>36</v>
      </c>
      <c r="E15" s="6">
        <v>1.57</v>
      </c>
      <c r="F15" s="1" t="s">
        <v>61</v>
      </c>
      <c r="G15" s="1" t="s">
        <v>38</v>
      </c>
      <c r="H15" s="1" t="s">
        <v>39</v>
      </c>
      <c r="I15" s="1" t="s">
        <v>39</v>
      </c>
      <c r="J15" s="1" t="s">
        <v>39</v>
      </c>
      <c r="K15" s="1" t="s">
        <v>40</v>
      </c>
      <c r="L15" s="4">
        <v>16200</v>
      </c>
      <c r="M15" s="6">
        <v>-40</v>
      </c>
      <c r="N15" s="7">
        <f>IF(AND(L15 &lt;&gt; "-", M15 &lt;&gt; "-"),L15*( 1 + M15%),0)</f>
      </c>
      <c r="O15" s="7">
        <f>( N15 * E15 )</f>
      </c>
      <c r="P15" s="1" t="s">
        <v>78</v>
      </c>
      <c r="Q15" s="6">
        <v>1</v>
      </c>
      <c r="R15" s="6">
        <v>61.3</v>
      </c>
      <c r="S15" s="4">
        <v>59</v>
      </c>
      <c r="T15" s="1" t="s">
        <v>42</v>
      </c>
      <c r="U15" s="5">
        <f>HYPERLINK("https://www.gia.edu/report-check?reportno=6422004053","6422004053")</f>
      </c>
      <c r="V15" s="1" t="s">
        <v>43</v>
      </c>
      <c r="W15" s="1" t="s">
        <v>79</v>
      </c>
      <c r="X15" s="1" t="s">
        <v>46</v>
      </c>
      <c r="Y15" s="1" t="s">
        <v>40</v>
      </c>
      <c r="Z15" s="1" t="s">
        <v>46</v>
      </c>
      <c r="AA15" s="1" t="s">
        <v>47</v>
      </c>
      <c r="AB15" s="1" t="s">
        <v>40</v>
      </c>
      <c r="AC15" s="1" t="s">
        <v>48</v>
      </c>
      <c r="AD15" s="1" t="s">
        <v>43</v>
      </c>
      <c r="AE15" s="8">
        <f>IF(L15&lt;&gt;"",L15*E15,0)</f>
      </c>
    </row>
    <row r="16" spans="1:31" x14ac:dyDescent="0.25">
      <c r="A16" s="4">
        <v>11</v>
      </c>
      <c r="B16" s="1" t="s">
        <v>80</v>
      </c>
      <c r="C16" s="5">
        <f>HYPERLINK("https://client.unique.diamonds/dna/21031-29","DNA")</f>
      </c>
      <c r="D16" s="1" t="s">
        <v>36</v>
      </c>
      <c r="E16" s="6">
        <v>1.7</v>
      </c>
      <c r="F16" s="1" t="s">
        <v>61</v>
      </c>
      <c r="G16" s="1" t="s">
        <v>38</v>
      </c>
      <c r="H16" s="1" t="s">
        <v>39</v>
      </c>
      <c r="I16" s="1" t="s">
        <v>39</v>
      </c>
      <c r="J16" s="1" t="s">
        <v>39</v>
      </c>
      <c r="K16" s="1" t="s">
        <v>40</v>
      </c>
      <c r="L16" s="4">
        <v>16200</v>
      </c>
      <c r="M16" s="6">
        <v>-29.37</v>
      </c>
      <c r="N16" s="7">
        <f>IF(AND(L16 &lt;&gt; "-", M16 &lt;&gt; "-"),L16*( 1 + M16%),0)</f>
      </c>
      <c r="O16" s="7">
        <f>( N16 * E16 )</f>
      </c>
      <c r="P16" s="1" t="s">
        <v>81</v>
      </c>
      <c r="Q16" s="6">
        <v>1.01</v>
      </c>
      <c r="R16" s="6">
        <v>61.9</v>
      </c>
      <c r="S16" s="4">
        <v>59</v>
      </c>
      <c r="T16" s="1" t="s">
        <v>42</v>
      </c>
      <c r="U16" s="5">
        <f>HYPERLINK("https://www.gia.edu/report-check?reportno=2458739909","2458739909")</f>
      </c>
      <c r="V16" s="1" t="s">
        <v>43</v>
      </c>
      <c r="W16" s="1" t="s">
        <v>82</v>
      </c>
      <c r="X16" s="1" t="s">
        <v>45</v>
      </c>
      <c r="Y16" s="1" t="s">
        <v>40</v>
      </c>
      <c r="Z16" s="1" t="s">
        <v>46</v>
      </c>
      <c r="AA16" s="1" t="s">
        <v>52</v>
      </c>
      <c r="AB16" s="1" t="s">
        <v>40</v>
      </c>
      <c r="AC16" s="1" t="s">
        <v>48</v>
      </c>
      <c r="AD16" s="1" t="s">
        <v>43</v>
      </c>
      <c r="AE16" s="8">
        <f>IF(L16&lt;&gt;"",L16*E16,0)</f>
      </c>
    </row>
    <row r="17" spans="1:31" x14ac:dyDescent="0.25">
      <c r="A17" s="4">
        <v>12</v>
      </c>
      <c r="B17" s="1" t="s">
        <v>83</v>
      </c>
      <c r="C17" s="5">
        <f>HYPERLINK("https://client.unique.diamonds/dna/21120-20","DNA")</f>
      </c>
      <c r="D17" s="1" t="s">
        <v>36</v>
      </c>
      <c r="E17" s="6">
        <v>1.7</v>
      </c>
      <c r="F17" s="1" t="s">
        <v>61</v>
      </c>
      <c r="G17" s="1" t="s">
        <v>38</v>
      </c>
      <c r="H17" s="1" t="s">
        <v>39</v>
      </c>
      <c r="I17" s="1" t="s">
        <v>39</v>
      </c>
      <c r="J17" s="1" t="s">
        <v>39</v>
      </c>
      <c r="K17" s="1" t="s">
        <v>40</v>
      </c>
      <c r="L17" s="4">
        <v>16200</v>
      </c>
      <c r="M17" s="6">
        <v>-29.5</v>
      </c>
      <c r="N17" s="7">
        <f>IF(AND(L17 &lt;&gt; "-", M17 &lt;&gt; "-"),L17*( 1 + M17%),0)</f>
      </c>
      <c r="O17" s="7">
        <f>( N17 * E17 )</f>
      </c>
      <c r="P17" s="1" t="s">
        <v>84</v>
      </c>
      <c r="Q17" s="6">
        <v>1.01</v>
      </c>
      <c r="R17" s="6">
        <v>62.1</v>
      </c>
      <c r="S17" s="4">
        <v>61</v>
      </c>
      <c r="T17" s="1" t="s">
        <v>42</v>
      </c>
      <c r="U17" s="5">
        <f>HYPERLINK("https://www.gia.edu/report-check?reportno=7466627256","7466627256")</f>
      </c>
      <c r="V17" s="1" t="s">
        <v>43</v>
      </c>
      <c r="W17" s="1" t="s">
        <v>85</v>
      </c>
      <c r="X17" s="1" t="s">
        <v>46</v>
      </c>
      <c r="Y17" s="1" t="s">
        <v>40</v>
      </c>
      <c r="Z17" s="1" t="s">
        <v>46</v>
      </c>
      <c r="AA17" s="1" t="s">
        <v>52</v>
      </c>
      <c r="AB17" s="1" t="s">
        <v>40</v>
      </c>
      <c r="AC17" s="1" t="s">
        <v>48</v>
      </c>
      <c r="AD17" s="1" t="s">
        <v>43</v>
      </c>
      <c r="AE17" s="8">
        <f>IF(L17&lt;&gt;"",L17*E17,0)</f>
      </c>
    </row>
    <row r="18" spans="1:31" x14ac:dyDescent="0.25">
      <c r="A18" s="4">
        <v>13</v>
      </c>
      <c r="B18" s="1" t="s">
        <v>86</v>
      </c>
      <c r="C18" s="5">
        <f>HYPERLINK("https://client.unique.diamonds/dna/21140-18","DNA")</f>
      </c>
      <c r="D18" s="1" t="s">
        <v>36</v>
      </c>
      <c r="E18" s="6">
        <v>1.72</v>
      </c>
      <c r="F18" s="1" t="s">
        <v>61</v>
      </c>
      <c r="G18" s="1" t="s">
        <v>38</v>
      </c>
      <c r="H18" s="1" t="s">
        <v>39</v>
      </c>
      <c r="I18" s="1" t="s">
        <v>39</v>
      </c>
      <c r="J18" s="1" t="s">
        <v>39</v>
      </c>
      <c r="K18" s="1" t="s">
        <v>40</v>
      </c>
      <c r="L18" s="4">
        <v>16200</v>
      </c>
      <c r="M18" s="6">
        <v>-28.5</v>
      </c>
      <c r="N18" s="7">
        <f>IF(AND(L18 &lt;&gt; "-", M18 &lt;&gt; "-"),L18*( 1 + M18%),0)</f>
      </c>
      <c r="O18" s="7">
        <f>( N18 * E18 )</f>
      </c>
      <c r="P18" s="1" t="s">
        <v>87</v>
      </c>
      <c r="Q18" s="6">
        <v>1</v>
      </c>
      <c r="R18" s="6">
        <v>62.2</v>
      </c>
      <c r="S18" s="4">
        <v>57</v>
      </c>
      <c r="T18" s="1" t="s">
        <v>42</v>
      </c>
      <c r="U18" s="5">
        <f>HYPERLINK("https://www.gia.edu/report-check?reportno=6461744581","6461744581")</f>
      </c>
      <c r="V18" s="1" t="s">
        <v>43</v>
      </c>
      <c r="W18" s="1" t="s">
        <v>88</v>
      </c>
      <c r="X18" s="1" t="s">
        <v>59</v>
      </c>
      <c r="Y18" s="1" t="s">
        <v>40</v>
      </c>
      <c r="Z18" s="1" t="s">
        <v>46</v>
      </c>
      <c r="AA18" s="1" t="s">
        <v>40</v>
      </c>
      <c r="AB18" s="1" t="s">
        <v>40</v>
      </c>
      <c r="AC18" s="1" t="s">
        <v>48</v>
      </c>
      <c r="AD18" s="1" t="s">
        <v>43</v>
      </c>
      <c r="AE18" s="8">
        <f>IF(L18&lt;&gt;"",L18*E18,0)</f>
      </c>
    </row>
    <row r="19" spans="1:31" x14ac:dyDescent="0.25">
      <c r="A19" s="4">
        <v>14</v>
      </c>
      <c r="B19" s="1" t="s">
        <v>89</v>
      </c>
      <c r="C19" s="5">
        <f>HYPERLINK("https://client.unique.diamonds/dna/21067-11","DNA")</f>
      </c>
      <c r="D19" s="1" t="s">
        <v>36</v>
      </c>
      <c r="E19" s="6">
        <v>2.01</v>
      </c>
      <c r="F19" s="1" t="s">
        <v>61</v>
      </c>
      <c r="G19" s="1" t="s">
        <v>38</v>
      </c>
      <c r="H19" s="1" t="s">
        <v>39</v>
      </c>
      <c r="I19" s="1" t="s">
        <v>39</v>
      </c>
      <c r="J19" s="1" t="s">
        <v>39</v>
      </c>
      <c r="K19" s="1" t="s">
        <v>90</v>
      </c>
      <c r="L19" s="4">
        <v>22500</v>
      </c>
      <c r="M19" s="6">
        <v>-46</v>
      </c>
      <c r="N19" s="7">
        <f>IF(AND(L19 &lt;&gt; "-", M19 &lt;&gt; "-"),L19*( 1 + M19%),0)</f>
      </c>
      <c r="O19" s="7">
        <f>( N19 * E19 )</f>
      </c>
      <c r="P19" s="1" t="s">
        <v>91</v>
      </c>
      <c r="Q19" s="6">
        <v>1.01</v>
      </c>
      <c r="R19" s="6">
        <v>62.6</v>
      </c>
      <c r="S19" s="4">
        <v>59</v>
      </c>
      <c r="T19" s="1" t="s">
        <v>42</v>
      </c>
      <c r="U19" s="5">
        <f>HYPERLINK("https://www.gia.edu/report-check?reportno=7466023462","7466023462")</f>
      </c>
      <c r="V19" s="1" t="s">
        <v>43</v>
      </c>
      <c r="W19" s="1" t="s">
        <v>92</v>
      </c>
      <c r="X19" s="1" t="s">
        <v>40</v>
      </c>
      <c r="Y19" s="1" t="s">
        <v>40</v>
      </c>
      <c r="Z19" s="1" t="s">
        <v>45</v>
      </c>
      <c r="AA19" s="1" t="s">
        <v>47</v>
      </c>
      <c r="AB19" s="1" t="s">
        <v>40</v>
      </c>
      <c r="AC19" s="1" t="s">
        <v>48</v>
      </c>
      <c r="AD19" s="1" t="s">
        <v>43</v>
      </c>
      <c r="AE19" s="8">
        <f>IF(L19&lt;&gt;"",L19*E19,0)</f>
      </c>
    </row>
    <row r="20" spans="1:31" x14ac:dyDescent="0.25">
      <c r="A20" s="4">
        <v>15</v>
      </c>
      <c r="B20" s="1" t="s">
        <v>93</v>
      </c>
      <c r="C20" s="5">
        <f>HYPERLINK("https://client.unique.diamonds/dna/21067-29","DNA")</f>
      </c>
      <c r="D20" s="1" t="s">
        <v>36</v>
      </c>
      <c r="E20" s="6">
        <v>3.02</v>
      </c>
      <c r="F20" s="1" t="s">
        <v>61</v>
      </c>
      <c r="G20" s="1" t="s">
        <v>38</v>
      </c>
      <c r="H20" s="1" t="s">
        <v>39</v>
      </c>
      <c r="I20" s="1" t="s">
        <v>39</v>
      </c>
      <c r="J20" s="1" t="s">
        <v>39</v>
      </c>
      <c r="K20" s="1" t="s">
        <v>94</v>
      </c>
      <c r="L20" s="4">
        <v>36500</v>
      </c>
      <c r="M20" s="6">
        <v>-56</v>
      </c>
      <c r="N20" s="7">
        <f>IF(AND(L20 &lt;&gt; "-", M20 &lt;&gt; "-"),L20*( 1 + M20%),0)</f>
      </c>
      <c r="O20" s="7">
        <f>( N20 * E20 )</f>
      </c>
      <c r="P20" s="1" t="s">
        <v>95</v>
      </c>
      <c r="Q20" s="6">
        <v>1</v>
      </c>
      <c r="R20" s="6">
        <v>62.6</v>
      </c>
      <c r="S20" s="4">
        <v>56</v>
      </c>
      <c r="T20" s="1" t="s">
        <v>42</v>
      </c>
      <c r="U20" s="5">
        <f>HYPERLINK("https://www.gia.edu/report-check?reportno=1468094184","1468094184")</f>
      </c>
      <c r="V20" s="1" t="s">
        <v>43</v>
      </c>
      <c r="W20" s="1" t="s">
        <v>96</v>
      </c>
      <c r="X20" s="1" t="s">
        <v>59</v>
      </c>
      <c r="Y20" s="1" t="s">
        <v>40</v>
      </c>
      <c r="Z20" s="1" t="s">
        <v>46</v>
      </c>
      <c r="AA20" s="1" t="s">
        <v>52</v>
      </c>
      <c r="AB20" s="1" t="s">
        <v>73</v>
      </c>
      <c r="AC20" s="1" t="s">
        <v>48</v>
      </c>
      <c r="AD20" s="1" t="s">
        <v>43</v>
      </c>
      <c r="AE20" s="8">
        <f>IF(L20&lt;&gt;"",L20*E20,0)</f>
      </c>
    </row>
    <row r="21" spans="1:31" x14ac:dyDescent="0.25">
      <c r="A21" s="4">
        <v>16</v>
      </c>
      <c r="B21" s="1" t="s">
        <v>97</v>
      </c>
      <c r="C21" s="5">
        <f>HYPERLINK("https://client.unique.diamonds/dna/21042-2","DNA")</f>
      </c>
      <c r="D21" s="1" t="s">
        <v>36</v>
      </c>
      <c r="E21" s="6">
        <v>4.09</v>
      </c>
      <c r="F21" s="1" t="s">
        <v>61</v>
      </c>
      <c r="G21" s="1" t="s">
        <v>38</v>
      </c>
      <c r="H21" s="1" t="s">
        <v>39</v>
      </c>
      <c r="I21" s="1" t="s">
        <v>39</v>
      </c>
      <c r="J21" s="1" t="s">
        <v>39</v>
      </c>
      <c r="K21" s="1" t="s">
        <v>40</v>
      </c>
      <c r="L21" s="4">
        <v>49000</v>
      </c>
      <c r="M21" s="6">
        <v>-37</v>
      </c>
      <c r="N21" s="7">
        <f>IF(AND(L21 &lt;&gt; "-", M21 &lt;&gt; "-"),L21*( 1 + M21%),0)</f>
      </c>
      <c r="O21" s="7">
        <f>( N21 * E21 )</f>
      </c>
      <c r="P21" s="1" t="s">
        <v>98</v>
      </c>
      <c r="Q21" s="6">
        <v>1</v>
      </c>
      <c r="R21" s="6">
        <v>62.4</v>
      </c>
      <c r="S21" s="4">
        <v>58</v>
      </c>
      <c r="T21" s="1" t="s">
        <v>42</v>
      </c>
      <c r="U21" s="5">
        <f>HYPERLINK("https://www.gia.edu/report-check?reportno=6227808466","6227808466")</f>
      </c>
      <c r="V21" s="1" t="s">
        <v>43</v>
      </c>
      <c r="W21" s="1" t="s">
        <v>99</v>
      </c>
      <c r="X21" s="1" t="s">
        <v>45</v>
      </c>
      <c r="Y21" s="1" t="s">
        <v>40</v>
      </c>
      <c r="Z21" s="1" t="s">
        <v>46</v>
      </c>
      <c r="AA21" s="1" t="s">
        <v>40</v>
      </c>
      <c r="AB21" s="1" t="s">
        <v>40</v>
      </c>
      <c r="AC21" s="1" t="s">
        <v>48</v>
      </c>
      <c r="AD21" s="1" t="s">
        <v>43</v>
      </c>
      <c r="AE21" s="8">
        <f>IF(L21&lt;&gt;"",L21*E21,0)</f>
      </c>
    </row>
    <row r="22" spans="1:31" x14ac:dyDescent="0.25">
      <c r="A22" s="4">
        <v>17</v>
      </c>
      <c r="B22" s="1" t="s">
        <v>100</v>
      </c>
      <c r="C22" s="5">
        <f>HYPERLINK("https://client.unique.diamonds/dna/21114-15","DNA")</f>
      </c>
      <c r="D22" s="1" t="s">
        <v>36</v>
      </c>
      <c r="E22" s="6">
        <v>1.5</v>
      </c>
      <c r="F22" s="1" t="s">
        <v>101</v>
      </c>
      <c r="G22" s="1" t="s">
        <v>38</v>
      </c>
      <c r="H22" s="1" t="s">
        <v>39</v>
      </c>
      <c r="I22" s="1" t="s">
        <v>39</v>
      </c>
      <c r="J22" s="1" t="s">
        <v>39</v>
      </c>
      <c r="K22" s="1" t="s">
        <v>40</v>
      </c>
      <c r="L22" s="4">
        <v>14700</v>
      </c>
      <c r="M22" s="6">
        <v>-37</v>
      </c>
      <c r="N22" s="7">
        <f>IF(AND(L22 &lt;&gt; "-", M22 &lt;&gt; "-"),L22*( 1 + M22%),0)</f>
      </c>
      <c r="O22" s="7">
        <f>( N22 * E22 )</f>
      </c>
      <c r="P22" s="1" t="s">
        <v>102</v>
      </c>
      <c r="Q22" s="6">
        <v>1.01</v>
      </c>
      <c r="R22" s="6">
        <v>62.6</v>
      </c>
      <c r="S22" s="4">
        <v>57</v>
      </c>
      <c r="T22" s="1" t="s">
        <v>42</v>
      </c>
      <c r="U22" s="5">
        <f>HYPERLINK("https://www.gia.edu/report-check?reportno=5463526438","5463526438")</f>
      </c>
      <c r="V22" s="1" t="s">
        <v>43</v>
      </c>
      <c r="W22" s="1" t="s">
        <v>63</v>
      </c>
      <c r="X22" s="1" t="s">
        <v>64</v>
      </c>
      <c r="Y22" s="1" t="s">
        <v>40</v>
      </c>
      <c r="Z22" s="1" t="s">
        <v>46</v>
      </c>
      <c r="AA22" s="1" t="s">
        <v>52</v>
      </c>
      <c r="AB22" s="1" t="s">
        <v>40</v>
      </c>
      <c r="AC22" s="1" t="s">
        <v>48</v>
      </c>
      <c r="AD22" s="1" t="s">
        <v>43</v>
      </c>
      <c r="AE22" s="8">
        <f>IF(L22&lt;&gt;"",L22*E22,0)</f>
      </c>
    </row>
    <row r="23" spans="1:31" x14ac:dyDescent="0.25">
      <c r="A23" s="4">
        <v>18</v>
      </c>
      <c r="B23" s="1" t="s">
        <v>103</v>
      </c>
      <c r="C23" s="5">
        <f>HYPERLINK("https://client.unique.diamonds/dna/UH-4","DNA")</f>
      </c>
      <c r="D23" s="1" t="s">
        <v>36</v>
      </c>
      <c r="E23" s="6">
        <v>1.51</v>
      </c>
      <c r="F23" s="1" t="s">
        <v>101</v>
      </c>
      <c r="G23" s="1" t="s">
        <v>38</v>
      </c>
      <c r="H23" s="1" t="s">
        <v>39</v>
      </c>
      <c r="I23" s="1" t="s">
        <v>39</v>
      </c>
      <c r="J23" s="1" t="s">
        <v>39</v>
      </c>
      <c r="K23" s="1" t="s">
        <v>40</v>
      </c>
      <c r="L23" s="4">
        <v>14700</v>
      </c>
      <c r="M23" s="6">
        <v>-39.47</v>
      </c>
      <c r="N23" s="7">
        <f>IF(AND(L23 &lt;&gt; "-", M23 &lt;&gt; "-"),L23*( 1 + M23%),0)</f>
      </c>
      <c r="O23" s="7">
        <f>( N23 * E23 )</f>
      </c>
      <c r="P23" s="1" t="s">
        <v>104</v>
      </c>
      <c r="Q23" s="6">
        <v>1.01</v>
      </c>
      <c r="R23" s="6">
        <v>62.6</v>
      </c>
      <c r="S23" s="4">
        <v>58</v>
      </c>
      <c r="T23" s="1" t="s">
        <v>42</v>
      </c>
      <c r="U23" s="5">
        <f>HYPERLINK("https://www.gia.edu/report-check?reportno=2426800350","2426800350")</f>
      </c>
      <c r="V23" s="1" t="s">
        <v>43</v>
      </c>
      <c r="W23" s="1" t="s">
        <v>105</v>
      </c>
      <c r="X23" s="1" t="s">
        <v>59</v>
      </c>
      <c r="Y23" s="1" t="s">
        <v>40</v>
      </c>
      <c r="Z23" s="1" t="s">
        <v>64</v>
      </c>
      <c r="AA23" s="1" t="s">
        <v>47</v>
      </c>
      <c r="AB23" s="1" t="s">
        <v>40</v>
      </c>
      <c r="AC23" s="1" t="s">
        <v>48</v>
      </c>
      <c r="AD23" s="1" t="s">
        <v>43</v>
      </c>
      <c r="AE23" s="8">
        <f>IF(L23&lt;&gt;"",L23*E23,0)</f>
      </c>
    </row>
    <row r="24" spans="1:31" x14ac:dyDescent="0.25">
      <c r="A24" s="4">
        <v>19</v>
      </c>
      <c r="B24" s="1" t="s">
        <v>106</v>
      </c>
      <c r="C24" s="5">
        <f>HYPERLINK("https://client.unique.diamonds/dna/11275-87","DNA")</f>
      </c>
      <c r="D24" s="1" t="s">
        <v>36</v>
      </c>
      <c r="E24" s="6">
        <v>1.51</v>
      </c>
      <c r="F24" s="1" t="s">
        <v>101</v>
      </c>
      <c r="G24" s="1" t="s">
        <v>38</v>
      </c>
      <c r="H24" s="1" t="s">
        <v>39</v>
      </c>
      <c r="I24" s="1" t="s">
        <v>39</v>
      </c>
      <c r="J24" s="1" t="s">
        <v>39</v>
      </c>
      <c r="K24" s="1" t="s">
        <v>40</v>
      </c>
      <c r="L24" s="4">
        <v>14700</v>
      </c>
      <c r="M24" s="6">
        <v>-39.47</v>
      </c>
      <c r="N24" s="7">
        <f>IF(AND(L24 &lt;&gt; "-", M24 &lt;&gt; "-"),L24*( 1 + M24%),0)</f>
      </c>
      <c r="O24" s="7">
        <f>( N24 * E24 )</f>
      </c>
      <c r="P24" s="1" t="s">
        <v>107</v>
      </c>
      <c r="Q24" s="6">
        <v>1.01</v>
      </c>
      <c r="R24" s="6">
        <v>62.4</v>
      </c>
      <c r="S24" s="4">
        <v>56</v>
      </c>
      <c r="T24" s="1" t="s">
        <v>42</v>
      </c>
      <c r="U24" s="5">
        <f>HYPERLINK("https://www.gia.edu/report-check?reportno=6451034236","6451034236")</f>
      </c>
      <c r="V24" s="1" t="s">
        <v>43</v>
      </c>
      <c r="W24" s="1" t="s">
        <v>67</v>
      </c>
      <c r="X24" s="1" t="s">
        <v>45</v>
      </c>
      <c r="Y24" s="1" t="s">
        <v>40</v>
      </c>
      <c r="Z24" s="1" t="s">
        <v>46</v>
      </c>
      <c r="AA24" s="1" t="s">
        <v>47</v>
      </c>
      <c r="AB24" s="1" t="s">
        <v>47</v>
      </c>
      <c r="AC24" s="1" t="s">
        <v>48</v>
      </c>
      <c r="AD24" s="1" t="s">
        <v>43</v>
      </c>
      <c r="AE24" s="8">
        <f>IF(L24&lt;&gt;"",L24*E24,0)</f>
      </c>
    </row>
    <row r="25" spans="1:31" x14ac:dyDescent="0.25">
      <c r="A25" s="4">
        <v>20</v>
      </c>
      <c r="B25" s="1" t="s">
        <v>108</v>
      </c>
      <c r="C25" s="5">
        <f>HYPERLINK("https://client.unique.diamonds/dna/21108-51","DNA")</f>
      </c>
      <c r="D25" s="1" t="s">
        <v>36</v>
      </c>
      <c r="E25" s="6">
        <v>1.7</v>
      </c>
      <c r="F25" s="1" t="s">
        <v>101</v>
      </c>
      <c r="G25" s="1" t="s">
        <v>38</v>
      </c>
      <c r="H25" s="1" t="s">
        <v>39</v>
      </c>
      <c r="I25" s="1" t="s">
        <v>39</v>
      </c>
      <c r="J25" s="1" t="s">
        <v>39</v>
      </c>
      <c r="K25" s="1" t="s">
        <v>40</v>
      </c>
      <c r="L25" s="4">
        <v>14700</v>
      </c>
      <c r="M25" s="6">
        <v>-28.5</v>
      </c>
      <c r="N25" s="7">
        <f>IF(AND(L25 &lt;&gt; "-", M25 &lt;&gt; "-"),L25*( 1 + M25%),0)</f>
      </c>
      <c r="O25" s="7">
        <f>( N25 * E25 )</f>
      </c>
      <c r="P25" s="1" t="s">
        <v>109</v>
      </c>
      <c r="Q25" s="6">
        <v>1</v>
      </c>
      <c r="R25" s="6">
        <v>62.1</v>
      </c>
      <c r="S25" s="4">
        <v>59</v>
      </c>
      <c r="T25" s="1" t="s">
        <v>42</v>
      </c>
      <c r="U25" s="5">
        <f>HYPERLINK("https://www.gia.edu/report-check?reportno=7468449411","7468449411")</f>
      </c>
      <c r="V25" s="1" t="s">
        <v>43</v>
      </c>
      <c r="W25" s="1" t="s">
        <v>96</v>
      </c>
      <c r="X25" s="1" t="s">
        <v>45</v>
      </c>
      <c r="Y25" s="1" t="s">
        <v>40</v>
      </c>
      <c r="Z25" s="1" t="s">
        <v>40</v>
      </c>
      <c r="AA25" s="1" t="s">
        <v>47</v>
      </c>
      <c r="AB25" s="1" t="s">
        <v>40</v>
      </c>
      <c r="AC25" s="1" t="s">
        <v>48</v>
      </c>
      <c r="AD25" s="1" t="s">
        <v>43</v>
      </c>
      <c r="AE25" s="8">
        <f>IF(L25&lt;&gt;"",L25*E25,0)</f>
      </c>
    </row>
    <row r="26" spans="1:31" x14ac:dyDescent="0.25">
      <c r="A26" s="4">
        <v>21</v>
      </c>
      <c r="B26" s="1" t="s">
        <v>110</v>
      </c>
      <c r="C26" s="5">
        <f>HYPERLINK("https://client.unique.diamonds/dna/21140-13","DNA")</f>
      </c>
      <c r="D26" s="1" t="s">
        <v>36</v>
      </c>
      <c r="E26" s="6">
        <v>1.7</v>
      </c>
      <c r="F26" s="1" t="s">
        <v>101</v>
      </c>
      <c r="G26" s="1" t="s">
        <v>38</v>
      </c>
      <c r="H26" s="1" t="s">
        <v>39</v>
      </c>
      <c r="I26" s="1" t="s">
        <v>39</v>
      </c>
      <c r="J26" s="1" t="s">
        <v>39</v>
      </c>
      <c r="K26" s="1" t="s">
        <v>40</v>
      </c>
      <c r="L26" s="4">
        <v>14700</v>
      </c>
      <c r="M26" s="6">
        <v>-28.5</v>
      </c>
      <c r="N26" s="7">
        <f>IF(AND(L26 &lt;&gt; "-", M26 &lt;&gt; "-"),L26*( 1 + M26%),0)</f>
      </c>
      <c r="O26" s="7">
        <f>( N26 * E26 )</f>
      </c>
      <c r="P26" s="1" t="s">
        <v>111</v>
      </c>
      <c r="Q26" s="6">
        <v>1.01</v>
      </c>
      <c r="R26" s="6">
        <v>62.6</v>
      </c>
      <c r="S26" s="4">
        <v>58</v>
      </c>
      <c r="T26" s="1" t="s">
        <v>42</v>
      </c>
      <c r="U26" s="5">
        <f>HYPERLINK("https://www.gia.edu/report-check?reportno=2468751526","2468751526")</f>
      </c>
      <c r="V26" s="1" t="s">
        <v>43</v>
      </c>
      <c r="W26" s="1" t="s">
        <v>112</v>
      </c>
      <c r="X26" s="1" t="s">
        <v>64</v>
      </c>
      <c r="Y26" s="1" t="s">
        <v>40</v>
      </c>
      <c r="Z26" s="1" t="s">
        <v>46</v>
      </c>
      <c r="AA26" s="1" t="s">
        <v>52</v>
      </c>
      <c r="AB26" s="1" t="s">
        <v>40</v>
      </c>
      <c r="AC26" s="1" t="s">
        <v>48</v>
      </c>
      <c r="AD26" s="1" t="s">
        <v>43</v>
      </c>
      <c r="AE26" s="8">
        <f>IF(L26&lt;&gt;"",L26*E26,0)</f>
      </c>
    </row>
    <row r="27" spans="1:31" x14ac:dyDescent="0.25">
      <c r="A27" s="4">
        <v>22</v>
      </c>
      <c r="B27" s="1" t="s">
        <v>113</v>
      </c>
      <c r="C27" s="5">
        <f>HYPERLINK("https://client.unique.diamonds/dna/21001-87","DNA")</f>
      </c>
      <c r="D27" s="1" t="s">
        <v>36</v>
      </c>
      <c r="E27" s="6">
        <v>1.8</v>
      </c>
      <c r="F27" s="1" t="s">
        <v>101</v>
      </c>
      <c r="G27" s="1" t="s">
        <v>38</v>
      </c>
      <c r="H27" s="1" t="s">
        <v>39</v>
      </c>
      <c r="I27" s="1" t="s">
        <v>39</v>
      </c>
      <c r="J27" s="1" t="s">
        <v>39</v>
      </c>
      <c r="K27" s="1" t="s">
        <v>90</v>
      </c>
      <c r="L27" s="4">
        <v>14700</v>
      </c>
      <c r="M27" s="6">
        <v>-28.22</v>
      </c>
      <c r="N27" s="7">
        <f>IF(AND(L27 &lt;&gt; "-", M27 &lt;&gt; "-"),L27*( 1 + M27%),0)</f>
      </c>
      <c r="O27" s="7">
        <f>( N27 * E27 )</f>
      </c>
      <c r="P27" s="1" t="s">
        <v>114</v>
      </c>
      <c r="Q27" s="6">
        <v>1.01</v>
      </c>
      <c r="R27" s="6">
        <v>62.7</v>
      </c>
      <c r="S27" s="4">
        <v>58</v>
      </c>
      <c r="T27" s="1" t="s">
        <v>42</v>
      </c>
      <c r="U27" s="5">
        <f>HYPERLINK("https://www.gia.edu/report-check?reportno=1455424659","1455424659")</f>
      </c>
      <c r="V27" s="1" t="s">
        <v>43</v>
      </c>
      <c r="W27" s="1" t="s">
        <v>115</v>
      </c>
      <c r="X27" s="1" t="s">
        <v>45</v>
      </c>
      <c r="Y27" s="1" t="s">
        <v>40</v>
      </c>
      <c r="Z27" s="1" t="s">
        <v>46</v>
      </c>
      <c r="AA27" s="1" t="s">
        <v>52</v>
      </c>
      <c r="AB27" s="1" t="s">
        <v>40</v>
      </c>
      <c r="AC27" s="1" t="s">
        <v>48</v>
      </c>
      <c r="AD27" s="1" t="s">
        <v>43</v>
      </c>
      <c r="AE27" s="8">
        <f>IF(L27&lt;&gt;"",L27*E27,0)</f>
      </c>
    </row>
    <row r="28" spans="1:31" x14ac:dyDescent="0.25">
      <c r="A28" s="4">
        <v>23</v>
      </c>
      <c r="B28" s="1" t="s">
        <v>116</v>
      </c>
      <c r="C28" s="5">
        <f>HYPERLINK("https://client.unique.diamonds/dna/11235-22","DNA")</f>
      </c>
      <c r="D28" s="1" t="s">
        <v>36</v>
      </c>
      <c r="E28" s="6">
        <v>2</v>
      </c>
      <c r="F28" s="1" t="s">
        <v>101</v>
      </c>
      <c r="G28" s="1" t="s">
        <v>38</v>
      </c>
      <c r="H28" s="1" t="s">
        <v>39</v>
      </c>
      <c r="I28" s="1" t="s">
        <v>39</v>
      </c>
      <c r="J28" s="1" t="s">
        <v>39</v>
      </c>
      <c r="K28" s="1" t="s">
        <v>90</v>
      </c>
      <c r="L28" s="4">
        <v>21000</v>
      </c>
      <c r="M28" s="6">
        <v>-47.5</v>
      </c>
      <c r="N28" s="7">
        <f>IF(AND(L28 &lt;&gt; "-", M28 &lt;&gt; "-"),L28*( 1 + M28%),0)</f>
      </c>
      <c r="O28" s="7">
        <f>( N28 * E28 )</f>
      </c>
      <c r="P28" s="1" t="s">
        <v>117</v>
      </c>
      <c r="Q28" s="6">
        <v>1.01</v>
      </c>
      <c r="R28" s="6">
        <v>59.6</v>
      </c>
      <c r="S28" s="4">
        <v>60</v>
      </c>
      <c r="T28" s="1" t="s">
        <v>42</v>
      </c>
      <c r="U28" s="5">
        <f>HYPERLINK("https://www.gia.edu/report-check?reportno=7441568105","7441568105")</f>
      </c>
      <c r="V28" s="1" t="s">
        <v>43</v>
      </c>
      <c r="W28" s="1" t="s">
        <v>63</v>
      </c>
      <c r="X28" s="1" t="s">
        <v>64</v>
      </c>
      <c r="Y28" s="1" t="s">
        <v>40</v>
      </c>
      <c r="Z28" s="1" t="s">
        <v>46</v>
      </c>
      <c r="AA28" s="1" t="s">
        <v>52</v>
      </c>
      <c r="AB28" s="1" t="s">
        <v>40</v>
      </c>
      <c r="AC28" s="1" t="s">
        <v>48</v>
      </c>
      <c r="AD28" s="1" t="s">
        <v>43</v>
      </c>
      <c r="AE28" s="8">
        <f>IF(L28&lt;&gt;"",L28*E28,0)</f>
      </c>
    </row>
    <row r="29" spans="1:31" x14ac:dyDescent="0.25">
      <c r="A29" s="4">
        <v>24</v>
      </c>
      <c r="B29" s="1" t="s">
        <v>118</v>
      </c>
      <c r="C29" s="5">
        <f>HYPERLINK("https://client.unique.diamonds/dna/11275-73","DNA")</f>
      </c>
      <c r="D29" s="1" t="s">
        <v>36</v>
      </c>
      <c r="E29" s="6">
        <v>2.01</v>
      </c>
      <c r="F29" s="1" t="s">
        <v>101</v>
      </c>
      <c r="G29" s="1" t="s">
        <v>38</v>
      </c>
      <c r="H29" s="1" t="s">
        <v>39</v>
      </c>
      <c r="I29" s="1" t="s">
        <v>39</v>
      </c>
      <c r="J29" s="1" t="s">
        <v>39</v>
      </c>
      <c r="K29" s="1" t="s">
        <v>90</v>
      </c>
      <c r="L29" s="4">
        <v>21000</v>
      </c>
      <c r="M29" s="6">
        <v>-47.84</v>
      </c>
      <c r="N29" s="7">
        <f>IF(AND(L29 &lt;&gt; "-", M29 &lt;&gt; "-"),L29*( 1 + M29%),0)</f>
      </c>
      <c r="O29" s="7">
        <f>( N29 * E29 )</f>
      </c>
      <c r="P29" s="1" t="s">
        <v>119</v>
      </c>
      <c r="Q29" s="6">
        <v>1</v>
      </c>
      <c r="R29" s="6">
        <v>62.5</v>
      </c>
      <c r="S29" s="4">
        <v>58</v>
      </c>
      <c r="T29" s="1" t="s">
        <v>42</v>
      </c>
      <c r="U29" s="5">
        <f>HYPERLINK("https://www.gia.edu/report-check?reportno=6455002385","6455002385")</f>
      </c>
      <c r="V29" s="1" t="s">
        <v>43</v>
      </c>
      <c r="W29" s="1" t="s">
        <v>67</v>
      </c>
      <c r="X29" s="1" t="s">
        <v>59</v>
      </c>
      <c r="Y29" s="1" t="s">
        <v>40</v>
      </c>
      <c r="Z29" s="1" t="s">
        <v>46</v>
      </c>
      <c r="AA29" s="1" t="s">
        <v>47</v>
      </c>
      <c r="AB29" s="1" t="s">
        <v>73</v>
      </c>
      <c r="AC29" s="1" t="s">
        <v>48</v>
      </c>
      <c r="AD29" s="1" t="s">
        <v>43</v>
      </c>
      <c r="AE29" s="8">
        <f>IF(L29&lt;&gt;"",L29*E29,0)</f>
      </c>
    </row>
    <row r="30" spans="1:31" x14ac:dyDescent="0.25">
      <c r="A30" s="4">
        <v>25</v>
      </c>
      <c r="B30" s="1" t="s">
        <v>120</v>
      </c>
      <c r="C30" s="5">
        <f>HYPERLINK("https://client.unique.diamonds/dna/11284-1","DNA")</f>
      </c>
      <c r="D30" s="1" t="s">
        <v>36</v>
      </c>
      <c r="E30" s="6">
        <v>2.01</v>
      </c>
      <c r="F30" s="1" t="s">
        <v>101</v>
      </c>
      <c r="G30" s="1" t="s">
        <v>38</v>
      </c>
      <c r="H30" s="1" t="s">
        <v>39</v>
      </c>
      <c r="I30" s="1" t="s">
        <v>39</v>
      </c>
      <c r="J30" s="1" t="s">
        <v>39</v>
      </c>
      <c r="K30" s="1" t="s">
        <v>90</v>
      </c>
      <c r="L30" s="4">
        <v>21000</v>
      </c>
      <c r="M30" s="6">
        <v>-46.84</v>
      </c>
      <c r="N30" s="7">
        <f>IF(AND(L30 &lt;&gt; "-", M30 &lt;&gt; "-"),L30*( 1 + M30%),0)</f>
      </c>
      <c r="O30" s="7">
        <f>( N30 * E30 )</f>
      </c>
      <c r="P30" s="1" t="s">
        <v>121</v>
      </c>
      <c r="Q30" s="6">
        <v>1.01</v>
      </c>
      <c r="R30" s="6">
        <v>61.7</v>
      </c>
      <c r="S30" s="4">
        <v>59</v>
      </c>
      <c r="T30" s="1" t="s">
        <v>42</v>
      </c>
      <c r="U30" s="5">
        <f>HYPERLINK("https://www.gia.edu/report-check?reportno=6455036832","6455036832")</f>
      </c>
      <c r="V30" s="1" t="s">
        <v>43</v>
      </c>
      <c r="W30" s="1" t="s">
        <v>122</v>
      </c>
      <c r="X30" s="1" t="s">
        <v>64</v>
      </c>
      <c r="Y30" s="1" t="s">
        <v>40</v>
      </c>
      <c r="Z30" s="1" t="s">
        <v>46</v>
      </c>
      <c r="AA30" s="1" t="s">
        <v>47</v>
      </c>
      <c r="AB30" s="1" t="s">
        <v>40</v>
      </c>
      <c r="AC30" s="1" t="s">
        <v>48</v>
      </c>
      <c r="AD30" s="1" t="s">
        <v>43</v>
      </c>
      <c r="AE30" s="8">
        <f>IF(L30&lt;&gt;"",L30*E30,0)</f>
      </c>
    </row>
    <row r="31" spans="1:31" x14ac:dyDescent="0.25">
      <c r="A31" s="4">
        <v>26</v>
      </c>
      <c r="B31" s="1" t="s">
        <v>123</v>
      </c>
      <c r="C31" s="5">
        <f>HYPERLINK("https://client.unique.diamonds/dna/21031-18","DNA")</f>
      </c>
      <c r="D31" s="1" t="s">
        <v>36</v>
      </c>
      <c r="E31" s="6">
        <v>2.01</v>
      </c>
      <c r="F31" s="1" t="s">
        <v>101</v>
      </c>
      <c r="G31" s="1" t="s">
        <v>38</v>
      </c>
      <c r="H31" s="1" t="s">
        <v>39</v>
      </c>
      <c r="I31" s="1" t="s">
        <v>39</v>
      </c>
      <c r="J31" s="1" t="s">
        <v>39</v>
      </c>
      <c r="K31" s="1" t="s">
        <v>90</v>
      </c>
      <c r="L31" s="4">
        <v>21000</v>
      </c>
      <c r="M31" s="6">
        <v>-46.82</v>
      </c>
      <c r="N31" s="7">
        <f>IF(AND(L31 &lt;&gt; "-", M31 &lt;&gt; "-"),L31*( 1 + M31%),0)</f>
      </c>
      <c r="O31" s="7">
        <f>( N31 * E31 )</f>
      </c>
      <c r="P31" s="1" t="s">
        <v>124</v>
      </c>
      <c r="Q31" s="6">
        <v>1.01</v>
      </c>
      <c r="R31" s="6">
        <v>62.3</v>
      </c>
      <c r="S31" s="4">
        <v>59</v>
      </c>
      <c r="T31" s="1" t="s">
        <v>42</v>
      </c>
      <c r="U31" s="5">
        <f>HYPERLINK("https://www.gia.edu/report-check?reportno=2457729316","2457729316")</f>
      </c>
      <c r="V31" s="1" t="s">
        <v>43</v>
      </c>
      <c r="W31" s="1" t="s">
        <v>125</v>
      </c>
      <c r="X31" s="1" t="s">
        <v>64</v>
      </c>
      <c r="Y31" s="1" t="s">
        <v>40</v>
      </c>
      <c r="Z31" s="1" t="s">
        <v>40</v>
      </c>
      <c r="AA31" s="1" t="s">
        <v>52</v>
      </c>
      <c r="AB31" s="1" t="s">
        <v>73</v>
      </c>
      <c r="AC31" s="1" t="s">
        <v>48</v>
      </c>
      <c r="AD31" s="1" t="s">
        <v>43</v>
      </c>
      <c r="AE31" s="8">
        <f>IF(L31&lt;&gt;"",L31*E31,0)</f>
      </c>
    </row>
    <row r="32" spans="1:31" x14ac:dyDescent="0.25">
      <c r="A32" s="4">
        <v>27</v>
      </c>
      <c r="B32" s="1" t="s">
        <v>126</v>
      </c>
      <c r="C32" s="5">
        <f>HYPERLINK("https://client.unique.diamonds/dna/12068-27","DNA")</f>
      </c>
      <c r="D32" s="1" t="s">
        <v>36</v>
      </c>
      <c r="E32" s="6">
        <v>2.01</v>
      </c>
      <c r="F32" s="1" t="s">
        <v>101</v>
      </c>
      <c r="G32" s="1" t="s">
        <v>38</v>
      </c>
      <c r="H32" s="1" t="s">
        <v>39</v>
      </c>
      <c r="I32" s="1" t="s">
        <v>39</v>
      </c>
      <c r="J32" s="1" t="s">
        <v>39</v>
      </c>
      <c r="K32" s="1" t="s">
        <v>40</v>
      </c>
      <c r="L32" s="4">
        <v>21000</v>
      </c>
      <c r="M32" s="6">
        <v>-39</v>
      </c>
      <c r="N32" s="7">
        <f>IF(AND(L32 &lt;&gt; "-", M32 &lt;&gt; "-"),L32*( 1 + M32%),0)</f>
      </c>
      <c r="O32" s="7">
        <f>( N32 * E32 )</f>
      </c>
      <c r="P32" s="1" t="s">
        <v>127</v>
      </c>
      <c r="Q32" s="6">
        <v>1</v>
      </c>
      <c r="R32" s="6">
        <v>60.3</v>
      </c>
      <c r="S32" s="4">
        <v>59</v>
      </c>
      <c r="T32" s="1" t="s">
        <v>42</v>
      </c>
      <c r="U32" s="5">
        <f>HYPERLINK("https://www.gia.edu/report-check?reportno=5446609243","5446609243")</f>
      </c>
      <c r="V32" s="1" t="s">
        <v>43</v>
      </c>
      <c r="W32" s="1" t="s">
        <v>128</v>
      </c>
      <c r="X32" s="1" t="s">
        <v>46</v>
      </c>
      <c r="Y32" s="1" t="s">
        <v>40</v>
      </c>
      <c r="Z32" s="1" t="s">
        <v>45</v>
      </c>
      <c r="AA32" s="1" t="s">
        <v>47</v>
      </c>
      <c r="AB32" s="1" t="s">
        <v>73</v>
      </c>
      <c r="AC32" s="1" t="s">
        <v>48</v>
      </c>
      <c r="AD32" s="1" t="s">
        <v>43</v>
      </c>
      <c r="AE32" s="8">
        <f>IF(L32&lt;&gt;"",L32*E32,0)</f>
      </c>
    </row>
    <row r="33" spans="1:31" x14ac:dyDescent="0.25">
      <c r="A33" s="4">
        <v>28</v>
      </c>
      <c r="B33" s="1" t="s">
        <v>129</v>
      </c>
      <c r="C33" s="5">
        <f>HYPERLINK("https://client.unique.diamonds/dna/11253-2","DNA")</f>
      </c>
      <c r="D33" s="1" t="s">
        <v>36</v>
      </c>
      <c r="E33" s="6">
        <v>2.5</v>
      </c>
      <c r="F33" s="1" t="s">
        <v>101</v>
      </c>
      <c r="G33" s="1" t="s">
        <v>38</v>
      </c>
      <c r="H33" s="1" t="s">
        <v>39</v>
      </c>
      <c r="I33" s="1" t="s">
        <v>39</v>
      </c>
      <c r="J33" s="1" t="s">
        <v>39</v>
      </c>
      <c r="K33" s="1" t="s">
        <v>40</v>
      </c>
      <c r="L33" s="4">
        <v>21000</v>
      </c>
      <c r="M33" s="6">
        <v>-29.62</v>
      </c>
      <c r="N33" s="7">
        <f>IF(AND(L33 &lt;&gt; "-", M33 &lt;&gt; "-"),L33*( 1 + M33%),0)</f>
      </c>
      <c r="O33" s="7">
        <f>( N33 * E33 )</f>
      </c>
      <c r="P33" s="1" t="s">
        <v>130</v>
      </c>
      <c r="Q33" s="6">
        <v>1.01</v>
      </c>
      <c r="R33" s="6">
        <v>62.5</v>
      </c>
      <c r="S33" s="4">
        <v>57</v>
      </c>
      <c r="T33" s="1" t="s">
        <v>42</v>
      </c>
      <c r="U33" s="5">
        <f>HYPERLINK("https://www.gia.edu/report-check?reportno=6442609107","6442609107")</f>
      </c>
      <c r="V33" s="1" t="s">
        <v>43</v>
      </c>
      <c r="W33" s="1" t="s">
        <v>131</v>
      </c>
      <c r="X33" s="1" t="s">
        <v>59</v>
      </c>
      <c r="Y33" s="1" t="s">
        <v>40</v>
      </c>
      <c r="Z33" s="1" t="s">
        <v>40</v>
      </c>
      <c r="AA33" s="1" t="s">
        <v>47</v>
      </c>
      <c r="AB33" s="1" t="s">
        <v>40</v>
      </c>
      <c r="AC33" s="1" t="s">
        <v>48</v>
      </c>
      <c r="AD33" s="1" t="s">
        <v>43</v>
      </c>
      <c r="AE33" s="8">
        <f>IF(L33&lt;&gt;"",L33*E33,0)</f>
      </c>
    </row>
    <row r="34" spans="1:31" x14ac:dyDescent="0.25">
      <c r="A34" s="4">
        <v>29</v>
      </c>
      <c r="B34" s="1" t="s">
        <v>132</v>
      </c>
      <c r="C34" s="5">
        <f>HYPERLINK("https://client.unique.diamonds/dna/21137-6","DNA")</f>
      </c>
      <c r="D34" s="1" t="s">
        <v>36</v>
      </c>
      <c r="E34" s="6">
        <v>2.5</v>
      </c>
      <c r="F34" s="1" t="s">
        <v>101</v>
      </c>
      <c r="G34" s="1" t="s">
        <v>38</v>
      </c>
      <c r="H34" s="1" t="s">
        <v>39</v>
      </c>
      <c r="I34" s="1" t="s">
        <v>39</v>
      </c>
      <c r="J34" s="1" t="s">
        <v>39</v>
      </c>
      <c r="K34" s="1" t="s">
        <v>40</v>
      </c>
      <c r="L34" s="4">
        <v>21000</v>
      </c>
      <c r="M34" s="6">
        <v>-25.5</v>
      </c>
      <c r="N34" s="7">
        <f>IF(AND(L34 &lt;&gt; "-", M34 &lt;&gt; "-"),L34*( 1 + M34%),0)</f>
      </c>
      <c r="O34" s="7">
        <f>( N34 * E34 )</f>
      </c>
      <c r="P34" s="1" t="s">
        <v>133</v>
      </c>
      <c r="Q34" s="6">
        <v>1</v>
      </c>
      <c r="R34" s="6">
        <v>62.3</v>
      </c>
      <c r="S34" s="4">
        <v>59</v>
      </c>
      <c r="T34" s="1" t="s">
        <v>42</v>
      </c>
      <c r="U34" s="5">
        <f>HYPERLINK("https://www.gia.edu/report-check?reportno=1469750077","1469750077")</f>
      </c>
      <c r="V34" s="1" t="s">
        <v>43</v>
      </c>
      <c r="W34" s="1" t="s">
        <v>134</v>
      </c>
      <c r="X34" s="1" t="s">
        <v>45</v>
      </c>
      <c r="Y34" s="1" t="s">
        <v>40</v>
      </c>
      <c r="Z34" s="1" t="s">
        <v>46</v>
      </c>
      <c r="AA34" s="1" t="s">
        <v>52</v>
      </c>
      <c r="AB34" s="1" t="s">
        <v>40</v>
      </c>
      <c r="AC34" s="1" t="s">
        <v>48</v>
      </c>
      <c r="AD34" s="1" t="s">
        <v>43</v>
      </c>
      <c r="AE34" s="8">
        <f>IF(L34&lt;&gt;"",L34*E34,0)</f>
      </c>
    </row>
    <row r="35" spans="1:31" x14ac:dyDescent="0.25">
      <c r="A35" s="4">
        <v>30</v>
      </c>
      <c r="B35" s="1" t="s">
        <v>135</v>
      </c>
      <c r="C35" s="5">
        <f>HYPERLINK("https://client.unique.diamonds/dna/21067-30","DNA")</f>
      </c>
      <c r="D35" s="1" t="s">
        <v>36</v>
      </c>
      <c r="E35" s="6">
        <v>2.71</v>
      </c>
      <c r="F35" s="1" t="s">
        <v>101</v>
      </c>
      <c r="G35" s="1" t="s">
        <v>38</v>
      </c>
      <c r="H35" s="1" t="s">
        <v>39</v>
      </c>
      <c r="I35" s="1" t="s">
        <v>39</v>
      </c>
      <c r="J35" s="1" t="s">
        <v>39</v>
      </c>
      <c r="K35" s="1" t="s">
        <v>90</v>
      </c>
      <c r="L35" s="4">
        <v>21000</v>
      </c>
      <c r="M35" s="6">
        <v>-22.5</v>
      </c>
      <c r="N35" s="7">
        <f>IF(AND(L35 &lt;&gt; "-", M35 &lt;&gt; "-"),L35*( 1 + M35%),0)</f>
      </c>
      <c r="O35" s="7">
        <f>( N35 * E35 )</f>
      </c>
      <c r="P35" s="1" t="s">
        <v>136</v>
      </c>
      <c r="Q35" s="6">
        <v>1</v>
      </c>
      <c r="R35" s="6">
        <v>60.9</v>
      </c>
      <c r="S35" s="4">
        <v>59</v>
      </c>
      <c r="T35" s="1" t="s">
        <v>42</v>
      </c>
      <c r="U35" s="5">
        <f>HYPERLINK("https://www.gia.edu/report-check?reportno=2467094196","2467094196")</f>
      </c>
      <c r="V35" s="1" t="s">
        <v>43</v>
      </c>
      <c r="W35" s="1" t="s">
        <v>58</v>
      </c>
      <c r="X35" s="1" t="s">
        <v>45</v>
      </c>
      <c r="Y35" s="1" t="s">
        <v>40</v>
      </c>
      <c r="Z35" s="1" t="s">
        <v>40</v>
      </c>
      <c r="AA35" s="1" t="s">
        <v>52</v>
      </c>
      <c r="AB35" s="1" t="s">
        <v>47</v>
      </c>
      <c r="AC35" s="1" t="s">
        <v>48</v>
      </c>
      <c r="AD35" s="1" t="s">
        <v>43</v>
      </c>
      <c r="AE35" s="8">
        <f>IF(L35&lt;&gt;"",L35*E35,0)</f>
      </c>
    </row>
    <row r="36" spans="1:31" x14ac:dyDescent="0.25">
      <c r="A36" s="4">
        <v>31</v>
      </c>
      <c r="B36" s="1" t="s">
        <v>137</v>
      </c>
      <c r="C36" s="5">
        <f>HYPERLINK("https://client.unique.diamonds/dna/21139-6","DNA")</f>
      </c>
      <c r="D36" s="1" t="s">
        <v>36</v>
      </c>
      <c r="E36" s="6">
        <v>1.5</v>
      </c>
      <c r="F36" s="1" t="s">
        <v>138</v>
      </c>
      <c r="G36" s="1" t="s">
        <v>38</v>
      </c>
      <c r="H36" s="1" t="s">
        <v>39</v>
      </c>
      <c r="I36" s="1" t="s">
        <v>39</v>
      </c>
      <c r="J36" s="1" t="s">
        <v>39</v>
      </c>
      <c r="K36" s="1" t="s">
        <v>40</v>
      </c>
      <c r="L36" s="4">
        <v>13100</v>
      </c>
      <c r="M36" s="6">
        <v>-35.5</v>
      </c>
      <c r="N36" s="7">
        <f>IF(AND(L36 &lt;&gt; "-", M36 &lt;&gt; "-"),L36*( 1 + M36%),0)</f>
      </c>
      <c r="O36" s="7">
        <f>( N36 * E36 )</f>
      </c>
      <c r="P36" s="1" t="s">
        <v>139</v>
      </c>
      <c r="Q36" s="6">
        <v>1.01</v>
      </c>
      <c r="R36" s="6">
        <v>60.8</v>
      </c>
      <c r="S36" s="4">
        <v>61</v>
      </c>
      <c r="T36" s="1" t="s">
        <v>42</v>
      </c>
      <c r="U36" s="5">
        <f>HYPERLINK("https://www.gia.edu/report-check?reportno=2468734322","2468734322")</f>
      </c>
      <c r="V36" s="1" t="s">
        <v>43</v>
      </c>
      <c r="W36" s="1" t="s">
        <v>63</v>
      </c>
      <c r="X36" s="1" t="s">
        <v>46</v>
      </c>
      <c r="Y36" s="1" t="s">
        <v>40</v>
      </c>
      <c r="Z36" s="1" t="s">
        <v>46</v>
      </c>
      <c r="AA36" s="1" t="s">
        <v>40</v>
      </c>
      <c r="AB36" s="1" t="s">
        <v>40</v>
      </c>
      <c r="AC36" s="1" t="s">
        <v>48</v>
      </c>
      <c r="AD36" s="1" t="s">
        <v>43</v>
      </c>
      <c r="AE36" s="8">
        <f>IF(L36&lt;&gt;"",L36*E36,0)</f>
      </c>
    </row>
    <row r="37" spans="1:31" x14ac:dyDescent="0.25">
      <c r="A37" s="4">
        <v>32</v>
      </c>
      <c r="B37" s="1" t="s">
        <v>140</v>
      </c>
      <c r="C37" s="5">
        <f>HYPERLINK("https://client.unique.diamonds/dna/22003-33","DNA")</f>
      </c>
      <c r="D37" s="1" t="s">
        <v>36</v>
      </c>
      <c r="E37" s="6">
        <v>1.8</v>
      </c>
      <c r="F37" s="1" t="s">
        <v>138</v>
      </c>
      <c r="G37" s="1" t="s">
        <v>38</v>
      </c>
      <c r="H37" s="1" t="s">
        <v>39</v>
      </c>
      <c r="I37" s="1" t="s">
        <v>39</v>
      </c>
      <c r="J37" s="1" t="s">
        <v>39</v>
      </c>
      <c r="K37" s="1" t="s">
        <v>90</v>
      </c>
      <c r="L37" s="4">
        <v>13100</v>
      </c>
      <c r="M37" s="6">
        <v>-34.96</v>
      </c>
      <c r="N37" s="7">
        <f>IF(AND(L37 &lt;&gt; "-", M37 &lt;&gt; "-"),L37*( 1 + M37%),0)</f>
      </c>
      <c r="O37" s="7">
        <f>( N37 * E37 )</f>
      </c>
      <c r="P37" s="1" t="s">
        <v>141</v>
      </c>
      <c r="Q37" s="6">
        <v>1.01</v>
      </c>
      <c r="R37" s="6">
        <v>60.3</v>
      </c>
      <c r="S37" s="4">
        <v>61</v>
      </c>
      <c r="T37" s="1" t="s">
        <v>42</v>
      </c>
      <c r="U37" s="5">
        <f>HYPERLINK("https://www.gia.edu/report-check?reportno=6455799729","6455799729")</f>
      </c>
      <c r="V37" s="1" t="s">
        <v>43</v>
      </c>
      <c r="W37" s="1" t="s">
        <v>142</v>
      </c>
      <c r="X37" s="1" t="s">
        <v>59</v>
      </c>
      <c r="Y37" s="1" t="s">
        <v>40</v>
      </c>
      <c r="Z37" s="1" t="s">
        <v>46</v>
      </c>
      <c r="AA37" s="1" t="s">
        <v>52</v>
      </c>
      <c r="AB37" s="1" t="s">
        <v>40</v>
      </c>
      <c r="AC37" s="1" t="s">
        <v>48</v>
      </c>
      <c r="AD37" s="1" t="s">
        <v>43</v>
      </c>
      <c r="AE37" s="8">
        <f>IF(L37&lt;&gt;"",L37*E37,0)</f>
      </c>
    </row>
    <row r="38" spans="1:31" x14ac:dyDescent="0.25">
      <c r="A38" s="4">
        <v>33</v>
      </c>
      <c r="B38" s="1" t="s">
        <v>143</v>
      </c>
      <c r="C38" s="5">
        <f>HYPERLINK("https://client.unique.diamonds/dna/21140-12","DNA")</f>
      </c>
      <c r="D38" s="1" t="s">
        <v>36</v>
      </c>
      <c r="E38" s="6">
        <v>1.8</v>
      </c>
      <c r="F38" s="1" t="s">
        <v>138</v>
      </c>
      <c r="G38" s="1" t="s">
        <v>38</v>
      </c>
      <c r="H38" s="1" t="s">
        <v>39</v>
      </c>
      <c r="I38" s="1" t="s">
        <v>39</v>
      </c>
      <c r="J38" s="1" t="s">
        <v>39</v>
      </c>
      <c r="K38" s="1" t="s">
        <v>40</v>
      </c>
      <c r="L38" s="4">
        <v>13100</v>
      </c>
      <c r="M38" s="6">
        <v>-25</v>
      </c>
      <c r="N38" s="7">
        <f>IF(AND(L38 &lt;&gt; "-", M38 &lt;&gt; "-"),L38*( 1 + M38%),0)</f>
      </c>
      <c r="O38" s="7">
        <f>( N38 * E38 )</f>
      </c>
      <c r="P38" s="1" t="s">
        <v>144</v>
      </c>
      <c r="Q38" s="6">
        <v>1.01</v>
      </c>
      <c r="R38" s="6">
        <v>62.2</v>
      </c>
      <c r="S38" s="4">
        <v>57</v>
      </c>
      <c r="T38" s="1" t="s">
        <v>42</v>
      </c>
      <c r="U38" s="5">
        <f>HYPERLINK("https://www.gia.edu/report-check?reportno=1468751535","1468751535")</f>
      </c>
      <c r="V38" s="1" t="s">
        <v>43</v>
      </c>
      <c r="W38" s="1" t="s">
        <v>99</v>
      </c>
      <c r="X38" s="1" t="s">
        <v>45</v>
      </c>
      <c r="Y38" s="1" t="s">
        <v>40</v>
      </c>
      <c r="Z38" s="1" t="s">
        <v>46</v>
      </c>
      <c r="AA38" s="1" t="s">
        <v>40</v>
      </c>
      <c r="AB38" s="1" t="s">
        <v>40</v>
      </c>
      <c r="AC38" s="1" t="s">
        <v>48</v>
      </c>
      <c r="AD38" s="1" t="s">
        <v>43</v>
      </c>
      <c r="AE38" s="8">
        <f>IF(L38&lt;&gt;"",L38*E38,0)</f>
      </c>
    </row>
    <row r="39" spans="1:31" x14ac:dyDescent="0.25">
      <c r="A39" s="4">
        <v>34</v>
      </c>
      <c r="B39" s="1" t="s">
        <v>145</v>
      </c>
      <c r="C39" s="5">
        <f>HYPERLINK("https://client.unique.diamonds/dna/11176-39","DNA")</f>
      </c>
      <c r="D39" s="1" t="s">
        <v>36</v>
      </c>
      <c r="E39" s="6">
        <v>2.01</v>
      </c>
      <c r="F39" s="1" t="s">
        <v>138</v>
      </c>
      <c r="G39" s="1" t="s">
        <v>38</v>
      </c>
      <c r="H39" s="1" t="s">
        <v>39</v>
      </c>
      <c r="I39" s="1" t="s">
        <v>39</v>
      </c>
      <c r="J39" s="1" t="s">
        <v>39</v>
      </c>
      <c r="K39" s="1" t="s">
        <v>40</v>
      </c>
      <c r="L39" s="4">
        <v>18500</v>
      </c>
      <c r="M39" s="6">
        <v>-38.5</v>
      </c>
      <c r="N39" s="7">
        <f>IF(AND(L39 &lt;&gt; "-", M39 &lt;&gt; "-"),L39*( 1 + M39%),0)</f>
      </c>
      <c r="O39" s="7">
        <f>( N39 * E39 )</f>
      </c>
      <c r="P39" s="1" t="s">
        <v>146</v>
      </c>
      <c r="Q39" s="6">
        <v>1</v>
      </c>
      <c r="R39" s="6">
        <v>61.6</v>
      </c>
      <c r="S39" s="4">
        <v>61</v>
      </c>
      <c r="T39" s="1" t="s">
        <v>42</v>
      </c>
      <c r="U39" s="5">
        <f>HYPERLINK("https://www.gia.edu/report-check?reportno=6432985646","6432985646")</f>
      </c>
      <c r="V39" s="1" t="s">
        <v>43</v>
      </c>
      <c r="W39" s="1" t="s">
        <v>147</v>
      </c>
      <c r="X39" s="1" t="s">
        <v>40</v>
      </c>
      <c r="Y39" s="1" t="s">
        <v>40</v>
      </c>
      <c r="Z39" s="1" t="s">
        <v>40</v>
      </c>
      <c r="AA39" s="1" t="s">
        <v>47</v>
      </c>
      <c r="AB39" s="1" t="s">
        <v>40</v>
      </c>
      <c r="AC39" s="1" t="s">
        <v>48</v>
      </c>
      <c r="AD39" s="1" t="s">
        <v>43</v>
      </c>
      <c r="AE39" s="8">
        <f>IF(L39&lt;&gt;"",L39*E39,0)</f>
      </c>
    </row>
    <row r="40" spans="1:31" x14ac:dyDescent="0.25">
      <c r="A40" s="4">
        <v>35</v>
      </c>
      <c r="B40" s="1" t="s">
        <v>148</v>
      </c>
      <c r="C40" s="5">
        <f>HYPERLINK("https://client.unique.diamonds/dna/21139-3","DNA")</f>
      </c>
      <c r="D40" s="1" t="s">
        <v>36</v>
      </c>
      <c r="E40" s="6">
        <v>2.01</v>
      </c>
      <c r="F40" s="1" t="s">
        <v>138</v>
      </c>
      <c r="G40" s="1" t="s">
        <v>38</v>
      </c>
      <c r="H40" s="1" t="s">
        <v>39</v>
      </c>
      <c r="I40" s="1" t="s">
        <v>39</v>
      </c>
      <c r="J40" s="1" t="s">
        <v>39</v>
      </c>
      <c r="K40" s="1" t="s">
        <v>40</v>
      </c>
      <c r="L40" s="4">
        <v>18500</v>
      </c>
      <c r="M40" s="6">
        <v>-36.5</v>
      </c>
      <c r="N40" s="7">
        <f>IF(AND(L40 &lt;&gt; "-", M40 &lt;&gt; "-"),L40*( 1 + M40%),0)</f>
      </c>
      <c r="O40" s="7">
        <f>( N40 * E40 )</f>
      </c>
      <c r="P40" s="1" t="s">
        <v>149</v>
      </c>
      <c r="Q40" s="6">
        <v>1.01</v>
      </c>
      <c r="R40" s="6">
        <v>61.3</v>
      </c>
      <c r="S40" s="4">
        <v>59</v>
      </c>
      <c r="T40" s="1" t="s">
        <v>42</v>
      </c>
      <c r="U40" s="5">
        <f>HYPERLINK("https://www.gia.edu/report-check?reportno=1469724408","1469724408")</f>
      </c>
      <c r="V40" s="1" t="s">
        <v>43</v>
      </c>
      <c r="W40" s="1" t="s">
        <v>112</v>
      </c>
      <c r="X40" s="1" t="s">
        <v>46</v>
      </c>
      <c r="Y40" s="1" t="s">
        <v>40</v>
      </c>
      <c r="Z40" s="1" t="s">
        <v>46</v>
      </c>
      <c r="AA40" s="1" t="s">
        <v>52</v>
      </c>
      <c r="AB40" s="1" t="s">
        <v>40</v>
      </c>
      <c r="AC40" s="1" t="s">
        <v>48</v>
      </c>
      <c r="AD40" s="1" t="s">
        <v>43</v>
      </c>
      <c r="AE40" s="8">
        <f>IF(L40&lt;&gt;"",L40*E40,0)</f>
      </c>
    </row>
    <row r="41" spans="1:31" x14ac:dyDescent="0.25">
      <c r="A41" s="4">
        <v>36</v>
      </c>
      <c r="B41" s="1" t="s">
        <v>150</v>
      </c>
      <c r="C41" s="5">
        <f>HYPERLINK("https://client.unique.diamonds/dna/21115-18","DNA")</f>
      </c>
      <c r="D41" s="1" t="s">
        <v>36</v>
      </c>
      <c r="E41" s="6">
        <v>2.03</v>
      </c>
      <c r="F41" s="1" t="s">
        <v>138</v>
      </c>
      <c r="G41" s="1" t="s">
        <v>38</v>
      </c>
      <c r="H41" s="1" t="s">
        <v>39</v>
      </c>
      <c r="I41" s="1" t="s">
        <v>39</v>
      </c>
      <c r="J41" s="1" t="s">
        <v>39</v>
      </c>
      <c r="K41" s="1" t="s">
        <v>90</v>
      </c>
      <c r="L41" s="4">
        <v>18500</v>
      </c>
      <c r="M41" s="6">
        <v>-45</v>
      </c>
      <c r="N41" s="7">
        <f>IF(AND(L41 &lt;&gt; "-", M41 &lt;&gt; "-"),L41*( 1 + M41%),0)</f>
      </c>
      <c r="O41" s="7">
        <f>( N41 * E41 )</f>
      </c>
      <c r="P41" s="1" t="s">
        <v>151</v>
      </c>
      <c r="Q41" s="6">
        <v>1</v>
      </c>
      <c r="R41" s="6">
        <v>61.9</v>
      </c>
      <c r="S41" s="4">
        <v>59</v>
      </c>
      <c r="T41" s="1" t="s">
        <v>42</v>
      </c>
      <c r="U41" s="5">
        <f>HYPERLINK("https://www.gia.edu/report-check?reportno=7468476072","7468476072")</f>
      </c>
      <c r="V41" s="1" t="s">
        <v>43</v>
      </c>
      <c r="W41" s="1" t="s">
        <v>152</v>
      </c>
      <c r="X41" s="1" t="s">
        <v>59</v>
      </c>
      <c r="Y41" s="1" t="s">
        <v>40</v>
      </c>
      <c r="Z41" s="1" t="s">
        <v>64</v>
      </c>
      <c r="AA41" s="1" t="s">
        <v>52</v>
      </c>
      <c r="AB41" s="1" t="s">
        <v>40</v>
      </c>
      <c r="AC41" s="1" t="s">
        <v>48</v>
      </c>
      <c r="AD41" s="1" t="s">
        <v>43</v>
      </c>
      <c r="AE41" s="8">
        <f>IF(L41&lt;&gt;"",L41*E41,0)</f>
      </c>
    </row>
    <row r="42" spans="1:31" x14ac:dyDescent="0.25">
      <c r="A42" s="4">
        <v>37</v>
      </c>
      <c r="B42" s="1" t="s">
        <v>153</v>
      </c>
      <c r="C42" s="5">
        <f>HYPERLINK("https://client.unique.diamonds/dna/21098-32","DNA")</f>
      </c>
      <c r="D42" s="1" t="s">
        <v>36</v>
      </c>
      <c r="E42" s="6">
        <v>2.09</v>
      </c>
      <c r="F42" s="1" t="s">
        <v>138</v>
      </c>
      <c r="G42" s="1" t="s">
        <v>38</v>
      </c>
      <c r="H42" s="1" t="s">
        <v>39</v>
      </c>
      <c r="I42" s="1" t="s">
        <v>39</v>
      </c>
      <c r="J42" s="1" t="s">
        <v>39</v>
      </c>
      <c r="K42" s="1" t="s">
        <v>90</v>
      </c>
      <c r="L42" s="4">
        <v>18500</v>
      </c>
      <c r="M42" s="6">
        <v>-44</v>
      </c>
      <c r="N42" s="7">
        <f>IF(AND(L42 &lt;&gt; "-", M42 &lt;&gt; "-"),L42*( 1 + M42%),0)</f>
      </c>
      <c r="O42" s="7">
        <f>( N42 * E42 )</f>
      </c>
      <c r="P42" s="1" t="s">
        <v>154</v>
      </c>
      <c r="Q42" s="6">
        <v>1.01</v>
      </c>
      <c r="R42" s="6">
        <v>62.6</v>
      </c>
      <c r="S42" s="4">
        <v>57</v>
      </c>
      <c r="T42" s="1" t="s">
        <v>42</v>
      </c>
      <c r="U42" s="5">
        <f>HYPERLINK("https://www.gia.edu/report-check?reportno=6461485062","6461485062")</f>
      </c>
      <c r="V42" s="1" t="s">
        <v>43</v>
      </c>
      <c r="W42" s="1" t="s">
        <v>152</v>
      </c>
      <c r="X42" s="1" t="s">
        <v>59</v>
      </c>
      <c r="Y42" s="1" t="s">
        <v>40</v>
      </c>
      <c r="Z42" s="1" t="s">
        <v>64</v>
      </c>
      <c r="AA42" s="1" t="s">
        <v>40</v>
      </c>
      <c r="AB42" s="1" t="s">
        <v>40</v>
      </c>
      <c r="AC42" s="1" t="s">
        <v>48</v>
      </c>
      <c r="AD42" s="1" t="s">
        <v>43</v>
      </c>
      <c r="AE42" s="8">
        <f>IF(L42&lt;&gt;"",L42*E42,0)</f>
      </c>
    </row>
    <row r="43" spans="1:31" x14ac:dyDescent="0.25">
      <c r="A43" s="4">
        <v>38</v>
      </c>
      <c r="B43" s="1" t="s">
        <v>155</v>
      </c>
      <c r="C43" s="5">
        <f>HYPERLINK("https://client.unique.diamonds/dna/21137-5","DNA")</f>
      </c>
      <c r="D43" s="1" t="s">
        <v>36</v>
      </c>
      <c r="E43" s="6">
        <v>2.5</v>
      </c>
      <c r="F43" s="1" t="s">
        <v>138</v>
      </c>
      <c r="G43" s="1" t="s">
        <v>38</v>
      </c>
      <c r="H43" s="1" t="s">
        <v>39</v>
      </c>
      <c r="I43" s="1" t="s">
        <v>39</v>
      </c>
      <c r="J43" s="1" t="s">
        <v>39</v>
      </c>
      <c r="K43" s="1" t="s">
        <v>40</v>
      </c>
      <c r="L43" s="4">
        <v>18500</v>
      </c>
      <c r="M43" s="6">
        <v>-22.5</v>
      </c>
      <c r="N43" s="7">
        <f>IF(AND(L43 &lt;&gt; "-", M43 &lt;&gt; "-"),L43*( 1 + M43%),0)</f>
      </c>
      <c r="O43" s="7">
        <f>( N43 * E43 )</f>
      </c>
      <c r="P43" s="1" t="s">
        <v>156</v>
      </c>
      <c r="Q43" s="6">
        <v>1</v>
      </c>
      <c r="R43" s="6">
        <v>62.6</v>
      </c>
      <c r="S43" s="4">
        <v>57</v>
      </c>
      <c r="T43" s="1" t="s">
        <v>42</v>
      </c>
      <c r="U43" s="5">
        <f>HYPERLINK("https://www.gia.edu/report-check?reportno=6465749922","6465749922")</f>
      </c>
      <c r="V43" s="1" t="s">
        <v>43</v>
      </c>
      <c r="W43" s="1" t="s">
        <v>157</v>
      </c>
      <c r="X43" s="1" t="s">
        <v>64</v>
      </c>
      <c r="Y43" s="1" t="s">
        <v>40</v>
      </c>
      <c r="Z43" s="1" t="s">
        <v>46</v>
      </c>
      <c r="AA43" s="1" t="s">
        <v>40</v>
      </c>
      <c r="AB43" s="1" t="s">
        <v>40</v>
      </c>
      <c r="AC43" s="1" t="s">
        <v>48</v>
      </c>
      <c r="AD43" s="1" t="s">
        <v>43</v>
      </c>
      <c r="AE43" s="8">
        <f>IF(L43&lt;&gt;"",L43*E43,0)</f>
      </c>
    </row>
    <row r="44" spans="1:31" x14ac:dyDescent="0.25">
      <c r="A44" s="4">
        <v>39</v>
      </c>
      <c r="B44" s="1" t="s">
        <v>158</v>
      </c>
      <c r="C44" s="5">
        <f>HYPERLINK("https://client.unique.diamonds/dna/21081-3","DNA")</f>
      </c>
      <c r="D44" s="1" t="s">
        <v>36</v>
      </c>
      <c r="E44" s="6">
        <v>3.02</v>
      </c>
      <c r="F44" s="1" t="s">
        <v>138</v>
      </c>
      <c r="G44" s="1" t="s">
        <v>38</v>
      </c>
      <c r="H44" s="1" t="s">
        <v>39</v>
      </c>
      <c r="I44" s="1" t="s">
        <v>39</v>
      </c>
      <c r="J44" s="1" t="s">
        <v>39</v>
      </c>
      <c r="K44" s="1" t="s">
        <v>90</v>
      </c>
      <c r="L44" s="4">
        <v>28000</v>
      </c>
      <c r="M44" s="6">
        <v>-43</v>
      </c>
      <c r="N44" s="7">
        <f>IF(AND(L44 &lt;&gt; "-", M44 &lt;&gt; "-"),L44*( 1 + M44%),0)</f>
      </c>
      <c r="O44" s="7">
        <f>( N44 * E44 )</f>
      </c>
      <c r="P44" s="1" t="s">
        <v>159</v>
      </c>
      <c r="Q44" s="6">
        <v>1.01</v>
      </c>
      <c r="R44" s="6">
        <v>61.4</v>
      </c>
      <c r="S44" s="4">
        <v>59</v>
      </c>
      <c r="T44" s="1" t="s">
        <v>42</v>
      </c>
      <c r="U44" s="5">
        <f>HYPERLINK("https://www.gia.edu/report-check?reportno=6461180635","6461180635")</f>
      </c>
      <c r="V44" s="1" t="s">
        <v>43</v>
      </c>
      <c r="W44" s="1" t="s">
        <v>160</v>
      </c>
      <c r="X44" s="1" t="s">
        <v>59</v>
      </c>
      <c r="Y44" s="1" t="s">
        <v>40</v>
      </c>
      <c r="Z44" s="1" t="s">
        <v>40</v>
      </c>
      <c r="AA44" s="1" t="s">
        <v>52</v>
      </c>
      <c r="AB44" s="1" t="s">
        <v>40</v>
      </c>
      <c r="AC44" s="1" t="s">
        <v>48</v>
      </c>
      <c r="AD44" s="1" t="s">
        <v>43</v>
      </c>
      <c r="AE44" s="8">
        <f>IF(L44&lt;&gt;"",L44*E44,0)</f>
      </c>
    </row>
    <row r="45" spans="1:31" x14ac:dyDescent="0.25">
      <c r="A45" s="4">
        <v>40</v>
      </c>
      <c r="B45" s="1" t="s">
        <v>161</v>
      </c>
      <c r="C45" s="5">
        <f>HYPERLINK("https://client.unique.diamonds/dna/162-78","DNA")</f>
      </c>
      <c r="D45" s="1" t="s">
        <v>36</v>
      </c>
      <c r="E45" s="6">
        <v>1.5</v>
      </c>
      <c r="F45" s="1" t="s">
        <v>162</v>
      </c>
      <c r="G45" s="1" t="s">
        <v>38</v>
      </c>
      <c r="H45" s="1" t="s">
        <v>39</v>
      </c>
      <c r="I45" s="1" t="s">
        <v>39</v>
      </c>
      <c r="J45" s="1" t="s">
        <v>39</v>
      </c>
      <c r="K45" s="1" t="s">
        <v>40</v>
      </c>
      <c r="L45" s="4">
        <v>11400</v>
      </c>
      <c r="M45" s="6">
        <v>-38.65</v>
      </c>
      <c r="N45" s="7">
        <f>IF(AND(L45 &lt;&gt; "-", M45 &lt;&gt; "-"),L45*( 1 + M45%),0)</f>
      </c>
      <c r="O45" s="7">
        <f>( N45 * E45 )</f>
      </c>
      <c r="P45" s="1" t="s">
        <v>163</v>
      </c>
      <c r="Q45" s="6">
        <v>1.01</v>
      </c>
      <c r="R45" s="6">
        <v>62.3</v>
      </c>
      <c r="S45" s="4">
        <v>58</v>
      </c>
      <c r="T45" s="1" t="s">
        <v>42</v>
      </c>
      <c r="U45" s="5">
        <f>HYPERLINK("https://www.gia.edu/report-check?reportno=1435498779","1435498779")</f>
      </c>
      <c r="V45" s="1" t="s">
        <v>43</v>
      </c>
      <c r="W45" s="1" t="s">
        <v>164</v>
      </c>
      <c r="X45" s="1" t="s">
        <v>59</v>
      </c>
      <c r="Y45" s="1" t="s">
        <v>40</v>
      </c>
      <c r="Z45" s="1" t="s">
        <v>45</v>
      </c>
      <c r="AA45" s="1" t="s">
        <v>47</v>
      </c>
      <c r="AB45" s="1" t="s">
        <v>40</v>
      </c>
      <c r="AC45" s="1" t="s">
        <v>48</v>
      </c>
      <c r="AD45" s="1" t="s">
        <v>43</v>
      </c>
      <c r="AE45" s="8">
        <f>IF(L45&lt;&gt;"",L45*E45,0)</f>
      </c>
    </row>
    <row r="46" spans="1:31" x14ac:dyDescent="0.25">
      <c r="A46" s="4">
        <v>41</v>
      </c>
      <c r="B46" s="1" t="s">
        <v>165</v>
      </c>
      <c r="C46" s="5">
        <f>HYPERLINK("https://client.unique.diamonds/dna/22018-5","DNA")</f>
      </c>
      <c r="D46" s="1" t="s">
        <v>36</v>
      </c>
      <c r="E46" s="6">
        <v>1.73</v>
      </c>
      <c r="F46" s="1" t="s">
        <v>162</v>
      </c>
      <c r="G46" s="1" t="s">
        <v>38</v>
      </c>
      <c r="H46" s="1" t="s">
        <v>39</v>
      </c>
      <c r="I46" s="1" t="s">
        <v>39</v>
      </c>
      <c r="J46" s="1" t="s">
        <v>39</v>
      </c>
      <c r="K46" s="1" t="s">
        <v>40</v>
      </c>
      <c r="L46" s="4">
        <v>11400</v>
      </c>
      <c r="M46" s="6">
        <v>-29</v>
      </c>
      <c r="N46" s="7">
        <f>IF(AND(L46 &lt;&gt; "-", M46 &lt;&gt; "-"),L46*( 1 + M46%),0)</f>
      </c>
      <c r="O46" s="7">
        <f>( N46 * E46 )</f>
      </c>
      <c r="P46" s="1" t="s">
        <v>166</v>
      </c>
      <c r="Q46" s="6">
        <v>1.01</v>
      </c>
      <c r="R46" s="6">
        <v>61.9</v>
      </c>
      <c r="S46" s="4">
        <v>58</v>
      </c>
      <c r="T46" s="1" t="s">
        <v>42</v>
      </c>
      <c r="U46" s="5">
        <f>HYPERLINK("https://www.gia.edu/report-check?reportno=7468534800","7468534800")</f>
      </c>
      <c r="V46" s="1" t="s">
        <v>43</v>
      </c>
      <c r="W46" s="1" t="s">
        <v>167</v>
      </c>
      <c r="X46" s="1" t="s">
        <v>40</v>
      </c>
      <c r="Y46" s="1" t="s">
        <v>40</v>
      </c>
      <c r="Z46" s="1" t="s">
        <v>45</v>
      </c>
      <c r="AA46" s="1" t="s">
        <v>52</v>
      </c>
      <c r="AB46" s="1" t="s">
        <v>73</v>
      </c>
      <c r="AC46" s="1" t="s">
        <v>48</v>
      </c>
      <c r="AD46" s="1" t="s">
        <v>43</v>
      </c>
      <c r="AE46" s="8">
        <f>IF(L46&lt;&gt;"",L46*E46,0)</f>
      </c>
    </row>
    <row r="47" spans="1:31" x14ac:dyDescent="0.25">
      <c r="A47" s="4">
        <v>42</v>
      </c>
      <c r="B47" s="1" t="s">
        <v>168</v>
      </c>
      <c r="C47" s="5">
        <f>HYPERLINK("https://client.unique.diamonds/dna/21001-2","DNA")</f>
      </c>
      <c r="D47" s="1" t="s">
        <v>36</v>
      </c>
      <c r="E47" s="6">
        <v>2.01</v>
      </c>
      <c r="F47" s="1" t="s">
        <v>162</v>
      </c>
      <c r="G47" s="1" t="s">
        <v>38</v>
      </c>
      <c r="H47" s="1" t="s">
        <v>39</v>
      </c>
      <c r="I47" s="1" t="s">
        <v>39</v>
      </c>
      <c r="J47" s="1" t="s">
        <v>39</v>
      </c>
      <c r="K47" s="1" t="s">
        <v>40</v>
      </c>
      <c r="L47" s="4">
        <v>16000</v>
      </c>
      <c r="M47" s="6">
        <v>-38</v>
      </c>
      <c r="N47" s="7">
        <f>IF(AND(L47 &lt;&gt; "-", M47 &lt;&gt; "-"),L47*( 1 + M47%),0)</f>
      </c>
      <c r="O47" s="7">
        <f>( N47 * E47 )</f>
      </c>
      <c r="P47" s="1" t="s">
        <v>169</v>
      </c>
      <c r="Q47" s="6">
        <v>1.01</v>
      </c>
      <c r="R47" s="6">
        <v>62.6</v>
      </c>
      <c r="S47" s="4">
        <v>59</v>
      </c>
      <c r="T47" s="1" t="s">
        <v>42</v>
      </c>
      <c r="U47" s="5">
        <f>HYPERLINK("https://www.gia.edu/report-check?reportno=6455296264","6455296264")</f>
      </c>
      <c r="V47" s="1" t="s">
        <v>43</v>
      </c>
      <c r="W47" s="1" t="s">
        <v>76</v>
      </c>
      <c r="X47" s="1" t="s">
        <v>45</v>
      </c>
      <c r="Y47" s="1" t="s">
        <v>40</v>
      </c>
      <c r="Z47" s="1" t="s">
        <v>46</v>
      </c>
      <c r="AA47" s="1" t="s">
        <v>47</v>
      </c>
      <c r="AB47" s="1" t="s">
        <v>40</v>
      </c>
      <c r="AC47" s="1" t="s">
        <v>48</v>
      </c>
      <c r="AD47" s="1" t="s">
        <v>43</v>
      </c>
      <c r="AE47" s="8">
        <f>IF(L47&lt;&gt;"",L47*E47,0)</f>
      </c>
    </row>
    <row r="48" spans="1:31" x14ac:dyDescent="0.25">
      <c r="A48" s="4">
        <v>43</v>
      </c>
      <c r="B48" s="1" t="s">
        <v>170</v>
      </c>
      <c r="C48" s="5">
        <f>HYPERLINK("https://client.unique.diamonds/dna/141444-101","DNA")</f>
      </c>
      <c r="D48" s="1" t="s">
        <v>36</v>
      </c>
      <c r="E48" s="6">
        <v>2.15</v>
      </c>
      <c r="F48" s="1" t="s">
        <v>162</v>
      </c>
      <c r="G48" s="1" t="s">
        <v>38</v>
      </c>
      <c r="H48" s="1" t="s">
        <v>39</v>
      </c>
      <c r="I48" s="1" t="s">
        <v>39</v>
      </c>
      <c r="J48" s="1" t="s">
        <v>39</v>
      </c>
      <c r="K48" s="1" t="s">
        <v>40</v>
      </c>
      <c r="L48" s="4">
        <v>16000</v>
      </c>
      <c r="M48" s="6">
        <v>-38</v>
      </c>
      <c r="N48" s="7">
        <f>IF(AND(L48 &lt;&gt; "-", M48 &lt;&gt; "-"),L48*( 1 + M48%),0)</f>
      </c>
      <c r="O48" s="7">
        <f>( N48 * E48 )</f>
      </c>
      <c r="P48" s="1" t="s">
        <v>171</v>
      </c>
      <c r="Q48" s="6">
        <v>1</v>
      </c>
      <c r="R48" s="6">
        <v>62.2</v>
      </c>
      <c r="S48" s="4">
        <v>56</v>
      </c>
      <c r="T48" s="1" t="s">
        <v>42</v>
      </c>
      <c r="U48" s="5">
        <f>HYPERLINK("https://www.gia.edu/report-check?reportno=5221243600","5221243600")</f>
      </c>
      <c r="V48" s="1" t="s">
        <v>43</v>
      </c>
      <c r="W48" s="1" t="s">
        <v>172</v>
      </c>
      <c r="X48" s="1" t="s">
        <v>45</v>
      </c>
      <c r="Y48" s="1" t="s">
        <v>40</v>
      </c>
      <c r="Z48" s="1" t="s">
        <v>46</v>
      </c>
      <c r="AA48" s="1" t="s">
        <v>47</v>
      </c>
      <c r="AB48" s="1" t="s">
        <v>40</v>
      </c>
      <c r="AC48" s="1" t="s">
        <v>48</v>
      </c>
      <c r="AD48" s="1" t="s">
        <v>43</v>
      </c>
      <c r="AE48" s="8">
        <f>IF(L48&lt;&gt;"",L48*E48,0)</f>
      </c>
    </row>
    <row r="49" spans="1:31" x14ac:dyDescent="0.25">
      <c r="A49" s="4">
        <v>44</v>
      </c>
      <c r="B49" s="1" t="s">
        <v>173</v>
      </c>
      <c r="C49" s="5">
        <f>HYPERLINK("https://client.unique.diamonds/dna/161-113","DNA")</f>
      </c>
      <c r="D49" s="1" t="s">
        <v>36</v>
      </c>
      <c r="E49" s="6">
        <v>2.46</v>
      </c>
      <c r="F49" s="1" t="s">
        <v>162</v>
      </c>
      <c r="G49" s="1" t="s">
        <v>38</v>
      </c>
      <c r="H49" s="1" t="s">
        <v>39</v>
      </c>
      <c r="I49" s="1" t="s">
        <v>39</v>
      </c>
      <c r="J49" s="1" t="s">
        <v>39</v>
      </c>
      <c r="K49" s="1" t="s">
        <v>40</v>
      </c>
      <c r="L49" s="4">
        <v>16000</v>
      </c>
      <c r="M49" s="6">
        <v>-36.97</v>
      </c>
      <c r="N49" s="7">
        <f>IF(AND(L49 &lt;&gt; "-", M49 &lt;&gt; "-"),L49*( 1 + M49%),0)</f>
      </c>
      <c r="O49" s="7">
        <f>( N49 * E49 )</f>
      </c>
      <c r="P49" s="1" t="s">
        <v>174</v>
      </c>
      <c r="Q49" s="6">
        <v>1.01</v>
      </c>
      <c r="R49" s="6">
        <v>62.7</v>
      </c>
      <c r="S49" s="4">
        <v>58</v>
      </c>
      <c r="T49" s="1" t="s">
        <v>42</v>
      </c>
      <c r="U49" s="5">
        <f>HYPERLINK("https://www.gia.edu/report-check?reportno=2444776644","2444776644")</f>
      </c>
      <c r="V49" s="1" t="s">
        <v>43</v>
      </c>
      <c r="W49" s="1" t="s">
        <v>67</v>
      </c>
      <c r="X49" s="1" t="s">
        <v>40</v>
      </c>
      <c r="Y49" s="1" t="s">
        <v>40</v>
      </c>
      <c r="Z49" s="1" t="s">
        <v>46</v>
      </c>
      <c r="AA49" s="1" t="s">
        <v>40</v>
      </c>
      <c r="AB49" s="1" t="s">
        <v>40</v>
      </c>
      <c r="AC49" s="1" t="s">
        <v>48</v>
      </c>
      <c r="AD49" s="1" t="s">
        <v>43</v>
      </c>
      <c r="AE49" s="8">
        <f>IF(L49&lt;&gt;"",L49*E49,0)</f>
      </c>
    </row>
    <row r="50" spans="1:31" x14ac:dyDescent="0.25">
      <c r="A50" s="4">
        <v>45</v>
      </c>
      <c r="B50" s="1" t="s">
        <v>175</v>
      </c>
      <c r="C50" s="5">
        <f>HYPERLINK("https://client.unique.diamonds/dna/11268-6","DNA")</f>
      </c>
      <c r="D50" s="1" t="s">
        <v>36</v>
      </c>
      <c r="E50" s="6">
        <v>1.5</v>
      </c>
      <c r="F50" s="1" t="s">
        <v>176</v>
      </c>
      <c r="G50" s="1" t="s">
        <v>38</v>
      </c>
      <c r="H50" s="1" t="s">
        <v>39</v>
      </c>
      <c r="I50" s="1" t="s">
        <v>39</v>
      </c>
      <c r="J50" s="1" t="s">
        <v>39</v>
      </c>
      <c r="K50" s="1" t="s">
        <v>40</v>
      </c>
      <c r="L50" s="4">
        <v>9600</v>
      </c>
      <c r="M50" s="6">
        <v>-39.01</v>
      </c>
      <c r="N50" s="7">
        <f>IF(AND(L50 &lt;&gt; "-", M50 &lt;&gt; "-"),L50*( 1 + M50%),0)</f>
      </c>
      <c r="O50" s="7">
        <f>( N50 * E50 )</f>
      </c>
      <c r="P50" s="1" t="s">
        <v>177</v>
      </c>
      <c r="Q50" s="6">
        <v>1</v>
      </c>
      <c r="R50" s="6">
        <v>59.3</v>
      </c>
      <c r="S50" s="4">
        <v>61</v>
      </c>
      <c r="T50" s="1" t="s">
        <v>42</v>
      </c>
      <c r="U50" s="5">
        <f>HYPERLINK("https://www.gia.edu/report-check?reportno=7443786776","7443786776")</f>
      </c>
      <c r="V50" s="1" t="s">
        <v>43</v>
      </c>
      <c r="W50" s="1" t="s">
        <v>178</v>
      </c>
      <c r="X50" s="1" t="s">
        <v>45</v>
      </c>
      <c r="Y50" s="1" t="s">
        <v>40</v>
      </c>
      <c r="Z50" s="1" t="s">
        <v>46</v>
      </c>
      <c r="AA50" s="1" t="s">
        <v>52</v>
      </c>
      <c r="AB50" s="1" t="s">
        <v>40</v>
      </c>
      <c r="AC50" s="1" t="s">
        <v>48</v>
      </c>
      <c r="AD50" s="1" t="s">
        <v>43</v>
      </c>
      <c r="AE50" s="8">
        <f>IF(L50&lt;&gt;"",L50*E50,0)</f>
      </c>
    </row>
    <row r="51" spans="1:31" x14ac:dyDescent="0.25">
      <c r="A51" s="4">
        <v>46</v>
      </c>
      <c r="B51" s="1" t="s">
        <v>179</v>
      </c>
      <c r="C51" s="5">
        <f>HYPERLINK("https://client.unique.diamonds/dna/21141-19","DNA")</f>
      </c>
      <c r="D51" s="1" t="s">
        <v>36</v>
      </c>
      <c r="E51" s="6">
        <v>1.51</v>
      </c>
      <c r="F51" s="1" t="s">
        <v>176</v>
      </c>
      <c r="G51" s="1" t="s">
        <v>38</v>
      </c>
      <c r="H51" s="1" t="s">
        <v>39</v>
      </c>
      <c r="I51" s="1" t="s">
        <v>39</v>
      </c>
      <c r="J51" s="1" t="s">
        <v>39</v>
      </c>
      <c r="K51" s="1" t="s">
        <v>40</v>
      </c>
      <c r="L51" s="4">
        <v>9600</v>
      </c>
      <c r="M51" s="6">
        <v>-36</v>
      </c>
      <c r="N51" s="7">
        <f>IF(AND(L51 &lt;&gt; "-", M51 &lt;&gt; "-"),L51*( 1 + M51%),0)</f>
      </c>
      <c r="O51" s="7">
        <f>( N51 * E51 )</f>
      </c>
      <c r="P51" s="1" t="s">
        <v>180</v>
      </c>
      <c r="Q51" s="6">
        <v>1.01</v>
      </c>
      <c r="R51" s="6">
        <v>62.5</v>
      </c>
      <c r="S51" s="4">
        <v>58</v>
      </c>
      <c r="T51" s="1" t="s">
        <v>42</v>
      </c>
      <c r="U51" s="5">
        <f>HYPERLINK("https://www.gia.edu/report-check?reportno=5463726617","5463726617")</f>
      </c>
      <c r="V51" s="1" t="s">
        <v>43</v>
      </c>
      <c r="W51" s="1" t="s">
        <v>63</v>
      </c>
      <c r="X51" s="1" t="s">
        <v>45</v>
      </c>
      <c r="Y51" s="1" t="s">
        <v>40</v>
      </c>
      <c r="Z51" s="1" t="s">
        <v>46</v>
      </c>
      <c r="AA51" s="1" t="s">
        <v>40</v>
      </c>
      <c r="AB51" s="1" t="s">
        <v>40</v>
      </c>
      <c r="AC51" s="1" t="s">
        <v>48</v>
      </c>
      <c r="AD51" s="1" t="s">
        <v>43</v>
      </c>
      <c r="AE51" s="8">
        <f>IF(L51&lt;&gt;"",L51*E51,0)</f>
      </c>
    </row>
    <row r="52" spans="1:31" x14ac:dyDescent="0.25">
      <c r="A52" s="4">
        <v>47</v>
      </c>
      <c r="B52" s="1" t="s">
        <v>181</v>
      </c>
      <c r="C52" s="5">
        <f>HYPERLINK("https://client.unique.diamonds/dna/11204-18","DNA")</f>
      </c>
      <c r="D52" s="1" t="s">
        <v>36</v>
      </c>
      <c r="E52" s="6">
        <v>1.6</v>
      </c>
      <c r="F52" s="1" t="s">
        <v>176</v>
      </c>
      <c r="G52" s="1" t="s">
        <v>38</v>
      </c>
      <c r="H52" s="1" t="s">
        <v>39</v>
      </c>
      <c r="I52" s="1" t="s">
        <v>39</v>
      </c>
      <c r="J52" s="1" t="s">
        <v>39</v>
      </c>
      <c r="K52" s="1" t="s">
        <v>40</v>
      </c>
      <c r="L52" s="4">
        <v>9600</v>
      </c>
      <c r="M52" s="6">
        <v>-38.5</v>
      </c>
      <c r="N52" s="7">
        <f>IF(AND(L52 &lt;&gt; "-", M52 &lt;&gt; "-"),L52*( 1 + M52%),0)</f>
      </c>
      <c r="O52" s="7">
        <f>( N52 * E52 )</f>
      </c>
      <c r="P52" s="1" t="s">
        <v>182</v>
      </c>
      <c r="Q52" s="6">
        <v>1.01</v>
      </c>
      <c r="R52" s="6">
        <v>62.7</v>
      </c>
      <c r="S52" s="4">
        <v>57</v>
      </c>
      <c r="T52" s="1" t="s">
        <v>42</v>
      </c>
      <c r="U52" s="5">
        <f>HYPERLINK("https://www.gia.edu/report-check?reportno=1445198524","1445198524")</f>
      </c>
      <c r="V52" s="1" t="s">
        <v>43</v>
      </c>
      <c r="W52" s="1" t="s">
        <v>122</v>
      </c>
      <c r="X52" s="1" t="s">
        <v>46</v>
      </c>
      <c r="Y52" s="1" t="s">
        <v>40</v>
      </c>
      <c r="Z52" s="1" t="s">
        <v>46</v>
      </c>
      <c r="AA52" s="1" t="s">
        <v>47</v>
      </c>
      <c r="AB52" s="1" t="s">
        <v>73</v>
      </c>
      <c r="AC52" s="1" t="s">
        <v>48</v>
      </c>
      <c r="AD52" s="1" t="s">
        <v>43</v>
      </c>
      <c r="AE52" s="8">
        <f>IF(L52&lt;&gt;"",L52*E52,0)</f>
      </c>
    </row>
    <row r="53" spans="1:31" x14ac:dyDescent="0.25">
      <c r="A53" s="4">
        <v>48</v>
      </c>
      <c r="B53" s="1" t="s">
        <v>183</v>
      </c>
      <c r="C53" s="5">
        <f>HYPERLINK("https://client.unique.diamonds/dna/21140-10","DNA")</f>
      </c>
      <c r="D53" s="1" t="s">
        <v>36</v>
      </c>
      <c r="E53" s="6">
        <v>1.7</v>
      </c>
      <c r="F53" s="1" t="s">
        <v>176</v>
      </c>
      <c r="G53" s="1" t="s">
        <v>38</v>
      </c>
      <c r="H53" s="1" t="s">
        <v>39</v>
      </c>
      <c r="I53" s="1" t="s">
        <v>39</v>
      </c>
      <c r="J53" s="1" t="s">
        <v>39</v>
      </c>
      <c r="K53" s="1" t="s">
        <v>40</v>
      </c>
      <c r="L53" s="4">
        <v>9600</v>
      </c>
      <c r="M53" s="6">
        <v>-26.5</v>
      </c>
      <c r="N53" s="7">
        <f>IF(AND(L53 &lt;&gt; "-", M53 &lt;&gt; "-"),L53*( 1 + M53%),0)</f>
      </c>
      <c r="O53" s="7">
        <f>( N53 * E53 )</f>
      </c>
      <c r="P53" s="1" t="s">
        <v>184</v>
      </c>
      <c r="Q53" s="6">
        <v>1.01</v>
      </c>
      <c r="R53" s="6">
        <v>62.4</v>
      </c>
      <c r="S53" s="4">
        <v>57</v>
      </c>
      <c r="T53" s="1" t="s">
        <v>42</v>
      </c>
      <c r="U53" s="5">
        <f>HYPERLINK("https://www.gia.edu/report-check?reportno=1465751423","1465751423")</f>
      </c>
      <c r="V53" s="1" t="s">
        <v>43</v>
      </c>
      <c r="W53" s="1" t="s">
        <v>185</v>
      </c>
      <c r="X53" s="1" t="s">
        <v>45</v>
      </c>
      <c r="Y53" s="1" t="s">
        <v>40</v>
      </c>
      <c r="Z53" s="1" t="s">
        <v>46</v>
      </c>
      <c r="AA53" s="1" t="s">
        <v>40</v>
      </c>
      <c r="AB53" s="1" t="s">
        <v>40</v>
      </c>
      <c r="AC53" s="1" t="s">
        <v>48</v>
      </c>
      <c r="AD53" s="1" t="s">
        <v>43</v>
      </c>
      <c r="AE53" s="8">
        <f>IF(L53&lt;&gt;"",L53*E53,0)</f>
      </c>
    </row>
    <row r="54" spans="1:31" x14ac:dyDescent="0.25">
      <c r="A54" s="4">
        <v>49</v>
      </c>
      <c r="B54" s="1" t="s">
        <v>186</v>
      </c>
      <c r="C54" s="5">
        <f>HYPERLINK("https://client.unique.diamonds/dna/21110-8","DNA")</f>
      </c>
      <c r="D54" s="1" t="s">
        <v>36</v>
      </c>
      <c r="E54" s="6">
        <v>1.71</v>
      </c>
      <c r="F54" s="1" t="s">
        <v>176</v>
      </c>
      <c r="G54" s="1" t="s">
        <v>38</v>
      </c>
      <c r="H54" s="1" t="s">
        <v>39</v>
      </c>
      <c r="I54" s="1" t="s">
        <v>39</v>
      </c>
      <c r="J54" s="1" t="s">
        <v>39</v>
      </c>
      <c r="K54" s="1" t="s">
        <v>40</v>
      </c>
      <c r="L54" s="4">
        <v>9600</v>
      </c>
      <c r="M54" s="6">
        <v>-28.5</v>
      </c>
      <c r="N54" s="7">
        <f>IF(AND(L54 &lt;&gt; "-", M54 &lt;&gt; "-"),L54*( 1 + M54%),0)</f>
      </c>
      <c r="O54" s="7">
        <f>( N54 * E54 )</f>
      </c>
      <c r="P54" s="1" t="s">
        <v>187</v>
      </c>
      <c r="Q54" s="6">
        <v>1.01</v>
      </c>
      <c r="R54" s="6">
        <v>62.6</v>
      </c>
      <c r="S54" s="4">
        <v>59</v>
      </c>
      <c r="T54" s="1" t="s">
        <v>42</v>
      </c>
      <c r="U54" s="5">
        <f>HYPERLINK("https://www.gia.edu/report-check?reportno=6465460725","6465460725")</f>
      </c>
      <c r="V54" s="1" t="s">
        <v>43</v>
      </c>
      <c r="W54" s="1" t="s">
        <v>188</v>
      </c>
      <c r="X54" s="1" t="s">
        <v>45</v>
      </c>
      <c r="Y54" s="1" t="s">
        <v>40</v>
      </c>
      <c r="Z54" s="1" t="s">
        <v>40</v>
      </c>
      <c r="AA54" s="1" t="s">
        <v>47</v>
      </c>
      <c r="AB54" s="1" t="s">
        <v>40</v>
      </c>
      <c r="AC54" s="1" t="s">
        <v>48</v>
      </c>
      <c r="AD54" s="1" t="s">
        <v>43</v>
      </c>
      <c r="AE54" s="8">
        <f>IF(L54&lt;&gt;"",L54*E54,0)</f>
      </c>
    </row>
    <row r="55" spans="1:31" x14ac:dyDescent="0.25">
      <c r="A55" s="4">
        <v>50</v>
      </c>
      <c r="B55" s="1" t="s">
        <v>189</v>
      </c>
      <c r="C55" s="5">
        <f>HYPERLINK("https://client.unique.diamonds/dna/162-113","DNA")</f>
      </c>
      <c r="D55" s="1" t="s">
        <v>36</v>
      </c>
      <c r="E55" s="6">
        <v>1.91</v>
      </c>
      <c r="F55" s="1" t="s">
        <v>176</v>
      </c>
      <c r="G55" s="1" t="s">
        <v>38</v>
      </c>
      <c r="H55" s="1" t="s">
        <v>39</v>
      </c>
      <c r="I55" s="1" t="s">
        <v>39</v>
      </c>
      <c r="J55" s="1" t="s">
        <v>39</v>
      </c>
      <c r="K55" s="1" t="s">
        <v>40</v>
      </c>
      <c r="L55" s="4">
        <v>9600</v>
      </c>
      <c r="M55" s="6">
        <v>-20.71</v>
      </c>
      <c r="N55" s="7">
        <f>IF(AND(L55 &lt;&gt; "-", M55 &lt;&gt; "-"),L55*( 1 + M55%),0)</f>
      </c>
      <c r="O55" s="7">
        <f>( N55 * E55 )</f>
      </c>
      <c r="P55" s="1" t="s">
        <v>190</v>
      </c>
      <c r="Q55" s="6">
        <v>1</v>
      </c>
      <c r="R55" s="6">
        <v>60.1</v>
      </c>
      <c r="S55" s="4">
        <v>60</v>
      </c>
      <c r="T55" s="1" t="s">
        <v>42</v>
      </c>
      <c r="U55" s="5">
        <f>HYPERLINK("https://www.gia.edu/report-check?reportno=2446981419","2446981419")</f>
      </c>
      <c r="V55" s="1" t="s">
        <v>43</v>
      </c>
      <c r="W55" s="1" t="s">
        <v>72</v>
      </c>
      <c r="X55" s="1" t="s">
        <v>45</v>
      </c>
      <c r="Y55" s="1" t="s">
        <v>40</v>
      </c>
      <c r="Z55" s="1" t="s">
        <v>40</v>
      </c>
      <c r="AA55" s="1" t="s">
        <v>40</v>
      </c>
      <c r="AB55" s="1" t="s">
        <v>40</v>
      </c>
      <c r="AC55" s="1" t="s">
        <v>48</v>
      </c>
      <c r="AD55" s="1" t="s">
        <v>43</v>
      </c>
      <c r="AE55" s="8">
        <f>IF(L55&lt;&gt;"",L55*E55,0)</f>
      </c>
    </row>
    <row r="56" spans="1:31" x14ac:dyDescent="0.25">
      <c r="A56" s="4">
        <v>51</v>
      </c>
      <c r="B56" s="1" t="s">
        <v>191</v>
      </c>
      <c r="C56" s="5">
        <f>HYPERLINK("https://client.unique.diamonds/dna/161-62","DNA")</f>
      </c>
      <c r="D56" s="1" t="s">
        <v>36</v>
      </c>
      <c r="E56" s="6">
        <v>2</v>
      </c>
      <c r="F56" s="1" t="s">
        <v>176</v>
      </c>
      <c r="G56" s="1" t="s">
        <v>38</v>
      </c>
      <c r="H56" s="1" t="s">
        <v>39</v>
      </c>
      <c r="I56" s="1" t="s">
        <v>39</v>
      </c>
      <c r="J56" s="1" t="s">
        <v>39</v>
      </c>
      <c r="K56" s="1" t="s">
        <v>94</v>
      </c>
      <c r="L56" s="4">
        <v>13000</v>
      </c>
      <c r="M56" s="6">
        <v>-48.44</v>
      </c>
      <c r="N56" s="7">
        <f>IF(AND(L56 &lt;&gt; "-", M56 &lt;&gt; "-"),L56*( 1 + M56%),0)</f>
      </c>
      <c r="O56" s="7">
        <f>( N56 * E56 )</f>
      </c>
      <c r="P56" s="1" t="s">
        <v>192</v>
      </c>
      <c r="Q56" s="6">
        <v>1</v>
      </c>
      <c r="R56" s="6">
        <v>60.9</v>
      </c>
      <c r="S56" s="4">
        <v>59</v>
      </c>
      <c r="T56" s="1" t="s">
        <v>42</v>
      </c>
      <c r="U56" s="5">
        <f>HYPERLINK("https://www.gia.edu/report-check?reportno=1428978815","1428978815")</f>
      </c>
      <c r="V56" s="1" t="s">
        <v>43</v>
      </c>
      <c r="W56" s="1" t="s">
        <v>193</v>
      </c>
      <c r="X56" s="1" t="s">
        <v>59</v>
      </c>
      <c r="Y56" s="1" t="s">
        <v>40</v>
      </c>
      <c r="Z56" s="1" t="s">
        <v>45</v>
      </c>
      <c r="AA56" s="1" t="s">
        <v>40</v>
      </c>
      <c r="AB56" s="1" t="s">
        <v>40</v>
      </c>
      <c r="AC56" s="1" t="s">
        <v>48</v>
      </c>
      <c r="AD56" s="1" t="s">
        <v>43</v>
      </c>
      <c r="AE56" s="8">
        <f>IF(L56&lt;&gt;"",L56*E56,0)</f>
      </c>
    </row>
    <row r="57" spans="1:31" x14ac:dyDescent="0.25">
      <c r="A57" s="4">
        <v>52</v>
      </c>
      <c r="B57" s="1" t="s">
        <v>194</v>
      </c>
      <c r="C57" s="5">
        <f>HYPERLINK("https://client.unique.diamonds/dna/21072-3","DNA")</f>
      </c>
      <c r="D57" s="1" t="s">
        <v>36</v>
      </c>
      <c r="E57" s="6">
        <v>2.01</v>
      </c>
      <c r="F57" s="1" t="s">
        <v>176</v>
      </c>
      <c r="G57" s="1" t="s">
        <v>38</v>
      </c>
      <c r="H57" s="1" t="s">
        <v>39</v>
      </c>
      <c r="I57" s="1" t="s">
        <v>39</v>
      </c>
      <c r="J57" s="1" t="s">
        <v>39</v>
      </c>
      <c r="K57" s="1" t="s">
        <v>40</v>
      </c>
      <c r="L57" s="4">
        <v>13000</v>
      </c>
      <c r="M57" s="6">
        <v>-38</v>
      </c>
      <c r="N57" s="7">
        <f>IF(AND(L57 &lt;&gt; "-", M57 &lt;&gt; "-"),L57*( 1 + M57%),0)</f>
      </c>
      <c r="O57" s="7">
        <f>( N57 * E57 )</f>
      </c>
      <c r="P57" s="1" t="s">
        <v>195</v>
      </c>
      <c r="Q57" s="6">
        <v>1</v>
      </c>
      <c r="R57" s="6">
        <v>62.1</v>
      </c>
      <c r="S57" s="4">
        <v>59</v>
      </c>
      <c r="T57" s="1" t="s">
        <v>42</v>
      </c>
      <c r="U57" s="5">
        <f>HYPERLINK("https://www.gia.edu/report-check?reportno=7468261873","7468261873")</f>
      </c>
      <c r="V57" s="1" t="s">
        <v>43</v>
      </c>
      <c r="W57" s="1" t="s">
        <v>125</v>
      </c>
      <c r="X57" s="1" t="s">
        <v>59</v>
      </c>
      <c r="Y57" s="1" t="s">
        <v>40</v>
      </c>
      <c r="Z57" s="1" t="s">
        <v>46</v>
      </c>
      <c r="AA57" s="1" t="s">
        <v>47</v>
      </c>
      <c r="AB57" s="1" t="s">
        <v>40</v>
      </c>
      <c r="AC57" s="1" t="s">
        <v>48</v>
      </c>
      <c r="AD57" s="1" t="s">
        <v>43</v>
      </c>
      <c r="AE57" s="8">
        <f>IF(L57&lt;&gt;"",L57*E57,0)</f>
      </c>
    </row>
    <row r="58" spans="1:31" x14ac:dyDescent="0.25">
      <c r="A58" s="4">
        <v>53</v>
      </c>
      <c r="B58" s="1" t="s">
        <v>196</v>
      </c>
      <c r="C58" s="5">
        <f>HYPERLINK("https://client.unique.diamonds/dna/162-27","DNA")</f>
      </c>
      <c r="D58" s="1" t="s">
        <v>36</v>
      </c>
      <c r="E58" s="6">
        <v>2.02</v>
      </c>
      <c r="F58" s="1" t="s">
        <v>176</v>
      </c>
      <c r="G58" s="1" t="s">
        <v>38</v>
      </c>
      <c r="H58" s="1" t="s">
        <v>39</v>
      </c>
      <c r="I58" s="1" t="s">
        <v>39</v>
      </c>
      <c r="J58" s="1" t="s">
        <v>39</v>
      </c>
      <c r="K58" s="1" t="s">
        <v>90</v>
      </c>
      <c r="L58" s="4">
        <v>13000</v>
      </c>
      <c r="M58" s="6">
        <v>-43.36</v>
      </c>
      <c r="N58" s="7">
        <f>IF(AND(L58 &lt;&gt; "-", M58 &lt;&gt; "-"),L58*( 1 + M58%),0)</f>
      </c>
      <c r="O58" s="7">
        <f>( N58 * E58 )</f>
      </c>
      <c r="P58" s="1" t="s">
        <v>197</v>
      </c>
      <c r="Q58" s="6">
        <v>1</v>
      </c>
      <c r="R58" s="6">
        <v>61.4</v>
      </c>
      <c r="S58" s="4">
        <v>58</v>
      </c>
      <c r="T58" s="1" t="s">
        <v>42</v>
      </c>
      <c r="U58" s="5">
        <f>HYPERLINK("https://www.gia.edu/report-check?reportno=2437424621","2437424621")</f>
      </c>
      <c r="V58" s="1" t="s">
        <v>43</v>
      </c>
      <c r="W58" s="1" t="s">
        <v>67</v>
      </c>
      <c r="X58" s="1" t="s">
        <v>45</v>
      </c>
      <c r="Y58" s="1" t="s">
        <v>40</v>
      </c>
      <c r="Z58" s="1" t="s">
        <v>40</v>
      </c>
      <c r="AA58" s="1" t="s">
        <v>52</v>
      </c>
      <c r="AB58" s="1" t="s">
        <v>40</v>
      </c>
      <c r="AC58" s="1" t="s">
        <v>48</v>
      </c>
      <c r="AD58" s="1" t="s">
        <v>43</v>
      </c>
      <c r="AE58" s="8">
        <f>IF(L58&lt;&gt;"",L58*E58,0)</f>
      </c>
    </row>
    <row r="59" spans="1:31" x14ac:dyDescent="0.25">
      <c r="A59" s="4">
        <v>54</v>
      </c>
      <c r="B59" s="1" t="s">
        <v>198</v>
      </c>
      <c r="C59" s="5">
        <f>HYPERLINK("https://client.unique.diamonds/dna/11174-24","DNA")</f>
      </c>
      <c r="D59" s="1" t="s">
        <v>36</v>
      </c>
      <c r="E59" s="6">
        <v>2.12</v>
      </c>
      <c r="F59" s="1" t="s">
        <v>176</v>
      </c>
      <c r="G59" s="1" t="s">
        <v>38</v>
      </c>
      <c r="H59" s="1" t="s">
        <v>39</v>
      </c>
      <c r="I59" s="1" t="s">
        <v>39</v>
      </c>
      <c r="J59" s="1" t="s">
        <v>39</v>
      </c>
      <c r="K59" s="1" t="s">
        <v>90</v>
      </c>
      <c r="L59" s="4">
        <v>13000</v>
      </c>
      <c r="M59" s="6">
        <v>-45</v>
      </c>
      <c r="N59" s="7">
        <f>IF(AND(L59 &lt;&gt; "-", M59 &lt;&gt; "-"),L59*( 1 + M59%),0)</f>
      </c>
      <c r="O59" s="7">
        <f>( N59 * E59 )</f>
      </c>
      <c r="P59" s="1" t="s">
        <v>199</v>
      </c>
      <c r="Q59" s="6">
        <v>1</v>
      </c>
      <c r="R59" s="6">
        <v>62.1</v>
      </c>
      <c r="S59" s="4">
        <v>58</v>
      </c>
      <c r="T59" s="1" t="s">
        <v>42</v>
      </c>
      <c r="U59" s="5">
        <f>HYPERLINK("https://www.gia.edu/report-check?reportno=2434969751","2434969751")</f>
      </c>
      <c r="V59" s="1" t="s">
        <v>43</v>
      </c>
      <c r="W59" s="1" t="s">
        <v>67</v>
      </c>
      <c r="X59" s="1" t="s">
        <v>45</v>
      </c>
      <c r="Y59" s="1" t="s">
        <v>40</v>
      </c>
      <c r="Z59" s="1" t="s">
        <v>46</v>
      </c>
      <c r="AA59" s="1" t="s">
        <v>47</v>
      </c>
      <c r="AB59" s="1" t="s">
        <v>40</v>
      </c>
      <c r="AC59" s="1" t="s">
        <v>48</v>
      </c>
      <c r="AD59" s="1" t="s">
        <v>43</v>
      </c>
      <c r="AE59" s="8">
        <f>IF(L59&lt;&gt;"",L59*E59,0)</f>
      </c>
    </row>
    <row r="60" spans="1:31" x14ac:dyDescent="0.25">
      <c r="A60" s="4">
        <v>55</v>
      </c>
      <c r="B60" s="1" t="s">
        <v>200</v>
      </c>
      <c r="C60" s="5">
        <f>HYPERLINK("https://client.unique.diamonds/dna/162-2","DNA")</f>
      </c>
      <c r="D60" s="1" t="s">
        <v>36</v>
      </c>
      <c r="E60" s="6">
        <v>2.18</v>
      </c>
      <c r="F60" s="1" t="s">
        <v>176</v>
      </c>
      <c r="G60" s="1" t="s">
        <v>38</v>
      </c>
      <c r="H60" s="1" t="s">
        <v>39</v>
      </c>
      <c r="I60" s="1" t="s">
        <v>39</v>
      </c>
      <c r="J60" s="1" t="s">
        <v>39</v>
      </c>
      <c r="K60" s="1" t="s">
        <v>90</v>
      </c>
      <c r="L60" s="4">
        <v>13000</v>
      </c>
      <c r="M60" s="6">
        <v>-44.87</v>
      </c>
      <c r="N60" s="7">
        <f>IF(AND(L60 &lt;&gt; "-", M60 &lt;&gt; "-"),L60*( 1 + M60%),0)</f>
      </c>
      <c r="O60" s="7">
        <f>( N60 * E60 )</f>
      </c>
      <c r="P60" s="1" t="s">
        <v>201</v>
      </c>
      <c r="Q60" s="6">
        <v>1</v>
      </c>
      <c r="R60" s="6">
        <v>61.3</v>
      </c>
      <c r="S60" s="4">
        <v>60</v>
      </c>
      <c r="T60" s="1" t="s">
        <v>42</v>
      </c>
      <c r="U60" s="5">
        <f>HYPERLINK("https://www.gia.edu/report-check?reportno=2448044940","2448044940")</f>
      </c>
      <c r="V60" s="1" t="s">
        <v>43</v>
      </c>
      <c r="W60" s="1" t="s">
        <v>193</v>
      </c>
      <c r="X60" s="1" t="s">
        <v>45</v>
      </c>
      <c r="Y60" s="1" t="s">
        <v>40</v>
      </c>
      <c r="Z60" s="1" t="s">
        <v>45</v>
      </c>
      <c r="AA60" s="1" t="s">
        <v>47</v>
      </c>
      <c r="AB60" s="1" t="s">
        <v>47</v>
      </c>
      <c r="AC60" s="1" t="s">
        <v>48</v>
      </c>
      <c r="AD60" s="1" t="s">
        <v>43</v>
      </c>
      <c r="AE60" s="8">
        <f>IF(L60&lt;&gt;"",L60*E60,0)</f>
      </c>
    </row>
    <row r="61" spans="1:31" x14ac:dyDescent="0.25">
      <c r="A61" s="4">
        <v>56</v>
      </c>
      <c r="B61" s="1" t="s">
        <v>202</v>
      </c>
      <c r="C61" s="5">
        <f>HYPERLINK("https://client.unique.diamonds/dna/11225-24","DNA")</f>
      </c>
      <c r="D61" s="1" t="s">
        <v>36</v>
      </c>
      <c r="E61" s="6">
        <v>2.2</v>
      </c>
      <c r="F61" s="1" t="s">
        <v>176</v>
      </c>
      <c r="G61" s="1" t="s">
        <v>38</v>
      </c>
      <c r="H61" s="1" t="s">
        <v>39</v>
      </c>
      <c r="I61" s="1" t="s">
        <v>39</v>
      </c>
      <c r="J61" s="1" t="s">
        <v>39</v>
      </c>
      <c r="K61" s="1" t="s">
        <v>40</v>
      </c>
      <c r="L61" s="4">
        <v>13000</v>
      </c>
      <c r="M61" s="6">
        <v>-38</v>
      </c>
      <c r="N61" s="7">
        <f>IF(AND(L61 &lt;&gt; "-", M61 &lt;&gt; "-"),L61*( 1 + M61%),0)</f>
      </c>
      <c r="O61" s="7">
        <f>( N61 * E61 )</f>
      </c>
      <c r="P61" s="1" t="s">
        <v>203</v>
      </c>
      <c r="Q61" s="6">
        <v>1</v>
      </c>
      <c r="R61" s="6">
        <v>61.5</v>
      </c>
      <c r="S61" s="4">
        <v>59</v>
      </c>
      <c r="T61" s="1" t="s">
        <v>42</v>
      </c>
      <c r="U61" s="5">
        <f>HYPERLINK("https://www.gia.edu/report-check?reportno=7446445361","7446445361")</f>
      </c>
      <c r="V61" s="1" t="s">
        <v>43</v>
      </c>
      <c r="W61" s="1" t="s">
        <v>204</v>
      </c>
      <c r="X61" s="1" t="s">
        <v>46</v>
      </c>
      <c r="Y61" s="1" t="s">
        <v>40</v>
      </c>
      <c r="Z61" s="1" t="s">
        <v>40</v>
      </c>
      <c r="AA61" s="1" t="s">
        <v>52</v>
      </c>
      <c r="AB61" s="1" t="s">
        <v>40</v>
      </c>
      <c r="AC61" s="1" t="s">
        <v>48</v>
      </c>
      <c r="AD61" s="1" t="s">
        <v>43</v>
      </c>
      <c r="AE61" s="8">
        <f>IF(L61&lt;&gt;"",L61*E61,0)</f>
      </c>
    </row>
    <row r="62" spans="1:31" x14ac:dyDescent="0.25">
      <c r="A62" s="4">
        <v>57</v>
      </c>
      <c r="B62" s="1" t="s">
        <v>205</v>
      </c>
      <c r="C62" s="5">
        <f>HYPERLINK("https://client.unique.diamonds/dna/11157-19","DNA")</f>
      </c>
      <c r="D62" s="1" t="s">
        <v>36</v>
      </c>
      <c r="E62" s="6">
        <v>2.5</v>
      </c>
      <c r="F62" s="1" t="s">
        <v>176</v>
      </c>
      <c r="G62" s="1" t="s">
        <v>38</v>
      </c>
      <c r="H62" s="1" t="s">
        <v>39</v>
      </c>
      <c r="I62" s="1" t="s">
        <v>39</v>
      </c>
      <c r="J62" s="1" t="s">
        <v>39</v>
      </c>
      <c r="K62" s="1" t="s">
        <v>40</v>
      </c>
      <c r="L62" s="4">
        <v>13000</v>
      </c>
      <c r="M62" s="6">
        <v>-30</v>
      </c>
      <c r="N62" s="7">
        <f>IF(AND(L62 &lt;&gt; "-", M62 &lt;&gt; "-"),L62*( 1 + M62%),0)</f>
      </c>
      <c r="O62" s="7">
        <f>( N62 * E62 )</f>
      </c>
      <c r="P62" s="1" t="s">
        <v>206</v>
      </c>
      <c r="Q62" s="6">
        <v>1.01</v>
      </c>
      <c r="R62" s="6">
        <v>62.7</v>
      </c>
      <c r="S62" s="4">
        <v>59</v>
      </c>
      <c r="T62" s="1" t="s">
        <v>42</v>
      </c>
      <c r="U62" s="5">
        <f>HYPERLINK("https://www.gia.edu/report-check?reportno=1433687445","1433687445")</f>
      </c>
      <c r="V62" s="1" t="s">
        <v>43</v>
      </c>
      <c r="W62" s="1" t="s">
        <v>92</v>
      </c>
      <c r="X62" s="1" t="s">
        <v>64</v>
      </c>
      <c r="Y62" s="1" t="s">
        <v>40</v>
      </c>
      <c r="Z62" s="1" t="s">
        <v>46</v>
      </c>
      <c r="AA62" s="1" t="s">
        <v>47</v>
      </c>
      <c r="AB62" s="1" t="s">
        <v>73</v>
      </c>
      <c r="AC62" s="1" t="s">
        <v>48</v>
      </c>
      <c r="AD62" s="1" t="s">
        <v>43</v>
      </c>
      <c r="AE62" s="8">
        <f>IF(L62&lt;&gt;"",L62*E62,0)</f>
      </c>
    </row>
    <row r="63" spans="1:31" x14ac:dyDescent="0.25">
      <c r="A63" s="4">
        <v>58</v>
      </c>
      <c r="B63" s="1" t="s">
        <v>207</v>
      </c>
      <c r="C63" s="5">
        <f>HYPERLINK("https://client.unique.diamonds/dna/11108-121","DNA")</f>
      </c>
      <c r="D63" s="1" t="s">
        <v>36</v>
      </c>
      <c r="E63" s="6">
        <v>1.5</v>
      </c>
      <c r="F63" s="1" t="s">
        <v>208</v>
      </c>
      <c r="G63" s="1" t="s">
        <v>38</v>
      </c>
      <c r="H63" s="1" t="s">
        <v>39</v>
      </c>
      <c r="I63" s="1" t="s">
        <v>39</v>
      </c>
      <c r="J63" s="1" t="s">
        <v>39</v>
      </c>
      <c r="K63" s="1" t="s">
        <v>90</v>
      </c>
      <c r="L63" s="4">
        <v>8100</v>
      </c>
      <c r="M63" s="6">
        <v>-44.5</v>
      </c>
      <c r="N63" s="7">
        <f>IF(AND(L63 &lt;&gt; "-", M63 &lt;&gt; "-"),L63*( 1 + M63%),0)</f>
      </c>
      <c r="O63" s="7">
        <f>( N63 * E63 )</f>
      </c>
      <c r="P63" s="1" t="s">
        <v>209</v>
      </c>
      <c r="Q63" s="6">
        <v>1.01</v>
      </c>
      <c r="R63" s="6">
        <v>60.9</v>
      </c>
      <c r="S63" s="4">
        <v>62</v>
      </c>
      <c r="T63" s="1" t="s">
        <v>42</v>
      </c>
      <c r="U63" s="5">
        <f>HYPERLINK("https://www.gia.edu/report-check?reportno=5436073360","5436073360")</f>
      </c>
      <c r="V63" s="1" t="s">
        <v>43</v>
      </c>
      <c r="W63" s="1" t="s">
        <v>178</v>
      </c>
      <c r="X63" s="1" t="s">
        <v>59</v>
      </c>
      <c r="Y63" s="1" t="s">
        <v>40</v>
      </c>
      <c r="Z63" s="1" t="s">
        <v>45</v>
      </c>
      <c r="AA63" s="1" t="s">
        <v>47</v>
      </c>
      <c r="AB63" s="1" t="s">
        <v>40</v>
      </c>
      <c r="AC63" s="1" t="s">
        <v>48</v>
      </c>
      <c r="AD63" s="1" t="s">
        <v>43</v>
      </c>
      <c r="AE63" s="8">
        <f>IF(L63&lt;&gt;"",L63*E63,0)</f>
      </c>
    </row>
    <row r="64" spans="1:31" x14ac:dyDescent="0.25">
      <c r="A64" s="4">
        <v>59</v>
      </c>
      <c r="B64" s="1" t="s">
        <v>210</v>
      </c>
      <c r="C64" s="5">
        <f>HYPERLINK("https://client.unique.diamonds/dna/11147-25","DNA")</f>
      </c>
      <c r="D64" s="1" t="s">
        <v>36</v>
      </c>
      <c r="E64" s="6">
        <v>1.5</v>
      </c>
      <c r="F64" s="1" t="s">
        <v>208</v>
      </c>
      <c r="G64" s="1" t="s">
        <v>38</v>
      </c>
      <c r="H64" s="1" t="s">
        <v>39</v>
      </c>
      <c r="I64" s="1" t="s">
        <v>39</v>
      </c>
      <c r="J64" s="1" t="s">
        <v>39</v>
      </c>
      <c r="K64" s="1" t="s">
        <v>90</v>
      </c>
      <c r="L64" s="4">
        <v>8100</v>
      </c>
      <c r="M64" s="6">
        <v>-43</v>
      </c>
      <c r="N64" s="7">
        <f>IF(AND(L64 &lt;&gt; "-", M64 &lt;&gt; "-"),L64*( 1 + M64%),0)</f>
      </c>
      <c r="O64" s="7">
        <f>( N64 * E64 )</f>
      </c>
      <c r="P64" s="1" t="s">
        <v>211</v>
      </c>
      <c r="Q64" s="6">
        <v>1</v>
      </c>
      <c r="R64" s="6">
        <v>60.3</v>
      </c>
      <c r="S64" s="4">
        <v>59</v>
      </c>
      <c r="T64" s="1" t="s">
        <v>42</v>
      </c>
      <c r="U64" s="5">
        <f>HYPERLINK("https://www.gia.edu/report-check?reportno=7438585325","7438585325")</f>
      </c>
      <c r="V64" s="1" t="s">
        <v>43</v>
      </c>
      <c r="W64" s="1" t="s">
        <v>67</v>
      </c>
      <c r="X64" s="1" t="s">
        <v>59</v>
      </c>
      <c r="Y64" s="1" t="s">
        <v>40</v>
      </c>
      <c r="Z64" s="1" t="s">
        <v>46</v>
      </c>
      <c r="AA64" s="1" t="s">
        <v>47</v>
      </c>
      <c r="AB64" s="1" t="s">
        <v>73</v>
      </c>
      <c r="AC64" s="1" t="s">
        <v>48</v>
      </c>
      <c r="AD64" s="1" t="s">
        <v>43</v>
      </c>
      <c r="AE64" s="8">
        <f>IF(L64&lt;&gt;"",L64*E64,0)</f>
      </c>
    </row>
    <row r="65" spans="1:31" x14ac:dyDescent="0.25">
      <c r="A65" s="4">
        <v>60</v>
      </c>
      <c r="B65" s="1" t="s">
        <v>212</v>
      </c>
      <c r="C65" s="5">
        <f>HYPERLINK("https://client.unique.diamonds/dna/12061-45","DNA")</f>
      </c>
      <c r="D65" s="1" t="s">
        <v>36</v>
      </c>
      <c r="E65" s="6">
        <v>1.7</v>
      </c>
      <c r="F65" s="1" t="s">
        <v>208</v>
      </c>
      <c r="G65" s="1" t="s">
        <v>38</v>
      </c>
      <c r="H65" s="1" t="s">
        <v>39</v>
      </c>
      <c r="I65" s="1" t="s">
        <v>39</v>
      </c>
      <c r="J65" s="1" t="s">
        <v>39</v>
      </c>
      <c r="K65" s="1" t="s">
        <v>90</v>
      </c>
      <c r="L65" s="4">
        <v>8100</v>
      </c>
      <c r="M65" s="6">
        <v>-35</v>
      </c>
      <c r="N65" s="7">
        <f>IF(AND(L65 &lt;&gt; "-", M65 &lt;&gt; "-"),L65*( 1 + M65%),0)</f>
      </c>
      <c r="O65" s="7">
        <f>( N65 * E65 )</f>
      </c>
      <c r="P65" s="1" t="s">
        <v>213</v>
      </c>
      <c r="Q65" s="6">
        <v>1.01</v>
      </c>
      <c r="R65" s="6">
        <v>62.5</v>
      </c>
      <c r="S65" s="4">
        <v>56</v>
      </c>
      <c r="T65" s="1" t="s">
        <v>42</v>
      </c>
      <c r="U65" s="5">
        <f>HYPERLINK("https://www.gia.edu/report-check?reportno=6441161442","6441161442")</f>
      </c>
      <c r="V65" s="1" t="s">
        <v>43</v>
      </c>
      <c r="W65" s="1" t="s">
        <v>67</v>
      </c>
      <c r="X65" s="1" t="s">
        <v>40</v>
      </c>
      <c r="Y65" s="1" t="s">
        <v>40</v>
      </c>
      <c r="Z65" s="1" t="s">
        <v>59</v>
      </c>
      <c r="AA65" s="1" t="s">
        <v>40</v>
      </c>
      <c r="AB65" s="1" t="s">
        <v>40</v>
      </c>
      <c r="AC65" s="1" t="s">
        <v>48</v>
      </c>
      <c r="AD65" s="1" t="s">
        <v>43</v>
      </c>
      <c r="AE65" s="8">
        <f>IF(L65&lt;&gt;"",L65*E65,0)</f>
      </c>
    </row>
    <row r="66" spans="1:31" x14ac:dyDescent="0.25">
      <c r="A66" s="4">
        <v>61</v>
      </c>
      <c r="B66" s="1" t="s">
        <v>214</v>
      </c>
      <c r="C66" s="5">
        <f>HYPERLINK("https://client.unique.diamonds/dna/21114-18","DNA")</f>
      </c>
      <c r="D66" s="1" t="s">
        <v>36</v>
      </c>
      <c r="E66" s="6">
        <v>1.7</v>
      </c>
      <c r="F66" s="1" t="s">
        <v>208</v>
      </c>
      <c r="G66" s="1" t="s">
        <v>38</v>
      </c>
      <c r="H66" s="1" t="s">
        <v>39</v>
      </c>
      <c r="I66" s="1" t="s">
        <v>39</v>
      </c>
      <c r="J66" s="1" t="s">
        <v>39</v>
      </c>
      <c r="K66" s="1" t="s">
        <v>40</v>
      </c>
      <c r="L66" s="4">
        <v>8100</v>
      </c>
      <c r="M66" s="6">
        <v>-31</v>
      </c>
      <c r="N66" s="7">
        <f>IF(AND(L66 &lt;&gt; "-", M66 &lt;&gt; "-"),L66*( 1 + M66%),0)</f>
      </c>
      <c r="O66" s="7">
        <f>( N66 * E66 )</f>
      </c>
      <c r="P66" s="1" t="s">
        <v>215</v>
      </c>
      <c r="Q66" s="6">
        <v>1.01</v>
      </c>
      <c r="R66" s="6">
        <v>62.5</v>
      </c>
      <c r="S66" s="4">
        <v>58</v>
      </c>
      <c r="T66" s="1" t="s">
        <v>42</v>
      </c>
      <c r="U66" s="5">
        <f>HYPERLINK("https://www.gia.edu/report-check?reportno=1465534843","1465534843")</f>
      </c>
      <c r="V66" s="1" t="s">
        <v>43</v>
      </c>
      <c r="W66" s="1" t="s">
        <v>178</v>
      </c>
      <c r="X66" s="1" t="s">
        <v>45</v>
      </c>
      <c r="Y66" s="1" t="s">
        <v>40</v>
      </c>
      <c r="Z66" s="1" t="s">
        <v>46</v>
      </c>
      <c r="AA66" s="1" t="s">
        <v>47</v>
      </c>
      <c r="AB66" s="1" t="s">
        <v>40</v>
      </c>
      <c r="AC66" s="1" t="s">
        <v>48</v>
      </c>
      <c r="AD66" s="1" t="s">
        <v>43</v>
      </c>
      <c r="AE66" s="8">
        <f>IF(L66&lt;&gt;"",L66*E66,0)</f>
      </c>
    </row>
    <row r="67" spans="1:31" x14ac:dyDescent="0.25">
      <c r="A67" s="4">
        <v>62</v>
      </c>
      <c r="B67" s="1" t="s">
        <v>216</v>
      </c>
      <c r="C67" s="5">
        <f>HYPERLINK("https://client.unique.diamonds/dna/11163-103","DNA")</f>
      </c>
      <c r="D67" s="1" t="s">
        <v>36</v>
      </c>
      <c r="E67" s="6">
        <v>1.71</v>
      </c>
      <c r="F67" s="1" t="s">
        <v>208</v>
      </c>
      <c r="G67" s="1" t="s">
        <v>38</v>
      </c>
      <c r="H67" s="1" t="s">
        <v>39</v>
      </c>
      <c r="I67" s="1" t="s">
        <v>39</v>
      </c>
      <c r="J67" s="1" t="s">
        <v>39</v>
      </c>
      <c r="K67" s="1" t="s">
        <v>40</v>
      </c>
      <c r="L67" s="4">
        <v>8100</v>
      </c>
      <c r="M67" s="6">
        <v>-28.5</v>
      </c>
      <c r="N67" s="7">
        <f>IF(AND(L67 &lt;&gt; "-", M67 &lt;&gt; "-"),L67*( 1 + M67%),0)</f>
      </c>
      <c r="O67" s="7">
        <f>( N67 * E67 )</f>
      </c>
      <c r="P67" s="1" t="s">
        <v>217</v>
      </c>
      <c r="Q67" s="6">
        <v>1.01</v>
      </c>
      <c r="R67" s="6">
        <v>62.7</v>
      </c>
      <c r="S67" s="4">
        <v>58</v>
      </c>
      <c r="T67" s="1" t="s">
        <v>42</v>
      </c>
      <c r="U67" s="5">
        <f>HYPERLINK("https://www.gia.edu/report-check?reportno=7438859223","7438859223")</f>
      </c>
      <c r="V67" s="1" t="s">
        <v>43</v>
      </c>
      <c r="W67" s="1" t="s">
        <v>218</v>
      </c>
      <c r="X67" s="1" t="s">
        <v>64</v>
      </c>
      <c r="Y67" s="1" t="s">
        <v>40</v>
      </c>
      <c r="Z67" s="1" t="s">
        <v>45</v>
      </c>
      <c r="AA67" s="1" t="s">
        <v>40</v>
      </c>
      <c r="AB67" s="1" t="s">
        <v>40</v>
      </c>
      <c r="AC67" s="1" t="s">
        <v>48</v>
      </c>
      <c r="AD67" s="1" t="s">
        <v>43</v>
      </c>
      <c r="AE67" s="8">
        <f>IF(L67&lt;&gt;"",L67*E67,0)</f>
      </c>
    </row>
    <row r="68" spans="1:31" x14ac:dyDescent="0.25">
      <c r="A68" s="4">
        <v>63</v>
      </c>
      <c r="B68" s="1" t="s">
        <v>219</v>
      </c>
      <c r="C68" s="5">
        <f>HYPERLINK("https://client.unique.diamonds/dna/21099-23","DNA")</f>
      </c>
      <c r="D68" s="1" t="s">
        <v>36</v>
      </c>
      <c r="E68" s="6">
        <v>1.71</v>
      </c>
      <c r="F68" s="1" t="s">
        <v>208</v>
      </c>
      <c r="G68" s="1" t="s">
        <v>38</v>
      </c>
      <c r="H68" s="1" t="s">
        <v>39</v>
      </c>
      <c r="I68" s="1" t="s">
        <v>39</v>
      </c>
      <c r="J68" s="1" t="s">
        <v>39</v>
      </c>
      <c r="K68" s="1" t="s">
        <v>90</v>
      </c>
      <c r="L68" s="4">
        <v>8100</v>
      </c>
      <c r="M68" s="6">
        <v>-32</v>
      </c>
      <c r="N68" s="7">
        <f>IF(AND(L68 &lt;&gt; "-", M68 &lt;&gt; "-"),L68*( 1 + M68%),0)</f>
      </c>
      <c r="O68" s="7">
        <f>( N68 * E68 )</f>
      </c>
      <c r="P68" s="1" t="s">
        <v>220</v>
      </c>
      <c r="Q68" s="6">
        <v>1.01</v>
      </c>
      <c r="R68" s="6">
        <v>62.4</v>
      </c>
      <c r="S68" s="4">
        <v>57</v>
      </c>
      <c r="T68" s="1" t="s">
        <v>42</v>
      </c>
      <c r="U68" s="5">
        <f>HYPERLINK("https://www.gia.edu/report-check?reportno=2464374708","2464374708")</f>
      </c>
      <c r="V68" s="1" t="s">
        <v>43</v>
      </c>
      <c r="W68" s="1" t="s">
        <v>221</v>
      </c>
      <c r="X68" s="1" t="s">
        <v>59</v>
      </c>
      <c r="Y68" s="1" t="s">
        <v>40</v>
      </c>
      <c r="Z68" s="1" t="s">
        <v>46</v>
      </c>
      <c r="AA68" s="1" t="s">
        <v>40</v>
      </c>
      <c r="AB68" s="1" t="s">
        <v>40</v>
      </c>
      <c r="AC68" s="1" t="s">
        <v>48</v>
      </c>
      <c r="AD68" s="1" t="s">
        <v>43</v>
      </c>
      <c r="AE68" s="8">
        <f>IF(L68&lt;&gt;"",L68*E68,0)</f>
      </c>
    </row>
    <row r="69" spans="1:31" x14ac:dyDescent="0.25">
      <c r="A69" s="4">
        <v>64</v>
      </c>
      <c r="B69" s="1" t="s">
        <v>222</v>
      </c>
      <c r="C69" s="5">
        <f>HYPERLINK("https://client.unique.diamonds/dna/21057-16","DNA")</f>
      </c>
      <c r="D69" s="1" t="s">
        <v>36</v>
      </c>
      <c r="E69" s="6">
        <v>1.81</v>
      </c>
      <c r="F69" s="1" t="s">
        <v>208</v>
      </c>
      <c r="G69" s="1" t="s">
        <v>38</v>
      </c>
      <c r="H69" s="1" t="s">
        <v>39</v>
      </c>
      <c r="I69" s="1" t="s">
        <v>39</v>
      </c>
      <c r="J69" s="1" t="s">
        <v>39</v>
      </c>
      <c r="K69" s="1" t="s">
        <v>40</v>
      </c>
      <c r="L69" s="4">
        <v>8100</v>
      </c>
      <c r="M69" s="6">
        <v>-26</v>
      </c>
      <c r="N69" s="7">
        <f>IF(AND(L69 &lt;&gt; "-", M69 &lt;&gt; "-"),L69*( 1 + M69%),0)</f>
      </c>
      <c r="O69" s="7">
        <f>( N69 * E69 )</f>
      </c>
      <c r="P69" s="1" t="s">
        <v>223</v>
      </c>
      <c r="Q69" s="6">
        <v>1.01</v>
      </c>
      <c r="R69" s="6">
        <v>62.4</v>
      </c>
      <c r="S69" s="4">
        <v>59</v>
      </c>
      <c r="T69" s="1" t="s">
        <v>42</v>
      </c>
      <c r="U69" s="5">
        <f>HYPERLINK("https://www.gia.edu/report-check?reportno=7466069875","7466069875")</f>
      </c>
      <c r="V69" s="1" t="s">
        <v>43</v>
      </c>
      <c r="W69" s="1" t="s">
        <v>85</v>
      </c>
      <c r="X69" s="1" t="s">
        <v>45</v>
      </c>
      <c r="Y69" s="1" t="s">
        <v>40</v>
      </c>
      <c r="Z69" s="1" t="s">
        <v>46</v>
      </c>
      <c r="AA69" s="1" t="s">
        <v>52</v>
      </c>
      <c r="AB69" s="1" t="s">
        <v>40</v>
      </c>
      <c r="AC69" s="1" t="s">
        <v>48</v>
      </c>
      <c r="AD69" s="1" t="s">
        <v>43</v>
      </c>
      <c r="AE69" s="8">
        <f>IF(L69&lt;&gt;"",L69*E69,0)</f>
      </c>
    </row>
    <row r="70" spans="1:31" x14ac:dyDescent="0.25">
      <c r="A70" s="4">
        <v>65</v>
      </c>
      <c r="B70" s="1" t="s">
        <v>224</v>
      </c>
      <c r="C70" s="5">
        <f>HYPERLINK("https://client.unique.diamonds/dna/11225-56","DNA")</f>
      </c>
      <c r="D70" s="1" t="s">
        <v>36</v>
      </c>
      <c r="E70" s="6">
        <v>2.01</v>
      </c>
      <c r="F70" s="1" t="s">
        <v>208</v>
      </c>
      <c r="G70" s="1" t="s">
        <v>38</v>
      </c>
      <c r="H70" s="1" t="s">
        <v>39</v>
      </c>
      <c r="I70" s="1" t="s">
        <v>39</v>
      </c>
      <c r="J70" s="1" t="s">
        <v>39</v>
      </c>
      <c r="K70" s="1" t="s">
        <v>40</v>
      </c>
      <c r="L70" s="4">
        <v>10900</v>
      </c>
      <c r="M70" s="6">
        <v>-39.14</v>
      </c>
      <c r="N70" s="7">
        <f>IF(AND(L70 &lt;&gt; "-", M70 &lt;&gt; "-"),L70*( 1 + M70%),0)</f>
      </c>
      <c r="O70" s="7">
        <f>( N70 * E70 )</f>
      </c>
      <c r="P70" s="1" t="s">
        <v>225</v>
      </c>
      <c r="Q70" s="6">
        <v>1</v>
      </c>
      <c r="R70" s="6">
        <v>60.3</v>
      </c>
      <c r="S70" s="4">
        <v>59</v>
      </c>
      <c r="T70" s="1" t="s">
        <v>42</v>
      </c>
      <c r="U70" s="5">
        <f>HYPERLINK("https://www.gia.edu/report-check?reportno=7442488314","7442488314")</f>
      </c>
      <c r="V70" s="1" t="s">
        <v>43</v>
      </c>
      <c r="W70" s="1" t="s">
        <v>122</v>
      </c>
      <c r="X70" s="1" t="s">
        <v>46</v>
      </c>
      <c r="Y70" s="1" t="s">
        <v>40</v>
      </c>
      <c r="Z70" s="1" t="s">
        <v>46</v>
      </c>
      <c r="AA70" s="1" t="s">
        <v>52</v>
      </c>
      <c r="AB70" s="1" t="s">
        <v>47</v>
      </c>
      <c r="AC70" s="1" t="s">
        <v>226</v>
      </c>
      <c r="AD70" s="1" t="s">
        <v>43</v>
      </c>
      <c r="AE70" s="8">
        <f>IF(L70&lt;&gt;"",L70*E70,0)</f>
      </c>
    </row>
    <row r="71" spans="1:31" x14ac:dyDescent="0.25">
      <c r="A71" s="4">
        <v>66</v>
      </c>
      <c r="B71" s="1" t="s">
        <v>227</v>
      </c>
      <c r="C71" s="5">
        <f>HYPERLINK("https://client.unique.diamonds/dna/141411-16","DNA")</f>
      </c>
      <c r="D71" s="1" t="s">
        <v>36</v>
      </c>
      <c r="E71" s="6">
        <v>2.01</v>
      </c>
      <c r="F71" s="1" t="s">
        <v>208</v>
      </c>
      <c r="G71" s="1" t="s">
        <v>38</v>
      </c>
      <c r="H71" s="1" t="s">
        <v>39</v>
      </c>
      <c r="I71" s="1" t="s">
        <v>39</v>
      </c>
      <c r="J71" s="1" t="s">
        <v>39</v>
      </c>
      <c r="K71" s="1" t="s">
        <v>40</v>
      </c>
      <c r="L71" s="4">
        <v>10900</v>
      </c>
      <c r="M71" s="6">
        <v>-38.75</v>
      </c>
      <c r="N71" s="7">
        <f>IF(AND(L71 &lt;&gt; "-", M71 &lt;&gt; "-"),L71*( 1 + M71%),0)</f>
      </c>
      <c r="O71" s="7">
        <f>( N71 * E71 )</f>
      </c>
      <c r="P71" s="1" t="s">
        <v>228</v>
      </c>
      <c r="Q71" s="6">
        <v>1</v>
      </c>
      <c r="R71" s="6">
        <v>62</v>
      </c>
      <c r="S71" s="4">
        <v>62</v>
      </c>
      <c r="T71" s="1" t="s">
        <v>42</v>
      </c>
      <c r="U71" s="5">
        <f>HYPERLINK("https://www.gia.edu/report-check?reportno=2414018792","2414018792")</f>
      </c>
      <c r="V71" s="1" t="s">
        <v>43</v>
      </c>
      <c r="W71" s="1" t="s">
        <v>229</v>
      </c>
      <c r="X71" s="1" t="s">
        <v>45</v>
      </c>
      <c r="Y71" s="1" t="s">
        <v>40</v>
      </c>
      <c r="Z71" s="1" t="s">
        <v>46</v>
      </c>
      <c r="AA71" s="1" t="s">
        <v>40</v>
      </c>
      <c r="AB71" s="1" t="s">
        <v>40</v>
      </c>
      <c r="AC71" s="1" t="s">
        <v>48</v>
      </c>
      <c r="AD71" s="1" t="s">
        <v>43</v>
      </c>
      <c r="AE71" s="8">
        <f>IF(L71&lt;&gt;"",L71*E71,0)</f>
      </c>
    </row>
    <row r="72" spans="1:31" x14ac:dyDescent="0.25">
      <c r="A72" s="4">
        <v>67</v>
      </c>
      <c r="B72" s="1" t="s">
        <v>230</v>
      </c>
      <c r="C72" s="5">
        <f>HYPERLINK("https://client.unique.diamonds/dna/21098-15","DNA")</f>
      </c>
      <c r="D72" s="1" t="s">
        <v>36</v>
      </c>
      <c r="E72" s="6">
        <v>2.03</v>
      </c>
      <c r="F72" s="1" t="s">
        <v>208</v>
      </c>
      <c r="G72" s="1" t="s">
        <v>38</v>
      </c>
      <c r="H72" s="1" t="s">
        <v>39</v>
      </c>
      <c r="I72" s="1" t="s">
        <v>39</v>
      </c>
      <c r="J72" s="1" t="s">
        <v>39</v>
      </c>
      <c r="K72" s="1" t="s">
        <v>90</v>
      </c>
      <c r="L72" s="4">
        <v>10900</v>
      </c>
      <c r="M72" s="6">
        <v>-41.5</v>
      </c>
      <c r="N72" s="7">
        <f>IF(AND(L72 &lt;&gt; "-", M72 &lt;&gt; "-"),L72*( 1 + M72%),0)</f>
      </c>
      <c r="O72" s="7">
        <f>( N72 * E72 )</f>
      </c>
      <c r="P72" s="1" t="s">
        <v>231</v>
      </c>
      <c r="Q72" s="6">
        <v>1</v>
      </c>
      <c r="R72" s="6">
        <v>61.1</v>
      </c>
      <c r="S72" s="4">
        <v>59</v>
      </c>
      <c r="T72" s="1" t="s">
        <v>42</v>
      </c>
      <c r="U72" s="5">
        <f>HYPERLINK("https://www.gia.edu/report-check?reportno=5466410107","5466410107")</f>
      </c>
      <c r="V72" s="1" t="s">
        <v>43</v>
      </c>
      <c r="W72" s="1" t="s">
        <v>232</v>
      </c>
      <c r="X72" s="1" t="s">
        <v>59</v>
      </c>
      <c r="Y72" s="1" t="s">
        <v>40</v>
      </c>
      <c r="Z72" s="1" t="s">
        <v>46</v>
      </c>
      <c r="AA72" s="1" t="s">
        <v>40</v>
      </c>
      <c r="AB72" s="1" t="s">
        <v>40</v>
      </c>
      <c r="AC72" s="1" t="s">
        <v>48</v>
      </c>
      <c r="AD72" s="1" t="s">
        <v>43</v>
      </c>
      <c r="AE72" s="8">
        <f>IF(L72&lt;&gt;"",L72*E72,0)</f>
      </c>
    </row>
    <row r="73" spans="1:31" x14ac:dyDescent="0.25">
      <c r="A73" s="4">
        <v>68</v>
      </c>
      <c r="B73" s="1" t="s">
        <v>233</v>
      </c>
      <c r="C73" s="5">
        <f>HYPERLINK("https://client.unique.diamonds/dna/11193-12","DNA")</f>
      </c>
      <c r="D73" s="1" t="s">
        <v>36</v>
      </c>
      <c r="E73" s="6">
        <v>2.3</v>
      </c>
      <c r="F73" s="1" t="s">
        <v>208</v>
      </c>
      <c r="G73" s="1" t="s">
        <v>38</v>
      </c>
      <c r="H73" s="1" t="s">
        <v>39</v>
      </c>
      <c r="I73" s="1" t="s">
        <v>39</v>
      </c>
      <c r="J73" s="1" t="s">
        <v>39</v>
      </c>
      <c r="K73" s="1" t="s">
        <v>40</v>
      </c>
      <c r="L73" s="4">
        <v>10900</v>
      </c>
      <c r="M73" s="6">
        <v>-38.5</v>
      </c>
      <c r="N73" s="7">
        <f>IF(AND(L73 &lt;&gt; "-", M73 &lt;&gt; "-"),L73*( 1 + M73%),0)</f>
      </c>
      <c r="O73" s="7">
        <f>( N73 * E73 )</f>
      </c>
      <c r="P73" s="1" t="s">
        <v>234</v>
      </c>
      <c r="Q73" s="6">
        <v>1.01</v>
      </c>
      <c r="R73" s="6">
        <v>62.7</v>
      </c>
      <c r="S73" s="4">
        <v>58</v>
      </c>
      <c r="T73" s="1" t="s">
        <v>42</v>
      </c>
      <c r="U73" s="5">
        <f>HYPERLINK("https://www.gia.edu/report-check?reportno=2444036306","2444036306")</f>
      </c>
      <c r="V73" s="1" t="s">
        <v>43</v>
      </c>
      <c r="W73" s="1" t="s">
        <v>193</v>
      </c>
      <c r="X73" s="1" t="s">
        <v>45</v>
      </c>
      <c r="Y73" s="1" t="s">
        <v>40</v>
      </c>
      <c r="Z73" s="1" t="s">
        <v>46</v>
      </c>
      <c r="AA73" s="1" t="s">
        <v>47</v>
      </c>
      <c r="AB73" s="1" t="s">
        <v>40</v>
      </c>
      <c r="AC73" s="1" t="s">
        <v>48</v>
      </c>
      <c r="AD73" s="1" t="s">
        <v>43</v>
      </c>
      <c r="AE73" s="8">
        <f>IF(L73&lt;&gt;"",L73*E73,0)</f>
      </c>
    </row>
    <row r="74" spans="1:31" x14ac:dyDescent="0.25">
      <c r="A74" s="4">
        <v>69</v>
      </c>
      <c r="B74" s="1" t="s">
        <v>235</v>
      </c>
      <c r="C74" s="5">
        <f>HYPERLINK("https://client.unique.diamonds/dna/161-65","DNA")</f>
      </c>
      <c r="D74" s="1" t="s">
        <v>36</v>
      </c>
      <c r="E74" s="6">
        <v>2.48</v>
      </c>
      <c r="F74" s="1" t="s">
        <v>208</v>
      </c>
      <c r="G74" s="1" t="s">
        <v>38</v>
      </c>
      <c r="H74" s="1" t="s">
        <v>39</v>
      </c>
      <c r="I74" s="1" t="s">
        <v>39</v>
      </c>
      <c r="J74" s="1" t="s">
        <v>39</v>
      </c>
      <c r="K74" s="1" t="s">
        <v>40</v>
      </c>
      <c r="L74" s="4">
        <v>10900</v>
      </c>
      <c r="M74" s="6">
        <v>-35.57</v>
      </c>
      <c r="N74" s="7">
        <f>IF(AND(L74 &lt;&gt; "-", M74 &lt;&gt; "-"),L74*( 1 + M74%),0)</f>
      </c>
      <c r="O74" s="7">
        <f>( N74 * E74 )</f>
      </c>
      <c r="P74" s="1" t="s">
        <v>206</v>
      </c>
      <c r="Q74" s="6">
        <v>1.01</v>
      </c>
      <c r="R74" s="6">
        <v>62.6</v>
      </c>
      <c r="S74" s="4">
        <v>57</v>
      </c>
      <c r="T74" s="1" t="s">
        <v>42</v>
      </c>
      <c r="U74" s="5">
        <f>HYPERLINK("https://www.gia.edu/report-check?reportno=6432165750","6432165750")</f>
      </c>
      <c r="V74" s="1" t="s">
        <v>43</v>
      </c>
      <c r="W74" s="1" t="s">
        <v>96</v>
      </c>
      <c r="X74" s="1" t="s">
        <v>46</v>
      </c>
      <c r="Y74" s="1" t="s">
        <v>40</v>
      </c>
      <c r="Z74" s="1" t="s">
        <v>40</v>
      </c>
      <c r="AA74" s="1" t="s">
        <v>47</v>
      </c>
      <c r="AB74" s="1" t="s">
        <v>40</v>
      </c>
      <c r="AC74" s="1" t="s">
        <v>48</v>
      </c>
      <c r="AD74" s="1" t="s">
        <v>43</v>
      </c>
      <c r="AE74" s="8">
        <f>IF(L74&lt;&gt;"",L74*E74,0)</f>
      </c>
    </row>
    <row r="75" spans="1:31" x14ac:dyDescent="0.25">
      <c r="A75" s="4">
        <v>70</v>
      </c>
      <c r="B75" s="1" t="s">
        <v>236</v>
      </c>
      <c r="C75" s="5">
        <f>HYPERLINK("https://client.unique.diamonds/dna/162-83","DNA")</f>
      </c>
      <c r="D75" s="1" t="s">
        <v>36</v>
      </c>
      <c r="E75" s="6">
        <v>2.66</v>
      </c>
      <c r="F75" s="1" t="s">
        <v>208</v>
      </c>
      <c r="G75" s="1" t="s">
        <v>38</v>
      </c>
      <c r="H75" s="1" t="s">
        <v>39</v>
      </c>
      <c r="I75" s="1" t="s">
        <v>39</v>
      </c>
      <c r="J75" s="1" t="s">
        <v>39</v>
      </c>
      <c r="K75" s="1" t="s">
        <v>40</v>
      </c>
      <c r="L75" s="4">
        <v>10900</v>
      </c>
      <c r="M75" s="6">
        <v>-29.5</v>
      </c>
      <c r="N75" s="7">
        <f>IF(AND(L75 &lt;&gt; "-", M75 &lt;&gt; "-"),L75*( 1 + M75%),0)</f>
      </c>
      <c r="O75" s="7">
        <f>( N75 * E75 )</f>
      </c>
      <c r="P75" s="1" t="s">
        <v>237</v>
      </c>
      <c r="Q75" s="6">
        <v>1.01</v>
      </c>
      <c r="R75" s="6">
        <v>62</v>
      </c>
      <c r="S75" s="4">
        <v>58</v>
      </c>
      <c r="T75" s="1" t="s">
        <v>42</v>
      </c>
      <c r="U75" s="5">
        <f>HYPERLINK("https://www.gia.edu/report-check?reportno=3445058883","3445058883")</f>
      </c>
      <c r="V75" s="1" t="s">
        <v>43</v>
      </c>
      <c r="W75" s="1" t="s">
        <v>79</v>
      </c>
      <c r="X75" s="1" t="s">
        <v>45</v>
      </c>
      <c r="Y75" s="1" t="s">
        <v>40</v>
      </c>
      <c r="Z75" s="1" t="s">
        <v>46</v>
      </c>
      <c r="AA75" s="1" t="s">
        <v>47</v>
      </c>
      <c r="AB75" s="1" t="s">
        <v>40</v>
      </c>
      <c r="AC75" s="1" t="s">
        <v>48</v>
      </c>
      <c r="AD75" s="1" t="s">
        <v>43</v>
      </c>
      <c r="AE75" s="8">
        <f>IF(L75&lt;&gt;"",L75*E75,0)</f>
      </c>
    </row>
    <row r="76" spans="1:31" x14ac:dyDescent="0.25">
      <c r="A76" s="4">
        <v>71</v>
      </c>
      <c r="B76" s="1" t="s">
        <v>238</v>
      </c>
      <c r="C76" s="5">
        <f>HYPERLINK("https://client.unique.diamonds/dna/21001-20","DNA")</f>
      </c>
      <c r="D76" s="1" t="s">
        <v>36</v>
      </c>
      <c r="E76" s="6">
        <v>2.85</v>
      </c>
      <c r="F76" s="1" t="s">
        <v>208</v>
      </c>
      <c r="G76" s="1" t="s">
        <v>38</v>
      </c>
      <c r="H76" s="1" t="s">
        <v>39</v>
      </c>
      <c r="I76" s="1" t="s">
        <v>39</v>
      </c>
      <c r="J76" s="1" t="s">
        <v>39</v>
      </c>
      <c r="K76" s="1" t="s">
        <v>40</v>
      </c>
      <c r="L76" s="4">
        <v>10900</v>
      </c>
      <c r="M76" s="6">
        <v>-17.82</v>
      </c>
      <c r="N76" s="7">
        <f>IF(AND(L76 &lt;&gt; "-", M76 &lt;&gt; "-"),L76*( 1 + M76%),0)</f>
      </c>
      <c r="O76" s="7">
        <f>( N76 * E76 )</f>
      </c>
      <c r="P76" s="1" t="s">
        <v>239</v>
      </c>
      <c r="Q76" s="6">
        <v>1.01</v>
      </c>
      <c r="R76" s="6">
        <v>62.5</v>
      </c>
      <c r="S76" s="4">
        <v>57</v>
      </c>
      <c r="T76" s="1" t="s">
        <v>42</v>
      </c>
      <c r="U76" s="5">
        <f>HYPERLINK("https://www.gia.edu/report-check?reportno=6452354766","6452354766")</f>
      </c>
      <c r="V76" s="1" t="s">
        <v>43</v>
      </c>
      <c r="W76" s="1" t="s">
        <v>240</v>
      </c>
      <c r="X76" s="1" t="s">
        <v>59</v>
      </c>
      <c r="Y76" s="1" t="s">
        <v>40</v>
      </c>
      <c r="Z76" s="1" t="s">
        <v>46</v>
      </c>
      <c r="AA76" s="1" t="s">
        <v>52</v>
      </c>
      <c r="AB76" s="1" t="s">
        <v>40</v>
      </c>
      <c r="AC76" s="1" t="s">
        <v>48</v>
      </c>
      <c r="AD76" s="1" t="s">
        <v>43</v>
      </c>
      <c r="AE76" s="8">
        <f>IF(L76&lt;&gt;"",L76*E76,0)</f>
      </c>
    </row>
    <row r="77" spans="1:31" x14ac:dyDescent="0.25">
      <c r="A77" s="4">
        <v>72</v>
      </c>
      <c r="B77" s="1" t="s">
        <v>241</v>
      </c>
      <c r="C77" s="5">
        <f>HYPERLINK("https://client.unique.diamonds/dna/21134-22","DNA")</f>
      </c>
      <c r="D77" s="1" t="s">
        <v>36</v>
      </c>
      <c r="E77" s="6">
        <v>1.51</v>
      </c>
      <c r="F77" s="1" t="s">
        <v>37</v>
      </c>
      <c r="G77" s="1" t="s">
        <v>242</v>
      </c>
      <c r="H77" s="1" t="s">
        <v>39</v>
      </c>
      <c r="I77" s="1" t="s">
        <v>39</v>
      </c>
      <c r="J77" s="1" t="s">
        <v>39</v>
      </c>
      <c r="K77" s="1" t="s">
        <v>40</v>
      </c>
      <c r="L77" s="4">
        <v>15300</v>
      </c>
      <c r="M77" s="6">
        <v>-41</v>
      </c>
      <c r="N77" s="7">
        <f>IF(AND(L77 &lt;&gt; "-", M77 &lt;&gt; "-"),L77*( 1 + M77%),0)</f>
      </c>
      <c r="O77" s="7">
        <f>( N77 * E77 )</f>
      </c>
      <c r="P77" s="1" t="s">
        <v>243</v>
      </c>
      <c r="Q77" s="6">
        <v>1.01</v>
      </c>
      <c r="R77" s="6">
        <v>62.3</v>
      </c>
      <c r="S77" s="4">
        <v>60</v>
      </c>
      <c r="T77" s="1" t="s">
        <v>42</v>
      </c>
      <c r="U77" s="5">
        <f>HYPERLINK("https://www.gia.edu/report-check?reportno=2467717468","2467717468")</f>
      </c>
      <c r="V77" s="1" t="s">
        <v>43</v>
      </c>
      <c r="W77" s="1" t="s">
        <v>88</v>
      </c>
      <c r="X77" s="1" t="s">
        <v>59</v>
      </c>
      <c r="Y77" s="1" t="s">
        <v>40</v>
      </c>
      <c r="Z77" s="1" t="s">
        <v>46</v>
      </c>
      <c r="AA77" s="1" t="s">
        <v>47</v>
      </c>
      <c r="AB77" s="1" t="s">
        <v>47</v>
      </c>
      <c r="AC77" s="1" t="s">
        <v>48</v>
      </c>
      <c r="AD77" s="1" t="s">
        <v>43</v>
      </c>
      <c r="AE77" s="8">
        <f>IF(L77&lt;&gt;"",L77*E77,0)</f>
      </c>
    </row>
    <row r="78" spans="1:31" x14ac:dyDescent="0.25">
      <c r="A78" s="4">
        <v>73</v>
      </c>
      <c r="B78" s="1" t="s">
        <v>244</v>
      </c>
      <c r="C78" s="5">
        <f>HYPERLINK("https://client.unique.diamonds/dna/UH-7","DNA")</f>
      </c>
      <c r="D78" s="1" t="s">
        <v>36</v>
      </c>
      <c r="E78" s="6">
        <v>2</v>
      </c>
      <c r="F78" s="1" t="s">
        <v>37</v>
      </c>
      <c r="G78" s="1" t="s">
        <v>242</v>
      </c>
      <c r="H78" s="1" t="s">
        <v>39</v>
      </c>
      <c r="I78" s="1" t="s">
        <v>39</v>
      </c>
      <c r="J78" s="1" t="s">
        <v>39</v>
      </c>
      <c r="K78" s="1" t="s">
        <v>40</v>
      </c>
      <c r="L78" s="4">
        <v>21000</v>
      </c>
      <c r="M78" s="6">
        <v>-40.03</v>
      </c>
      <c r="N78" s="7">
        <f>IF(AND(L78 &lt;&gt; "-", M78 &lt;&gt; "-"),L78*( 1 + M78%),0)</f>
      </c>
      <c r="O78" s="7">
        <f>( N78 * E78 )</f>
      </c>
      <c r="P78" s="1" t="s">
        <v>245</v>
      </c>
      <c r="Q78" s="6">
        <v>1.01</v>
      </c>
      <c r="R78" s="6">
        <v>62.4</v>
      </c>
      <c r="S78" s="4">
        <v>56</v>
      </c>
      <c r="T78" s="1" t="s">
        <v>42</v>
      </c>
      <c r="U78" s="5">
        <f>HYPERLINK("https://www.gia.edu/report-check?reportno=6422786197","6422786197")</f>
      </c>
      <c r="V78" s="1" t="s">
        <v>43</v>
      </c>
      <c r="W78" s="1" t="s">
        <v>246</v>
      </c>
      <c r="X78" s="1" t="s">
        <v>59</v>
      </c>
      <c r="Y78" s="1" t="s">
        <v>40</v>
      </c>
      <c r="Z78" s="1" t="s">
        <v>46</v>
      </c>
      <c r="AA78" s="1" t="s">
        <v>47</v>
      </c>
      <c r="AB78" s="1" t="s">
        <v>40</v>
      </c>
      <c r="AC78" s="1" t="s">
        <v>48</v>
      </c>
      <c r="AD78" s="1" t="s">
        <v>43</v>
      </c>
      <c r="AE78" s="8">
        <f>IF(L78&lt;&gt;"",L78*E78,0)</f>
      </c>
    </row>
    <row r="79" spans="1:31" x14ac:dyDescent="0.25">
      <c r="A79" s="4">
        <v>74</v>
      </c>
      <c r="B79" s="1" t="s">
        <v>247</v>
      </c>
      <c r="C79" s="5">
        <f>HYPERLINK("https://client.unique.diamonds/dna/21027-5","DNA")</f>
      </c>
      <c r="D79" s="1" t="s">
        <v>36</v>
      </c>
      <c r="E79" s="6">
        <v>2</v>
      </c>
      <c r="F79" s="1" t="s">
        <v>37</v>
      </c>
      <c r="G79" s="1" t="s">
        <v>242</v>
      </c>
      <c r="H79" s="1" t="s">
        <v>39</v>
      </c>
      <c r="I79" s="1" t="s">
        <v>39</v>
      </c>
      <c r="J79" s="1" t="s">
        <v>39</v>
      </c>
      <c r="K79" s="1" t="s">
        <v>40</v>
      </c>
      <c r="L79" s="4">
        <v>21000</v>
      </c>
      <c r="M79" s="6">
        <v>-38.75</v>
      </c>
      <c r="N79" s="7">
        <f>IF(AND(L79 &lt;&gt; "-", M79 &lt;&gt; "-"),L79*( 1 + M79%),0)</f>
      </c>
      <c r="O79" s="7">
        <f>( N79 * E79 )</f>
      </c>
      <c r="P79" s="1" t="s">
        <v>248</v>
      </c>
      <c r="Q79" s="6">
        <v>1.01</v>
      </c>
      <c r="R79" s="6">
        <v>62.7</v>
      </c>
      <c r="S79" s="4">
        <v>58</v>
      </c>
      <c r="T79" s="1" t="s">
        <v>42</v>
      </c>
      <c r="U79" s="5">
        <f>HYPERLINK("https://www.gia.edu/report-check?reportno=6452620989","6452620989")</f>
      </c>
      <c r="V79" s="1" t="s">
        <v>43</v>
      </c>
      <c r="W79" s="1" t="s">
        <v>249</v>
      </c>
      <c r="X79" s="1" t="s">
        <v>46</v>
      </c>
      <c r="Y79" s="1" t="s">
        <v>40</v>
      </c>
      <c r="Z79" s="1" t="s">
        <v>46</v>
      </c>
      <c r="AA79" s="1" t="s">
        <v>47</v>
      </c>
      <c r="AB79" s="1" t="s">
        <v>47</v>
      </c>
      <c r="AC79" s="1" t="s">
        <v>226</v>
      </c>
      <c r="AD79" s="1" t="s">
        <v>43</v>
      </c>
      <c r="AE79" s="8">
        <f>IF(L79&lt;&gt;"",L79*E79,0)</f>
      </c>
    </row>
    <row r="80" spans="1:31" x14ac:dyDescent="0.25">
      <c r="A80" s="4">
        <v>75</v>
      </c>
      <c r="B80" s="1" t="s">
        <v>250</v>
      </c>
      <c r="C80" s="5">
        <f>HYPERLINK("https://client.unique.diamonds/dna/21109-4","DNA")</f>
      </c>
      <c r="D80" s="1" t="s">
        <v>36</v>
      </c>
      <c r="E80" s="6">
        <v>2.02</v>
      </c>
      <c r="F80" s="1" t="s">
        <v>37</v>
      </c>
      <c r="G80" s="1" t="s">
        <v>242</v>
      </c>
      <c r="H80" s="1" t="s">
        <v>39</v>
      </c>
      <c r="I80" s="1" t="s">
        <v>39</v>
      </c>
      <c r="J80" s="1" t="s">
        <v>39</v>
      </c>
      <c r="K80" s="1" t="s">
        <v>40</v>
      </c>
      <c r="L80" s="4">
        <v>21000</v>
      </c>
      <c r="M80" s="6">
        <v>-40.5</v>
      </c>
      <c r="N80" s="7">
        <f>IF(AND(L80 &lt;&gt; "-", M80 &lt;&gt; "-"),L80*( 1 + M80%),0)</f>
      </c>
      <c r="O80" s="7">
        <f>( N80 * E80 )</f>
      </c>
      <c r="P80" s="1" t="s">
        <v>251</v>
      </c>
      <c r="Q80" s="6">
        <v>1</v>
      </c>
      <c r="R80" s="6">
        <v>61</v>
      </c>
      <c r="S80" s="4">
        <v>59</v>
      </c>
      <c r="T80" s="1" t="s">
        <v>42</v>
      </c>
      <c r="U80" s="5">
        <f>HYPERLINK("https://www.gia.edu/report-check?reportno=7462411318","7462411318")</f>
      </c>
      <c r="V80" s="1" t="s">
        <v>43</v>
      </c>
      <c r="W80" s="1" t="s">
        <v>67</v>
      </c>
      <c r="X80" s="1" t="s">
        <v>46</v>
      </c>
      <c r="Y80" s="1" t="s">
        <v>40</v>
      </c>
      <c r="Z80" s="1" t="s">
        <v>46</v>
      </c>
      <c r="AA80" s="1" t="s">
        <v>47</v>
      </c>
      <c r="AB80" s="1" t="s">
        <v>73</v>
      </c>
      <c r="AC80" s="1" t="s">
        <v>48</v>
      </c>
      <c r="AD80" s="1" t="s">
        <v>43</v>
      </c>
      <c r="AE80" s="8">
        <f>IF(L80&lt;&gt;"",L80*E80,0)</f>
      </c>
    </row>
    <row r="81" spans="1:31" x14ac:dyDescent="0.25">
      <c r="A81" s="4">
        <v>76</v>
      </c>
      <c r="B81" s="1" t="s">
        <v>252</v>
      </c>
      <c r="C81" s="5">
        <f>HYPERLINK("https://client.unique.diamonds/dna/21109-12","DNA")</f>
      </c>
      <c r="D81" s="1" t="s">
        <v>36</v>
      </c>
      <c r="E81" s="6">
        <v>2.08</v>
      </c>
      <c r="F81" s="1" t="s">
        <v>37</v>
      </c>
      <c r="G81" s="1" t="s">
        <v>242</v>
      </c>
      <c r="H81" s="1" t="s">
        <v>39</v>
      </c>
      <c r="I81" s="1" t="s">
        <v>39</v>
      </c>
      <c r="J81" s="1" t="s">
        <v>39</v>
      </c>
      <c r="K81" s="1" t="s">
        <v>40</v>
      </c>
      <c r="L81" s="4">
        <v>21000</v>
      </c>
      <c r="M81" s="6">
        <v>-40.5</v>
      </c>
      <c r="N81" s="7">
        <f>IF(AND(L81 &lt;&gt; "-", M81 &lt;&gt; "-"),L81*( 1 + M81%),0)</f>
      </c>
      <c r="O81" s="7">
        <f>( N81 * E81 )</f>
      </c>
      <c r="P81" s="1" t="s">
        <v>253</v>
      </c>
      <c r="Q81" s="6">
        <v>1</v>
      </c>
      <c r="R81" s="6">
        <v>62.1</v>
      </c>
      <c r="S81" s="4">
        <v>57</v>
      </c>
      <c r="T81" s="1" t="s">
        <v>42</v>
      </c>
      <c r="U81" s="5">
        <f>HYPERLINK("https://www.gia.edu/report-check?reportno=5466476022","5466476022")</f>
      </c>
      <c r="V81" s="1" t="s">
        <v>43</v>
      </c>
      <c r="W81" s="1" t="s">
        <v>254</v>
      </c>
      <c r="X81" s="1" t="s">
        <v>46</v>
      </c>
      <c r="Y81" s="1" t="s">
        <v>40</v>
      </c>
      <c r="Z81" s="1" t="s">
        <v>46</v>
      </c>
      <c r="AA81" s="1" t="s">
        <v>47</v>
      </c>
      <c r="AB81" s="1" t="s">
        <v>40</v>
      </c>
      <c r="AC81" s="1" t="s">
        <v>48</v>
      </c>
      <c r="AD81" s="1" t="s">
        <v>43</v>
      </c>
      <c r="AE81" s="8">
        <f>IF(L81&lt;&gt;"",L81*E81,0)</f>
      </c>
    </row>
    <row r="82" spans="1:31" x14ac:dyDescent="0.25">
      <c r="A82" s="4">
        <v>77</v>
      </c>
      <c r="B82" s="1" t="s">
        <v>255</v>
      </c>
      <c r="C82" s="5">
        <f>HYPERLINK("https://client.unique.diamonds/dna/21032-14","DNA")</f>
      </c>
      <c r="D82" s="1" t="s">
        <v>36</v>
      </c>
      <c r="E82" s="6">
        <v>1.5</v>
      </c>
      <c r="F82" s="1" t="s">
        <v>61</v>
      </c>
      <c r="G82" s="1" t="s">
        <v>242</v>
      </c>
      <c r="H82" s="1" t="s">
        <v>39</v>
      </c>
      <c r="I82" s="1" t="s">
        <v>39</v>
      </c>
      <c r="J82" s="1" t="s">
        <v>39</v>
      </c>
      <c r="K82" s="1" t="s">
        <v>90</v>
      </c>
      <c r="L82" s="4">
        <v>14200</v>
      </c>
      <c r="M82" s="6">
        <v>-46</v>
      </c>
      <c r="N82" s="7">
        <f>IF(AND(L82 &lt;&gt; "-", M82 &lt;&gt; "-"),L82*( 1 + M82%),0)</f>
      </c>
      <c r="O82" s="7">
        <f>( N82 * E82 )</f>
      </c>
      <c r="P82" s="1" t="s">
        <v>256</v>
      </c>
      <c r="Q82" s="6">
        <v>1.01</v>
      </c>
      <c r="R82" s="6">
        <v>62.6</v>
      </c>
      <c r="S82" s="4">
        <v>58</v>
      </c>
      <c r="T82" s="1" t="s">
        <v>42</v>
      </c>
      <c r="U82" s="5">
        <f>HYPERLINK("https://www.gia.edu/report-check?reportno=3455806271","3455806271")</f>
      </c>
      <c r="V82" s="1" t="s">
        <v>43</v>
      </c>
      <c r="W82" s="1" t="s">
        <v>67</v>
      </c>
      <c r="X82" s="1" t="s">
        <v>59</v>
      </c>
      <c r="Y82" s="1" t="s">
        <v>40</v>
      </c>
      <c r="Z82" s="1" t="s">
        <v>46</v>
      </c>
      <c r="AA82" s="1" t="s">
        <v>52</v>
      </c>
      <c r="AB82" s="1" t="s">
        <v>47</v>
      </c>
      <c r="AC82" s="1" t="s">
        <v>48</v>
      </c>
      <c r="AD82" s="1" t="s">
        <v>43</v>
      </c>
      <c r="AE82" s="8">
        <f>IF(L82&lt;&gt;"",L82*E82,0)</f>
      </c>
    </row>
    <row r="83" spans="1:31" x14ac:dyDescent="0.25">
      <c r="A83" s="4">
        <v>78</v>
      </c>
      <c r="B83" s="1" t="s">
        <v>257</v>
      </c>
      <c r="C83" s="5">
        <f>HYPERLINK("https://client.unique.diamonds/dna/141283-17","DNA")</f>
      </c>
      <c r="D83" s="1" t="s">
        <v>36</v>
      </c>
      <c r="E83" s="6">
        <v>1.5</v>
      </c>
      <c r="F83" s="1" t="s">
        <v>61</v>
      </c>
      <c r="G83" s="1" t="s">
        <v>242</v>
      </c>
      <c r="H83" s="1" t="s">
        <v>39</v>
      </c>
      <c r="I83" s="1" t="s">
        <v>39</v>
      </c>
      <c r="J83" s="1" t="s">
        <v>39</v>
      </c>
      <c r="K83" s="1" t="s">
        <v>40</v>
      </c>
      <c r="L83" s="4">
        <v>14200</v>
      </c>
      <c r="M83" s="6">
        <v>-43</v>
      </c>
      <c r="N83" s="7">
        <f>IF(AND(L83 &lt;&gt; "-", M83 &lt;&gt; "-"),L83*( 1 + M83%),0)</f>
      </c>
      <c r="O83" s="7">
        <f>( N83 * E83 )</f>
      </c>
      <c r="P83" s="1" t="s">
        <v>258</v>
      </c>
      <c r="Q83" s="6">
        <v>1.01</v>
      </c>
      <c r="R83" s="6">
        <v>59.5</v>
      </c>
      <c r="S83" s="4">
        <v>60</v>
      </c>
      <c r="T83" s="1" t="s">
        <v>42</v>
      </c>
      <c r="U83" s="5">
        <f>HYPERLINK("https://www.gia.edu/report-check?reportno=7408821453","7408821453")</f>
      </c>
      <c r="V83" s="1" t="s">
        <v>43</v>
      </c>
      <c r="W83" s="1" t="s">
        <v>218</v>
      </c>
      <c r="X83" s="1" t="s">
        <v>46</v>
      </c>
      <c r="Y83" s="1" t="s">
        <v>40</v>
      </c>
      <c r="Z83" s="1" t="s">
        <v>59</v>
      </c>
      <c r="AA83" s="1" t="s">
        <v>47</v>
      </c>
      <c r="AB83" s="1" t="s">
        <v>47</v>
      </c>
      <c r="AC83" s="1" t="s">
        <v>226</v>
      </c>
      <c r="AD83" s="1" t="s">
        <v>43</v>
      </c>
      <c r="AE83" s="8">
        <f>IF(L83&lt;&gt;"",L83*E83,0)</f>
      </c>
    </row>
    <row r="84" spans="1:31" x14ac:dyDescent="0.25">
      <c r="A84" s="4">
        <v>79</v>
      </c>
      <c r="B84" s="1" t="s">
        <v>259</v>
      </c>
      <c r="C84" s="5">
        <f>HYPERLINK("https://client.unique.diamonds/dna/21132-33","DNA")</f>
      </c>
      <c r="D84" s="1" t="s">
        <v>36</v>
      </c>
      <c r="E84" s="6">
        <v>1.5</v>
      </c>
      <c r="F84" s="1" t="s">
        <v>61</v>
      </c>
      <c r="G84" s="1" t="s">
        <v>242</v>
      </c>
      <c r="H84" s="1" t="s">
        <v>39</v>
      </c>
      <c r="I84" s="1" t="s">
        <v>39</v>
      </c>
      <c r="J84" s="1" t="s">
        <v>39</v>
      </c>
      <c r="K84" s="1" t="s">
        <v>40</v>
      </c>
      <c r="L84" s="4">
        <v>14200</v>
      </c>
      <c r="M84" s="6">
        <v>-36</v>
      </c>
      <c r="N84" s="7">
        <f>IF(AND(L84 &lt;&gt; "-", M84 &lt;&gt; "-"),L84*( 1 + M84%),0)</f>
      </c>
      <c r="O84" s="7">
        <f>( N84 * E84 )</f>
      </c>
      <c r="P84" s="1" t="s">
        <v>260</v>
      </c>
      <c r="Q84" s="6">
        <v>1.01</v>
      </c>
      <c r="R84" s="6">
        <v>62.5</v>
      </c>
      <c r="S84" s="4">
        <v>57</v>
      </c>
      <c r="T84" s="1" t="s">
        <v>42</v>
      </c>
      <c r="U84" s="5">
        <f>HYPERLINK("https://www.gia.edu/report-check?reportno=2466705176","2466705176")</f>
      </c>
      <c r="V84" s="1" t="s">
        <v>43</v>
      </c>
      <c r="W84" s="1" t="s">
        <v>204</v>
      </c>
      <c r="X84" s="1" t="s">
        <v>59</v>
      </c>
      <c r="Y84" s="1" t="s">
        <v>40</v>
      </c>
      <c r="Z84" s="1" t="s">
        <v>46</v>
      </c>
      <c r="AA84" s="1" t="s">
        <v>52</v>
      </c>
      <c r="AB84" s="1" t="s">
        <v>40</v>
      </c>
      <c r="AC84" s="1" t="s">
        <v>48</v>
      </c>
      <c r="AD84" s="1" t="s">
        <v>43</v>
      </c>
      <c r="AE84" s="8">
        <f>IF(L84&lt;&gt;"",L84*E84,0)</f>
      </c>
    </row>
    <row r="85" spans="1:31" x14ac:dyDescent="0.25">
      <c r="A85" s="4">
        <v>80</v>
      </c>
      <c r="B85" s="1" t="s">
        <v>261</v>
      </c>
      <c r="C85" s="5">
        <f>HYPERLINK("https://client.unique.diamonds/dna/21122-1","DNA")</f>
      </c>
      <c r="D85" s="1" t="s">
        <v>36</v>
      </c>
      <c r="E85" s="6">
        <v>1.52</v>
      </c>
      <c r="F85" s="1" t="s">
        <v>61</v>
      </c>
      <c r="G85" s="1" t="s">
        <v>242</v>
      </c>
      <c r="H85" s="1" t="s">
        <v>39</v>
      </c>
      <c r="I85" s="1" t="s">
        <v>39</v>
      </c>
      <c r="J85" s="1" t="s">
        <v>39</v>
      </c>
      <c r="K85" s="1" t="s">
        <v>40</v>
      </c>
      <c r="L85" s="4">
        <v>14200</v>
      </c>
      <c r="M85" s="6">
        <v>-37</v>
      </c>
      <c r="N85" s="7">
        <f>IF(AND(L85 &lt;&gt; "-", M85 &lt;&gt; "-"),L85*( 1 + M85%),0)</f>
      </c>
      <c r="O85" s="7">
        <f>( N85 * E85 )</f>
      </c>
      <c r="P85" s="1" t="s">
        <v>262</v>
      </c>
      <c r="Q85" s="6">
        <v>1.01</v>
      </c>
      <c r="R85" s="6">
        <v>62.6</v>
      </c>
      <c r="S85" s="4">
        <v>57</v>
      </c>
      <c r="T85" s="1" t="s">
        <v>42</v>
      </c>
      <c r="U85" s="5">
        <f>HYPERLINK("https://www.gia.edu/report-check?reportno=7468569584","7468569584")</f>
      </c>
      <c r="V85" s="1" t="s">
        <v>43</v>
      </c>
      <c r="W85" s="1" t="s">
        <v>178</v>
      </c>
      <c r="X85" s="1" t="s">
        <v>45</v>
      </c>
      <c r="Y85" s="1" t="s">
        <v>40</v>
      </c>
      <c r="Z85" s="1" t="s">
        <v>45</v>
      </c>
      <c r="AA85" s="1" t="s">
        <v>47</v>
      </c>
      <c r="AB85" s="1" t="s">
        <v>73</v>
      </c>
      <c r="AC85" s="1" t="s">
        <v>48</v>
      </c>
      <c r="AD85" s="1" t="s">
        <v>43</v>
      </c>
      <c r="AE85" s="8">
        <f>IF(L85&lt;&gt;"",L85*E85,0)</f>
      </c>
    </row>
    <row r="86" spans="1:31" x14ac:dyDescent="0.25">
      <c r="A86" s="4">
        <v>81</v>
      </c>
      <c r="B86" s="1" t="s">
        <v>263</v>
      </c>
      <c r="C86" s="5">
        <f>HYPERLINK("https://client.unique.diamonds/dna/21031-8","DNA")</f>
      </c>
      <c r="D86" s="1" t="s">
        <v>36</v>
      </c>
      <c r="E86" s="6">
        <v>1.7</v>
      </c>
      <c r="F86" s="1" t="s">
        <v>61</v>
      </c>
      <c r="G86" s="1" t="s">
        <v>242</v>
      </c>
      <c r="H86" s="1" t="s">
        <v>39</v>
      </c>
      <c r="I86" s="1" t="s">
        <v>39</v>
      </c>
      <c r="J86" s="1" t="s">
        <v>39</v>
      </c>
      <c r="K86" s="1" t="s">
        <v>90</v>
      </c>
      <c r="L86" s="4">
        <v>14200</v>
      </c>
      <c r="M86" s="6">
        <v>-39.59</v>
      </c>
      <c r="N86" s="7">
        <f>IF(AND(L86 &lt;&gt; "-", M86 &lt;&gt; "-"),L86*( 1 + M86%),0)</f>
      </c>
      <c r="O86" s="7">
        <f>( N86 * E86 )</f>
      </c>
      <c r="P86" s="1" t="s">
        <v>264</v>
      </c>
      <c r="Q86" s="6">
        <v>1.01</v>
      </c>
      <c r="R86" s="6">
        <v>61.2</v>
      </c>
      <c r="S86" s="4">
        <v>59</v>
      </c>
      <c r="T86" s="1" t="s">
        <v>42</v>
      </c>
      <c r="U86" s="5">
        <f>HYPERLINK("https://www.gia.edu/report-check?reportno=5456696574","5456696574")</f>
      </c>
      <c r="V86" s="1" t="s">
        <v>43</v>
      </c>
      <c r="W86" s="1" t="s">
        <v>265</v>
      </c>
      <c r="X86" s="1" t="s">
        <v>40</v>
      </c>
      <c r="Y86" s="1" t="s">
        <v>40</v>
      </c>
      <c r="Z86" s="1" t="s">
        <v>40</v>
      </c>
      <c r="AA86" s="1" t="s">
        <v>47</v>
      </c>
      <c r="AB86" s="1" t="s">
        <v>40</v>
      </c>
      <c r="AC86" s="1" t="s">
        <v>48</v>
      </c>
      <c r="AD86" s="1" t="s">
        <v>43</v>
      </c>
      <c r="AE86" s="8">
        <f>IF(L86&lt;&gt;"",L86*E86,0)</f>
      </c>
    </row>
    <row r="87" spans="1:31" x14ac:dyDescent="0.25">
      <c r="A87" s="4">
        <v>82</v>
      </c>
      <c r="B87" s="1" t="s">
        <v>266</v>
      </c>
      <c r="C87" s="5">
        <f>HYPERLINK("https://client.unique.diamonds/dna/11241-199","DNA")</f>
      </c>
      <c r="D87" s="1" t="s">
        <v>36</v>
      </c>
      <c r="E87" s="6">
        <v>1.8</v>
      </c>
      <c r="F87" s="1" t="s">
        <v>61</v>
      </c>
      <c r="G87" s="1" t="s">
        <v>242</v>
      </c>
      <c r="H87" s="1" t="s">
        <v>39</v>
      </c>
      <c r="I87" s="1" t="s">
        <v>39</v>
      </c>
      <c r="J87" s="1" t="s">
        <v>39</v>
      </c>
      <c r="K87" s="1" t="s">
        <v>90</v>
      </c>
      <c r="L87" s="4">
        <v>14200</v>
      </c>
      <c r="M87" s="6">
        <v>-36.55</v>
      </c>
      <c r="N87" s="7">
        <f>IF(AND(L87 &lt;&gt; "-", M87 &lt;&gt; "-"),L87*( 1 + M87%),0)</f>
      </c>
      <c r="O87" s="7">
        <f>( N87 * E87 )</f>
      </c>
      <c r="P87" s="1" t="s">
        <v>267</v>
      </c>
      <c r="Q87" s="6">
        <v>1.01</v>
      </c>
      <c r="R87" s="6">
        <v>62.7</v>
      </c>
      <c r="S87" s="4">
        <v>56</v>
      </c>
      <c r="T87" s="1" t="s">
        <v>42</v>
      </c>
      <c r="U87" s="5">
        <f>HYPERLINK("https://www.gia.edu/report-check?reportno=2447682594","2447682594")</f>
      </c>
      <c r="V87" s="1" t="s">
        <v>43</v>
      </c>
      <c r="W87" s="1" t="s">
        <v>96</v>
      </c>
      <c r="X87" s="1" t="s">
        <v>40</v>
      </c>
      <c r="Y87" s="1" t="s">
        <v>40</v>
      </c>
      <c r="Z87" s="1" t="s">
        <v>40</v>
      </c>
      <c r="AA87" s="1" t="s">
        <v>47</v>
      </c>
      <c r="AB87" s="1" t="s">
        <v>47</v>
      </c>
      <c r="AC87" s="1" t="s">
        <v>48</v>
      </c>
      <c r="AD87" s="1" t="s">
        <v>43</v>
      </c>
      <c r="AE87" s="8">
        <f>IF(L87&lt;&gt;"",L87*E87,0)</f>
      </c>
    </row>
    <row r="88" spans="1:31" x14ac:dyDescent="0.25">
      <c r="A88" s="4">
        <v>83</v>
      </c>
      <c r="B88" s="1" t="s">
        <v>268</v>
      </c>
      <c r="C88" s="5">
        <f>HYPERLINK("https://client.unique.diamonds/dna/21120-9","DNA")</f>
      </c>
      <c r="D88" s="1" t="s">
        <v>36</v>
      </c>
      <c r="E88" s="6">
        <v>1.8</v>
      </c>
      <c r="F88" s="1" t="s">
        <v>61</v>
      </c>
      <c r="G88" s="1" t="s">
        <v>242</v>
      </c>
      <c r="H88" s="1" t="s">
        <v>39</v>
      </c>
      <c r="I88" s="1" t="s">
        <v>39</v>
      </c>
      <c r="J88" s="1" t="s">
        <v>39</v>
      </c>
      <c r="K88" s="1" t="s">
        <v>40</v>
      </c>
      <c r="L88" s="4">
        <v>14200</v>
      </c>
      <c r="M88" s="6">
        <v>-26.5</v>
      </c>
      <c r="N88" s="7">
        <f>IF(AND(L88 &lt;&gt; "-", M88 &lt;&gt; "-"),L88*( 1 + M88%),0)</f>
      </c>
      <c r="O88" s="7">
        <f>( N88 * E88 )</f>
      </c>
      <c r="P88" s="1" t="s">
        <v>269</v>
      </c>
      <c r="Q88" s="6">
        <v>1.01</v>
      </c>
      <c r="R88" s="6">
        <v>61.9</v>
      </c>
      <c r="S88" s="4">
        <v>58</v>
      </c>
      <c r="T88" s="1" t="s">
        <v>42</v>
      </c>
      <c r="U88" s="5">
        <f>HYPERLINK("https://www.gia.edu/report-check?reportno=2466569955","2466569955")</f>
      </c>
      <c r="V88" s="1" t="s">
        <v>43</v>
      </c>
      <c r="W88" s="1" t="s">
        <v>270</v>
      </c>
      <c r="X88" s="1" t="s">
        <v>45</v>
      </c>
      <c r="Y88" s="1" t="s">
        <v>40</v>
      </c>
      <c r="Z88" s="1" t="s">
        <v>59</v>
      </c>
      <c r="AA88" s="1" t="s">
        <v>52</v>
      </c>
      <c r="AB88" s="1" t="s">
        <v>73</v>
      </c>
      <c r="AC88" s="1" t="s">
        <v>48</v>
      </c>
      <c r="AD88" s="1" t="s">
        <v>43</v>
      </c>
      <c r="AE88" s="8">
        <f>IF(L88&lt;&gt;"",L88*E88,0)</f>
      </c>
    </row>
    <row r="89" spans="1:31" x14ac:dyDescent="0.25">
      <c r="A89" s="4">
        <v>84</v>
      </c>
      <c r="B89" s="1" t="s">
        <v>271</v>
      </c>
      <c r="C89" s="5">
        <f>HYPERLINK("https://client.unique.diamonds/dna/21114-17","DNA")</f>
      </c>
      <c r="D89" s="1" t="s">
        <v>36</v>
      </c>
      <c r="E89" s="6">
        <v>1.9</v>
      </c>
      <c r="F89" s="1" t="s">
        <v>61</v>
      </c>
      <c r="G89" s="1" t="s">
        <v>242</v>
      </c>
      <c r="H89" s="1" t="s">
        <v>39</v>
      </c>
      <c r="I89" s="1" t="s">
        <v>39</v>
      </c>
      <c r="J89" s="1" t="s">
        <v>39</v>
      </c>
      <c r="K89" s="1" t="s">
        <v>40</v>
      </c>
      <c r="L89" s="4">
        <v>14200</v>
      </c>
      <c r="M89" s="6">
        <v>-24.5</v>
      </c>
      <c r="N89" s="7">
        <f>IF(AND(L89 &lt;&gt; "-", M89 &lt;&gt; "-"),L89*( 1 + M89%),0)</f>
      </c>
      <c r="O89" s="7">
        <f>( N89 * E89 )</f>
      </c>
      <c r="P89" s="1" t="s">
        <v>272</v>
      </c>
      <c r="Q89" s="6">
        <v>1.01</v>
      </c>
      <c r="R89" s="6">
        <v>62.8</v>
      </c>
      <c r="S89" s="4">
        <v>58</v>
      </c>
      <c r="T89" s="1" t="s">
        <v>42</v>
      </c>
      <c r="U89" s="5">
        <f>HYPERLINK("https://www.gia.edu/report-check?reportno=6462534769","6462534769")</f>
      </c>
      <c r="V89" s="1" t="s">
        <v>43</v>
      </c>
      <c r="W89" s="1" t="s">
        <v>67</v>
      </c>
      <c r="X89" s="1" t="s">
        <v>59</v>
      </c>
      <c r="Y89" s="1" t="s">
        <v>40</v>
      </c>
      <c r="Z89" s="1" t="s">
        <v>46</v>
      </c>
      <c r="AA89" s="1" t="s">
        <v>47</v>
      </c>
      <c r="AB89" s="1" t="s">
        <v>40</v>
      </c>
      <c r="AC89" s="1" t="s">
        <v>48</v>
      </c>
      <c r="AD89" s="1" t="s">
        <v>43</v>
      </c>
      <c r="AE89" s="8">
        <f>IF(L89&lt;&gt;"",L89*E89,0)</f>
      </c>
    </row>
    <row r="90" spans="1:31" x14ac:dyDescent="0.25">
      <c r="A90" s="4">
        <v>85</v>
      </c>
      <c r="B90" s="1" t="s">
        <v>273</v>
      </c>
      <c r="C90" s="5">
        <f>HYPERLINK("https://client.unique.diamonds/dna/161-116","DNA")</f>
      </c>
      <c r="D90" s="1" t="s">
        <v>36</v>
      </c>
      <c r="E90" s="6">
        <v>1.92</v>
      </c>
      <c r="F90" s="1" t="s">
        <v>61</v>
      </c>
      <c r="G90" s="1" t="s">
        <v>242</v>
      </c>
      <c r="H90" s="1" t="s">
        <v>39</v>
      </c>
      <c r="I90" s="1" t="s">
        <v>39</v>
      </c>
      <c r="J90" s="1" t="s">
        <v>39</v>
      </c>
      <c r="K90" s="1" t="s">
        <v>90</v>
      </c>
      <c r="L90" s="4">
        <v>14200</v>
      </c>
      <c r="M90" s="6">
        <v>-27.93</v>
      </c>
      <c r="N90" s="7">
        <f>IF(AND(L90 &lt;&gt; "-", M90 &lt;&gt; "-"),L90*( 1 + M90%),0)</f>
      </c>
      <c r="O90" s="7">
        <f>( N90 * E90 )</f>
      </c>
      <c r="P90" s="1" t="s">
        <v>274</v>
      </c>
      <c r="Q90" s="6">
        <v>1.01</v>
      </c>
      <c r="R90" s="6">
        <v>59.8</v>
      </c>
      <c r="S90" s="4">
        <v>59</v>
      </c>
      <c r="T90" s="1" t="s">
        <v>42</v>
      </c>
      <c r="U90" s="5">
        <f>HYPERLINK("https://www.gia.edu/report-check?reportno=2446045038","2446045038")</f>
      </c>
      <c r="V90" s="1" t="s">
        <v>43</v>
      </c>
      <c r="W90" s="1" t="s">
        <v>275</v>
      </c>
      <c r="X90" s="1" t="s">
        <v>40</v>
      </c>
      <c r="Y90" s="1" t="s">
        <v>40</v>
      </c>
      <c r="Z90" s="1" t="s">
        <v>46</v>
      </c>
      <c r="AA90" s="1" t="s">
        <v>47</v>
      </c>
      <c r="AB90" s="1" t="s">
        <v>73</v>
      </c>
      <c r="AC90" s="1" t="s">
        <v>48</v>
      </c>
      <c r="AD90" s="1" t="s">
        <v>43</v>
      </c>
      <c r="AE90" s="8">
        <f>IF(L90&lt;&gt;"",L90*E90,0)</f>
      </c>
    </row>
    <row r="91" spans="1:31" x14ac:dyDescent="0.25">
      <c r="A91" s="4">
        <v>86</v>
      </c>
      <c r="B91" s="1" t="s">
        <v>276</v>
      </c>
      <c r="C91" s="5">
        <f>HYPERLINK("https://client.unique.diamonds/dna/21137-4","DNA")</f>
      </c>
      <c r="D91" s="1" t="s">
        <v>36</v>
      </c>
      <c r="E91" s="6">
        <v>2.01</v>
      </c>
      <c r="F91" s="1" t="s">
        <v>61</v>
      </c>
      <c r="G91" s="1" t="s">
        <v>242</v>
      </c>
      <c r="H91" s="1" t="s">
        <v>39</v>
      </c>
      <c r="I91" s="1" t="s">
        <v>39</v>
      </c>
      <c r="J91" s="1" t="s">
        <v>39</v>
      </c>
      <c r="K91" s="1" t="s">
        <v>40</v>
      </c>
      <c r="L91" s="4">
        <v>19500</v>
      </c>
      <c r="M91" s="6">
        <v>-37</v>
      </c>
      <c r="N91" s="7">
        <f>IF(AND(L91 &lt;&gt; "-", M91 &lt;&gt; "-"),L91*( 1 + M91%),0)</f>
      </c>
      <c r="O91" s="7">
        <f>( N91 * E91 )</f>
      </c>
      <c r="P91" s="1" t="s">
        <v>277</v>
      </c>
      <c r="Q91" s="6">
        <v>1</v>
      </c>
      <c r="R91" s="6">
        <v>61</v>
      </c>
      <c r="S91" s="4">
        <v>59</v>
      </c>
      <c r="T91" s="1" t="s">
        <v>42</v>
      </c>
      <c r="U91" s="5">
        <f>HYPERLINK("https://www.gia.edu/report-check?reportno=2464749958","2464749958")</f>
      </c>
      <c r="V91" s="1" t="s">
        <v>43</v>
      </c>
      <c r="W91" s="1" t="s">
        <v>278</v>
      </c>
      <c r="X91" s="1" t="s">
        <v>46</v>
      </c>
      <c r="Y91" s="1" t="s">
        <v>40</v>
      </c>
      <c r="Z91" s="1" t="s">
        <v>46</v>
      </c>
      <c r="AA91" s="1" t="s">
        <v>47</v>
      </c>
      <c r="AB91" s="1" t="s">
        <v>40</v>
      </c>
      <c r="AC91" s="1" t="s">
        <v>226</v>
      </c>
      <c r="AD91" s="1" t="s">
        <v>43</v>
      </c>
      <c r="AE91" s="8">
        <f>IF(L91&lt;&gt;"",L91*E91,0)</f>
      </c>
    </row>
    <row r="92" spans="1:31" x14ac:dyDescent="0.25">
      <c r="A92" s="4">
        <v>87</v>
      </c>
      <c r="B92" s="1" t="s">
        <v>279</v>
      </c>
      <c r="C92" s="5">
        <f>HYPERLINK("https://client.unique.diamonds/dna/11193-78","DNA")</f>
      </c>
      <c r="D92" s="1" t="s">
        <v>36</v>
      </c>
      <c r="E92" s="6">
        <v>2.02</v>
      </c>
      <c r="F92" s="1" t="s">
        <v>61</v>
      </c>
      <c r="G92" s="1" t="s">
        <v>242</v>
      </c>
      <c r="H92" s="1" t="s">
        <v>39</v>
      </c>
      <c r="I92" s="1" t="s">
        <v>39</v>
      </c>
      <c r="J92" s="1" t="s">
        <v>39</v>
      </c>
      <c r="K92" s="1" t="s">
        <v>40</v>
      </c>
      <c r="L92" s="4">
        <v>19500</v>
      </c>
      <c r="M92" s="6">
        <v>-38.75</v>
      </c>
      <c r="N92" s="7">
        <f>IF(AND(L92 &lt;&gt; "-", M92 &lt;&gt; "-"),L92*( 1 + M92%),0)</f>
      </c>
      <c r="O92" s="7">
        <f>( N92 * E92 )</f>
      </c>
      <c r="P92" s="1" t="s">
        <v>280</v>
      </c>
      <c r="Q92" s="6">
        <v>1</v>
      </c>
      <c r="R92" s="6">
        <v>62.6</v>
      </c>
      <c r="S92" s="4">
        <v>59</v>
      </c>
      <c r="T92" s="1" t="s">
        <v>42</v>
      </c>
      <c r="U92" s="5">
        <f>HYPERLINK("https://www.gia.edu/report-check?reportno=6441181245","6441181245")</f>
      </c>
      <c r="V92" s="1" t="s">
        <v>43</v>
      </c>
      <c r="W92" s="1" t="s">
        <v>218</v>
      </c>
      <c r="X92" s="1" t="s">
        <v>45</v>
      </c>
      <c r="Y92" s="1" t="s">
        <v>40</v>
      </c>
      <c r="Z92" s="1" t="s">
        <v>46</v>
      </c>
      <c r="AA92" s="1" t="s">
        <v>47</v>
      </c>
      <c r="AB92" s="1" t="s">
        <v>47</v>
      </c>
      <c r="AC92" s="1" t="s">
        <v>48</v>
      </c>
      <c r="AD92" s="1" t="s">
        <v>43</v>
      </c>
      <c r="AE92" s="8">
        <f>IF(L92&lt;&gt;"",L92*E92,0)</f>
      </c>
    </row>
    <row r="93" spans="1:31" x14ac:dyDescent="0.25">
      <c r="A93" s="4">
        <v>88</v>
      </c>
      <c r="B93" s="1" t="s">
        <v>281</v>
      </c>
      <c r="C93" s="5">
        <f>HYPERLINK("https://client.unique.diamonds/dna/21146-5","DNA")</f>
      </c>
      <c r="D93" s="1" t="s">
        <v>36</v>
      </c>
      <c r="E93" s="6">
        <v>1.5</v>
      </c>
      <c r="F93" s="1" t="s">
        <v>101</v>
      </c>
      <c r="G93" s="1" t="s">
        <v>242</v>
      </c>
      <c r="H93" s="1" t="s">
        <v>39</v>
      </c>
      <c r="I93" s="1" t="s">
        <v>39</v>
      </c>
      <c r="J93" s="1" t="s">
        <v>39</v>
      </c>
      <c r="K93" s="1" t="s">
        <v>90</v>
      </c>
      <c r="L93" s="4">
        <v>13300</v>
      </c>
      <c r="M93" s="6">
        <v>-43.5</v>
      </c>
      <c r="N93" s="7">
        <f>IF(AND(L93 &lt;&gt; "-", M93 &lt;&gt; "-"),L93*( 1 + M93%),0)</f>
      </c>
      <c r="O93" s="7">
        <f>( N93 * E93 )</f>
      </c>
      <c r="P93" s="1" t="s">
        <v>41</v>
      </c>
      <c r="Q93" s="6">
        <v>1.01</v>
      </c>
      <c r="R93" s="6">
        <v>62.6</v>
      </c>
      <c r="S93" s="4">
        <v>58</v>
      </c>
      <c r="T93" s="1" t="s">
        <v>42</v>
      </c>
      <c r="U93" s="5">
        <f>HYPERLINK("https://www.gia.edu/report-check?reportno=2466723329","2466723329")</f>
      </c>
      <c r="V93" s="1" t="s">
        <v>43</v>
      </c>
      <c r="W93" s="1" t="s">
        <v>282</v>
      </c>
      <c r="X93" s="1" t="s">
        <v>59</v>
      </c>
      <c r="Y93" s="1" t="s">
        <v>40</v>
      </c>
      <c r="Z93" s="1" t="s">
        <v>46</v>
      </c>
      <c r="AA93" s="1" t="s">
        <v>47</v>
      </c>
      <c r="AB93" s="1" t="s">
        <v>40</v>
      </c>
      <c r="AC93" s="1" t="s">
        <v>48</v>
      </c>
      <c r="AD93" s="1" t="s">
        <v>43</v>
      </c>
      <c r="AE93" s="8">
        <f>IF(L93&lt;&gt;"",L93*E93,0)</f>
      </c>
    </row>
    <row r="94" spans="1:31" x14ac:dyDescent="0.25">
      <c r="A94" s="4">
        <v>89</v>
      </c>
      <c r="B94" s="1" t="s">
        <v>283</v>
      </c>
      <c r="C94" s="5">
        <f>HYPERLINK("https://client.unique.diamonds/dna/21135-88","DNA")</f>
      </c>
      <c r="D94" s="1" t="s">
        <v>36</v>
      </c>
      <c r="E94" s="6">
        <v>1.5</v>
      </c>
      <c r="F94" s="1" t="s">
        <v>101</v>
      </c>
      <c r="G94" s="1" t="s">
        <v>242</v>
      </c>
      <c r="H94" s="1" t="s">
        <v>39</v>
      </c>
      <c r="I94" s="1" t="s">
        <v>39</v>
      </c>
      <c r="J94" s="1" t="s">
        <v>39</v>
      </c>
      <c r="K94" s="1" t="s">
        <v>40</v>
      </c>
      <c r="L94" s="4">
        <v>13300</v>
      </c>
      <c r="M94" s="6">
        <v>-36.5</v>
      </c>
      <c r="N94" s="7">
        <f>IF(AND(L94 &lt;&gt; "-", M94 &lt;&gt; "-"),L94*( 1 + M94%),0)</f>
      </c>
      <c r="O94" s="7">
        <f>( N94 * E94 )</f>
      </c>
      <c r="P94" s="1" t="s">
        <v>284</v>
      </c>
      <c r="Q94" s="6">
        <v>1.01</v>
      </c>
      <c r="R94" s="6">
        <v>62.2</v>
      </c>
      <c r="S94" s="4">
        <v>59</v>
      </c>
      <c r="T94" s="1" t="s">
        <v>42</v>
      </c>
      <c r="U94" s="5">
        <f>HYPERLINK("https://www.gia.edu/report-check?reportno=6461747393","6461747393")</f>
      </c>
      <c r="V94" s="1" t="s">
        <v>43</v>
      </c>
      <c r="W94" s="1" t="s">
        <v>285</v>
      </c>
      <c r="X94" s="1" t="s">
        <v>45</v>
      </c>
      <c r="Y94" s="1" t="s">
        <v>40</v>
      </c>
      <c r="Z94" s="1" t="s">
        <v>46</v>
      </c>
      <c r="AA94" s="1" t="s">
        <v>52</v>
      </c>
      <c r="AB94" s="1" t="s">
        <v>73</v>
      </c>
      <c r="AC94" s="1" t="s">
        <v>48</v>
      </c>
      <c r="AD94" s="1" t="s">
        <v>43</v>
      </c>
      <c r="AE94" s="8">
        <f>IF(L94&lt;&gt;"",L94*E94,0)</f>
      </c>
    </row>
    <row r="95" spans="1:31" x14ac:dyDescent="0.25">
      <c r="A95" s="4">
        <v>90</v>
      </c>
      <c r="B95" s="1" t="s">
        <v>286</v>
      </c>
      <c r="C95" s="5">
        <f>HYPERLINK("https://client.unique.diamonds/dna/21108-65","DNA")</f>
      </c>
      <c r="D95" s="1" t="s">
        <v>36</v>
      </c>
      <c r="E95" s="6">
        <v>1.53</v>
      </c>
      <c r="F95" s="1" t="s">
        <v>101</v>
      </c>
      <c r="G95" s="1" t="s">
        <v>242</v>
      </c>
      <c r="H95" s="1" t="s">
        <v>39</v>
      </c>
      <c r="I95" s="1" t="s">
        <v>39</v>
      </c>
      <c r="J95" s="1" t="s">
        <v>39</v>
      </c>
      <c r="K95" s="1" t="s">
        <v>90</v>
      </c>
      <c r="L95" s="4">
        <v>13300</v>
      </c>
      <c r="M95" s="6">
        <v>-43</v>
      </c>
      <c r="N95" s="7">
        <f>IF(AND(L95 &lt;&gt; "-", M95 &lt;&gt; "-"),L95*( 1 + M95%),0)</f>
      </c>
      <c r="O95" s="7">
        <f>( N95 * E95 )</f>
      </c>
      <c r="P95" s="1" t="s">
        <v>287</v>
      </c>
      <c r="Q95" s="6">
        <v>1.01</v>
      </c>
      <c r="R95" s="6">
        <v>62.6</v>
      </c>
      <c r="S95" s="4">
        <v>57</v>
      </c>
      <c r="T95" s="1" t="s">
        <v>42</v>
      </c>
      <c r="U95" s="5">
        <f>HYPERLINK("https://www.gia.edu/report-check?reportno=7466475974","7466475974")</f>
      </c>
      <c r="V95" s="1" t="s">
        <v>43</v>
      </c>
      <c r="W95" s="1" t="s">
        <v>288</v>
      </c>
      <c r="X95" s="1" t="s">
        <v>59</v>
      </c>
      <c r="Y95" s="1" t="s">
        <v>40</v>
      </c>
      <c r="Z95" s="1" t="s">
        <v>45</v>
      </c>
      <c r="AA95" s="1" t="s">
        <v>52</v>
      </c>
      <c r="AB95" s="1" t="s">
        <v>73</v>
      </c>
      <c r="AC95" s="1" t="s">
        <v>48</v>
      </c>
      <c r="AD95" s="1" t="s">
        <v>43</v>
      </c>
      <c r="AE95" s="8">
        <f>IF(L95&lt;&gt;"",L95*E95,0)</f>
      </c>
    </row>
    <row r="96" spans="1:31" x14ac:dyDescent="0.25">
      <c r="A96" s="4">
        <v>91</v>
      </c>
      <c r="B96" s="1" t="s">
        <v>289</v>
      </c>
      <c r="C96" s="5">
        <f>HYPERLINK("https://client.unique.diamonds/dna/21140-8","DNA")</f>
      </c>
      <c r="D96" s="1" t="s">
        <v>36</v>
      </c>
      <c r="E96" s="6">
        <v>1.7</v>
      </c>
      <c r="F96" s="1" t="s">
        <v>101</v>
      </c>
      <c r="G96" s="1" t="s">
        <v>242</v>
      </c>
      <c r="H96" s="1" t="s">
        <v>39</v>
      </c>
      <c r="I96" s="1" t="s">
        <v>39</v>
      </c>
      <c r="J96" s="1" t="s">
        <v>39</v>
      </c>
      <c r="K96" s="1" t="s">
        <v>40</v>
      </c>
      <c r="L96" s="4">
        <v>13300</v>
      </c>
      <c r="M96" s="6">
        <v>-30</v>
      </c>
      <c r="N96" s="7">
        <f>IF(AND(L96 &lt;&gt; "-", M96 &lt;&gt; "-"),L96*( 1 + M96%),0)</f>
      </c>
      <c r="O96" s="7">
        <f>( N96 * E96 )</f>
      </c>
      <c r="P96" s="1" t="s">
        <v>290</v>
      </c>
      <c r="Q96" s="6">
        <v>1.01</v>
      </c>
      <c r="R96" s="6">
        <v>62.6</v>
      </c>
      <c r="S96" s="4">
        <v>59</v>
      </c>
      <c r="T96" s="1" t="s">
        <v>42</v>
      </c>
      <c r="U96" s="5">
        <f>HYPERLINK("https://www.gia.edu/report-check?reportno=1465741767","1465741767")</f>
      </c>
      <c r="V96" s="1" t="s">
        <v>43</v>
      </c>
      <c r="W96" s="1" t="s">
        <v>291</v>
      </c>
      <c r="X96" s="1" t="s">
        <v>59</v>
      </c>
      <c r="Y96" s="1" t="s">
        <v>40</v>
      </c>
      <c r="Z96" s="1" t="s">
        <v>46</v>
      </c>
      <c r="AA96" s="1" t="s">
        <v>40</v>
      </c>
      <c r="AB96" s="1" t="s">
        <v>40</v>
      </c>
      <c r="AC96" s="1" t="s">
        <v>48</v>
      </c>
      <c r="AD96" s="1" t="s">
        <v>43</v>
      </c>
      <c r="AE96" s="8">
        <f>IF(L96&lt;&gt;"",L96*E96,0)</f>
      </c>
    </row>
    <row r="97" spans="1:31" x14ac:dyDescent="0.25">
      <c r="A97" s="4">
        <v>92</v>
      </c>
      <c r="B97" s="1" t="s">
        <v>292</v>
      </c>
      <c r="C97" s="5">
        <f>HYPERLINK("https://client.unique.diamonds/dna/21138-1","DNA")</f>
      </c>
      <c r="D97" s="1" t="s">
        <v>36</v>
      </c>
      <c r="E97" s="6">
        <v>1.7</v>
      </c>
      <c r="F97" s="1" t="s">
        <v>101</v>
      </c>
      <c r="G97" s="1" t="s">
        <v>242</v>
      </c>
      <c r="H97" s="1" t="s">
        <v>39</v>
      </c>
      <c r="I97" s="1" t="s">
        <v>39</v>
      </c>
      <c r="J97" s="1" t="s">
        <v>39</v>
      </c>
      <c r="K97" s="1" t="s">
        <v>40</v>
      </c>
      <c r="L97" s="4">
        <v>13300</v>
      </c>
      <c r="M97" s="6">
        <v>-31.5</v>
      </c>
      <c r="N97" s="7">
        <f>IF(AND(L97 &lt;&gt; "-", M97 &lt;&gt; "-"),L97*( 1 + M97%),0)</f>
      </c>
      <c r="O97" s="7">
        <f>( N97 * E97 )</f>
      </c>
      <c r="P97" s="1" t="s">
        <v>293</v>
      </c>
      <c r="Q97" s="6">
        <v>1.01</v>
      </c>
      <c r="R97" s="6">
        <v>61.2</v>
      </c>
      <c r="S97" s="4">
        <v>59</v>
      </c>
      <c r="T97" s="1" t="s">
        <v>42</v>
      </c>
      <c r="U97" s="5">
        <f>HYPERLINK("https://www.gia.edu/report-check?reportno=7468726423","7468726423")</f>
      </c>
      <c r="V97" s="1" t="s">
        <v>43</v>
      </c>
      <c r="W97" s="1" t="s">
        <v>294</v>
      </c>
      <c r="X97" s="1" t="s">
        <v>45</v>
      </c>
      <c r="Y97" s="1" t="s">
        <v>40</v>
      </c>
      <c r="Z97" s="1" t="s">
        <v>46</v>
      </c>
      <c r="AA97" s="1" t="s">
        <v>47</v>
      </c>
      <c r="AB97" s="1" t="s">
        <v>40</v>
      </c>
      <c r="AC97" s="1" t="s">
        <v>48</v>
      </c>
      <c r="AD97" s="1" t="s">
        <v>43</v>
      </c>
      <c r="AE97" s="8">
        <f>IF(L97&lt;&gt;"",L97*E97,0)</f>
      </c>
    </row>
    <row r="98" spans="1:31" x14ac:dyDescent="0.25">
      <c r="A98" s="4">
        <v>93</v>
      </c>
      <c r="B98" s="1" t="s">
        <v>295</v>
      </c>
      <c r="C98" s="5">
        <f>HYPERLINK("https://client.unique.diamonds/dna/11147-78","DNA")</f>
      </c>
      <c r="D98" s="1" t="s">
        <v>36</v>
      </c>
      <c r="E98" s="6">
        <v>1.71</v>
      </c>
      <c r="F98" s="1" t="s">
        <v>101</v>
      </c>
      <c r="G98" s="1" t="s">
        <v>242</v>
      </c>
      <c r="H98" s="1" t="s">
        <v>39</v>
      </c>
      <c r="I98" s="1" t="s">
        <v>39</v>
      </c>
      <c r="J98" s="1" t="s">
        <v>39</v>
      </c>
      <c r="K98" s="1" t="s">
        <v>90</v>
      </c>
      <c r="L98" s="4">
        <v>13300</v>
      </c>
      <c r="M98" s="6">
        <v>-43</v>
      </c>
      <c r="N98" s="7">
        <f>IF(AND(L98 &lt;&gt; "-", M98 &lt;&gt; "-"),L98*( 1 + M98%),0)</f>
      </c>
      <c r="O98" s="7">
        <f>( N98 * E98 )</f>
      </c>
      <c r="P98" s="1" t="s">
        <v>296</v>
      </c>
      <c r="Q98" s="6">
        <v>1.01</v>
      </c>
      <c r="R98" s="6">
        <v>58.3</v>
      </c>
      <c r="S98" s="4">
        <v>61</v>
      </c>
      <c r="T98" s="1" t="s">
        <v>42</v>
      </c>
      <c r="U98" s="5">
        <f>HYPERLINK("https://www.gia.edu/report-check?reportno=7431706698","7431706698")</f>
      </c>
      <c r="V98" s="1" t="s">
        <v>43</v>
      </c>
      <c r="W98" s="1" t="s">
        <v>297</v>
      </c>
      <c r="X98" s="1" t="s">
        <v>46</v>
      </c>
      <c r="Y98" s="1" t="s">
        <v>40</v>
      </c>
      <c r="Z98" s="1" t="s">
        <v>46</v>
      </c>
      <c r="AA98" s="1" t="s">
        <v>47</v>
      </c>
      <c r="AB98" s="1" t="s">
        <v>47</v>
      </c>
      <c r="AC98" s="1" t="s">
        <v>48</v>
      </c>
      <c r="AD98" s="1" t="s">
        <v>43</v>
      </c>
      <c r="AE98" s="8">
        <f>IF(L98&lt;&gt;"",L98*E98,0)</f>
      </c>
    </row>
    <row r="99" spans="1:31" x14ac:dyDescent="0.25">
      <c r="A99" s="4">
        <v>94</v>
      </c>
      <c r="B99" s="1" t="s">
        <v>298</v>
      </c>
      <c r="C99" s="5">
        <f>HYPERLINK("https://client.unique.diamonds/dna/162-9","DNA")</f>
      </c>
      <c r="D99" s="1" t="s">
        <v>36</v>
      </c>
      <c r="E99" s="6">
        <v>2</v>
      </c>
      <c r="F99" s="1" t="s">
        <v>101</v>
      </c>
      <c r="G99" s="1" t="s">
        <v>242</v>
      </c>
      <c r="H99" s="1" t="s">
        <v>39</v>
      </c>
      <c r="I99" s="1" t="s">
        <v>39</v>
      </c>
      <c r="J99" s="1" t="s">
        <v>39</v>
      </c>
      <c r="K99" s="1" t="s">
        <v>40</v>
      </c>
      <c r="L99" s="4">
        <v>18000</v>
      </c>
      <c r="M99" s="6">
        <v>-39.13</v>
      </c>
      <c r="N99" s="7">
        <f>IF(AND(L99 &lt;&gt; "-", M99 &lt;&gt; "-"),L99*( 1 + M99%),0)</f>
      </c>
      <c r="O99" s="7">
        <f>( N99 * E99 )</f>
      </c>
      <c r="P99" s="1" t="s">
        <v>299</v>
      </c>
      <c r="Q99" s="6">
        <v>1</v>
      </c>
      <c r="R99" s="6">
        <v>62</v>
      </c>
      <c r="S99" s="4">
        <v>56</v>
      </c>
      <c r="T99" s="1" t="s">
        <v>42</v>
      </c>
      <c r="U99" s="5">
        <f>HYPERLINK("https://www.gia.edu/report-check?reportno=2437417636","2437417636")</f>
      </c>
      <c r="V99" s="1" t="s">
        <v>43</v>
      </c>
      <c r="W99" s="1" t="s">
        <v>300</v>
      </c>
      <c r="X99" s="1" t="s">
        <v>59</v>
      </c>
      <c r="Y99" s="1" t="s">
        <v>40</v>
      </c>
      <c r="Z99" s="1" t="s">
        <v>45</v>
      </c>
      <c r="AA99" s="1" t="s">
        <v>47</v>
      </c>
      <c r="AB99" s="1" t="s">
        <v>40</v>
      </c>
      <c r="AC99" s="1" t="s">
        <v>48</v>
      </c>
      <c r="AD99" s="1" t="s">
        <v>43</v>
      </c>
      <c r="AE99" s="8">
        <f>IF(L99&lt;&gt;"",L99*E99,0)</f>
      </c>
    </row>
    <row r="100" spans="1:31" x14ac:dyDescent="0.25">
      <c r="A100" s="4">
        <v>95</v>
      </c>
      <c r="B100" s="1" t="s">
        <v>301</v>
      </c>
      <c r="C100" s="5">
        <f>HYPERLINK("https://client.unique.diamonds/dna/11042-13","DNA")</f>
      </c>
      <c r="D100" s="1" t="s">
        <v>36</v>
      </c>
      <c r="E100" s="6">
        <v>2.01</v>
      </c>
      <c r="F100" s="1" t="s">
        <v>101</v>
      </c>
      <c r="G100" s="1" t="s">
        <v>242</v>
      </c>
      <c r="H100" s="1" t="s">
        <v>39</v>
      </c>
      <c r="I100" s="1" t="s">
        <v>39</v>
      </c>
      <c r="J100" s="1" t="s">
        <v>39</v>
      </c>
      <c r="K100" s="1" t="s">
        <v>40</v>
      </c>
      <c r="L100" s="4">
        <v>18000</v>
      </c>
      <c r="M100" s="6">
        <v>-38.25</v>
      </c>
      <c r="N100" s="7">
        <f>IF(AND(L100 &lt;&gt; "-", M100 &lt;&gt; "-"),L100*( 1 + M100%),0)</f>
      </c>
      <c r="O100" s="7">
        <f>( N100 * E100 )</f>
      </c>
      <c r="P100" s="1" t="s">
        <v>302</v>
      </c>
      <c r="Q100" s="6">
        <v>1.01</v>
      </c>
      <c r="R100" s="6">
        <v>61.4</v>
      </c>
      <c r="S100" s="4">
        <v>59</v>
      </c>
      <c r="T100" s="1" t="s">
        <v>42</v>
      </c>
      <c r="U100" s="5">
        <f>HYPERLINK("https://www.gia.edu/report-check?reportno=7422319593","7422319593")</f>
      </c>
      <c r="V100" s="1" t="s">
        <v>43</v>
      </c>
      <c r="W100" s="1" t="s">
        <v>67</v>
      </c>
      <c r="X100" s="1" t="s">
        <v>46</v>
      </c>
      <c r="Y100" s="1" t="s">
        <v>40</v>
      </c>
      <c r="Z100" s="1" t="s">
        <v>46</v>
      </c>
      <c r="AA100" s="1" t="s">
        <v>47</v>
      </c>
      <c r="AB100" s="1" t="s">
        <v>40</v>
      </c>
      <c r="AC100" s="1" t="s">
        <v>48</v>
      </c>
      <c r="AD100" s="1" t="s">
        <v>43</v>
      </c>
      <c r="AE100" s="8">
        <f>IF(L100&lt;&gt;"",L100*E100,0)</f>
      </c>
    </row>
    <row r="101" spans="1:31" x14ac:dyDescent="0.25">
      <c r="A101" s="4">
        <v>96</v>
      </c>
      <c r="B101" s="1" t="s">
        <v>303</v>
      </c>
      <c r="C101" s="5">
        <f>HYPERLINK("https://client.unique.diamonds/dna/21140-1","DNA")</f>
      </c>
      <c r="D101" s="1" t="s">
        <v>36</v>
      </c>
      <c r="E101" s="6">
        <v>1.5</v>
      </c>
      <c r="F101" s="1" t="s">
        <v>138</v>
      </c>
      <c r="G101" s="1" t="s">
        <v>242</v>
      </c>
      <c r="H101" s="1" t="s">
        <v>39</v>
      </c>
      <c r="I101" s="1" t="s">
        <v>39</v>
      </c>
      <c r="J101" s="1" t="s">
        <v>39</v>
      </c>
      <c r="K101" s="1" t="s">
        <v>40</v>
      </c>
      <c r="L101" s="4">
        <v>12000</v>
      </c>
      <c r="M101" s="6">
        <v>-37</v>
      </c>
      <c r="N101" s="7">
        <f>IF(AND(L101 &lt;&gt; "-", M101 &lt;&gt; "-"),L101*( 1 + M101%),0)</f>
      </c>
      <c r="O101" s="7">
        <f>( N101 * E101 )</f>
      </c>
      <c r="P101" s="1" t="s">
        <v>304</v>
      </c>
      <c r="Q101" s="6">
        <v>1.01</v>
      </c>
      <c r="R101" s="6">
        <v>62.5</v>
      </c>
      <c r="S101" s="4">
        <v>58</v>
      </c>
      <c r="T101" s="1" t="s">
        <v>42</v>
      </c>
      <c r="U101" s="5">
        <f>HYPERLINK("https://www.gia.edu/report-check?reportno=1469716208","1469716208")</f>
      </c>
      <c r="V101" s="1" t="s">
        <v>43</v>
      </c>
      <c r="W101" s="1" t="s">
        <v>128</v>
      </c>
      <c r="X101" s="1" t="s">
        <v>59</v>
      </c>
      <c r="Y101" s="1" t="s">
        <v>40</v>
      </c>
      <c r="Z101" s="1" t="s">
        <v>46</v>
      </c>
      <c r="AA101" s="1" t="s">
        <v>47</v>
      </c>
      <c r="AB101" s="1" t="s">
        <v>40</v>
      </c>
      <c r="AC101" s="1" t="s">
        <v>48</v>
      </c>
      <c r="AD101" s="1" t="s">
        <v>43</v>
      </c>
      <c r="AE101" s="8">
        <f>IF(L101&lt;&gt;"",L101*E101,0)</f>
      </c>
    </row>
    <row r="102" spans="1:31" x14ac:dyDescent="0.25">
      <c r="A102" s="4">
        <v>97</v>
      </c>
      <c r="B102" s="1" t="s">
        <v>305</v>
      </c>
      <c r="C102" s="5">
        <f>HYPERLINK("https://client.unique.diamonds/dna/21139-2","DNA")</f>
      </c>
      <c r="D102" s="1" t="s">
        <v>36</v>
      </c>
      <c r="E102" s="6">
        <v>1.5</v>
      </c>
      <c r="F102" s="1" t="s">
        <v>138</v>
      </c>
      <c r="G102" s="1" t="s">
        <v>242</v>
      </c>
      <c r="H102" s="1" t="s">
        <v>39</v>
      </c>
      <c r="I102" s="1" t="s">
        <v>39</v>
      </c>
      <c r="J102" s="1" t="s">
        <v>39</v>
      </c>
      <c r="K102" s="1" t="s">
        <v>40</v>
      </c>
      <c r="L102" s="4">
        <v>12000</v>
      </c>
      <c r="M102" s="6">
        <v>-37</v>
      </c>
      <c r="N102" s="7">
        <f>IF(AND(L102 &lt;&gt; "-", M102 &lt;&gt; "-"),L102*( 1 + M102%),0)</f>
      </c>
      <c r="O102" s="7">
        <f>( N102 * E102 )</f>
      </c>
      <c r="P102" s="1" t="s">
        <v>306</v>
      </c>
      <c r="Q102" s="6">
        <v>1</v>
      </c>
      <c r="R102" s="6">
        <v>61.3</v>
      </c>
      <c r="S102" s="4">
        <v>59</v>
      </c>
      <c r="T102" s="1" t="s">
        <v>42</v>
      </c>
      <c r="U102" s="5">
        <f>HYPERLINK("https://www.gia.edu/report-check?reportno=6462716160","6462716160")</f>
      </c>
      <c r="V102" s="1" t="s">
        <v>43</v>
      </c>
      <c r="W102" s="1" t="s">
        <v>307</v>
      </c>
      <c r="X102" s="1" t="s">
        <v>59</v>
      </c>
      <c r="Y102" s="1" t="s">
        <v>40</v>
      </c>
      <c r="Z102" s="1" t="s">
        <v>46</v>
      </c>
      <c r="AA102" s="1" t="s">
        <v>52</v>
      </c>
      <c r="AB102" s="1" t="s">
        <v>40</v>
      </c>
      <c r="AC102" s="1" t="s">
        <v>48</v>
      </c>
      <c r="AD102" s="1" t="s">
        <v>43</v>
      </c>
      <c r="AE102" s="8">
        <f>IF(L102&lt;&gt;"",L102*E102,0)</f>
      </c>
    </row>
    <row r="103" spans="1:31" x14ac:dyDescent="0.25">
      <c r="A103" s="4">
        <v>98</v>
      </c>
      <c r="B103" s="1" t="s">
        <v>308</v>
      </c>
      <c r="C103" s="5">
        <f>HYPERLINK("https://client.unique.diamonds/dna/21140-14","DNA")</f>
      </c>
      <c r="D103" s="1" t="s">
        <v>36</v>
      </c>
      <c r="E103" s="6">
        <v>1.5</v>
      </c>
      <c r="F103" s="1" t="s">
        <v>138</v>
      </c>
      <c r="G103" s="1" t="s">
        <v>242</v>
      </c>
      <c r="H103" s="1" t="s">
        <v>39</v>
      </c>
      <c r="I103" s="1" t="s">
        <v>39</v>
      </c>
      <c r="J103" s="1" t="s">
        <v>39</v>
      </c>
      <c r="K103" s="1" t="s">
        <v>40</v>
      </c>
      <c r="L103" s="4">
        <v>12000</v>
      </c>
      <c r="M103" s="6">
        <v>-36.5</v>
      </c>
      <c r="N103" s="7">
        <f>IF(AND(L103 &lt;&gt; "-", M103 &lt;&gt; "-"),L103*( 1 + M103%),0)</f>
      </c>
      <c r="O103" s="7">
        <f>( N103 * E103 )</f>
      </c>
      <c r="P103" s="1" t="s">
        <v>69</v>
      </c>
      <c r="Q103" s="6">
        <v>1.01</v>
      </c>
      <c r="R103" s="6">
        <v>62.3</v>
      </c>
      <c r="S103" s="4">
        <v>57</v>
      </c>
      <c r="T103" s="1" t="s">
        <v>42</v>
      </c>
      <c r="U103" s="5">
        <f>HYPERLINK("https://www.gia.edu/report-check?reportno=6465747148","6465747148")</f>
      </c>
      <c r="V103" s="1" t="s">
        <v>43</v>
      </c>
      <c r="W103" s="1" t="s">
        <v>309</v>
      </c>
      <c r="X103" s="1" t="s">
        <v>40</v>
      </c>
      <c r="Y103" s="1" t="s">
        <v>40</v>
      </c>
      <c r="Z103" s="1" t="s">
        <v>46</v>
      </c>
      <c r="AA103" s="1" t="s">
        <v>40</v>
      </c>
      <c r="AB103" s="1" t="s">
        <v>40</v>
      </c>
      <c r="AC103" s="1" t="s">
        <v>48</v>
      </c>
      <c r="AD103" s="1" t="s">
        <v>43</v>
      </c>
      <c r="AE103" s="8">
        <f>IF(L103&lt;&gt;"",L103*E103,0)</f>
      </c>
    </row>
    <row r="104" spans="1:31" x14ac:dyDescent="0.25">
      <c r="A104" s="4">
        <v>99</v>
      </c>
      <c r="B104" s="1" t="s">
        <v>310</v>
      </c>
      <c r="C104" s="5">
        <f>HYPERLINK("https://client.unique.diamonds/dna/21104-20","DNA")</f>
      </c>
      <c r="D104" s="1" t="s">
        <v>36</v>
      </c>
      <c r="E104" s="6">
        <v>1.6</v>
      </c>
      <c r="F104" s="1" t="s">
        <v>138</v>
      </c>
      <c r="G104" s="1" t="s">
        <v>242</v>
      </c>
      <c r="H104" s="1" t="s">
        <v>39</v>
      </c>
      <c r="I104" s="1" t="s">
        <v>39</v>
      </c>
      <c r="J104" s="1" t="s">
        <v>39</v>
      </c>
      <c r="K104" s="1" t="s">
        <v>40</v>
      </c>
      <c r="L104" s="4">
        <v>12000</v>
      </c>
      <c r="M104" s="6">
        <v>-37.5</v>
      </c>
      <c r="N104" s="7">
        <f>IF(AND(L104 &lt;&gt; "-", M104 &lt;&gt; "-"),L104*( 1 + M104%),0)</f>
      </c>
      <c r="O104" s="7">
        <f>( N104 * E104 )</f>
      </c>
      <c r="P104" s="1" t="s">
        <v>311</v>
      </c>
      <c r="Q104" s="6">
        <v>1</v>
      </c>
      <c r="R104" s="6">
        <v>62.3</v>
      </c>
      <c r="S104" s="4">
        <v>57</v>
      </c>
      <c r="T104" s="1" t="s">
        <v>42</v>
      </c>
      <c r="U104" s="5">
        <f>HYPERLINK("https://www.gia.edu/report-check?reportno=2466475915","2466475915")</f>
      </c>
      <c r="V104" s="1" t="s">
        <v>43</v>
      </c>
      <c r="W104" s="1" t="s">
        <v>160</v>
      </c>
      <c r="X104" s="1" t="s">
        <v>45</v>
      </c>
      <c r="Y104" s="1" t="s">
        <v>40</v>
      </c>
      <c r="Z104" s="1" t="s">
        <v>64</v>
      </c>
      <c r="AA104" s="1" t="s">
        <v>47</v>
      </c>
      <c r="AB104" s="1" t="s">
        <v>40</v>
      </c>
      <c r="AC104" s="1" t="s">
        <v>48</v>
      </c>
      <c r="AD104" s="1" t="s">
        <v>43</v>
      </c>
      <c r="AE104" s="8">
        <f>IF(L104&lt;&gt;"",L104*E104,0)</f>
      </c>
    </row>
    <row r="105" spans="1:31" x14ac:dyDescent="0.25">
      <c r="A105" s="4">
        <v>100</v>
      </c>
      <c r="B105" s="1" t="s">
        <v>312</v>
      </c>
      <c r="C105" s="5">
        <f>HYPERLINK("https://client.unique.diamonds/dna/163-177","DNA")</f>
      </c>
      <c r="D105" s="1" t="s">
        <v>36</v>
      </c>
      <c r="E105" s="6">
        <v>1.7</v>
      </c>
      <c r="F105" s="1" t="s">
        <v>138</v>
      </c>
      <c r="G105" s="1" t="s">
        <v>242</v>
      </c>
      <c r="H105" s="1" t="s">
        <v>39</v>
      </c>
      <c r="I105" s="1" t="s">
        <v>39</v>
      </c>
      <c r="J105" s="1" t="s">
        <v>39</v>
      </c>
      <c r="K105" s="1" t="s">
        <v>40</v>
      </c>
      <c r="L105" s="4">
        <v>12000</v>
      </c>
      <c r="M105" s="6">
        <v>-32.62</v>
      </c>
      <c r="N105" s="7">
        <f>IF(AND(L105 &lt;&gt; "-", M105 &lt;&gt; "-"),L105*( 1 + M105%),0)</f>
      </c>
      <c r="O105" s="7">
        <f>( N105 * E105 )</f>
      </c>
      <c r="P105" s="1" t="s">
        <v>313</v>
      </c>
      <c r="Q105" s="6">
        <v>1.01</v>
      </c>
      <c r="R105" s="6">
        <v>62.6</v>
      </c>
      <c r="S105" s="4">
        <v>56</v>
      </c>
      <c r="T105" s="1" t="s">
        <v>42</v>
      </c>
      <c r="U105" s="5">
        <f>HYPERLINK("https://www.gia.edu/report-check?reportno=2444479473","2444479473")</f>
      </c>
      <c r="V105" s="1" t="s">
        <v>43</v>
      </c>
      <c r="W105" s="1" t="s">
        <v>314</v>
      </c>
      <c r="X105" s="1" t="s">
        <v>59</v>
      </c>
      <c r="Y105" s="1" t="s">
        <v>40</v>
      </c>
      <c r="Z105" s="1" t="s">
        <v>40</v>
      </c>
      <c r="AA105" s="1" t="s">
        <v>52</v>
      </c>
      <c r="AB105" s="1" t="s">
        <v>40</v>
      </c>
      <c r="AC105" s="1" t="s">
        <v>48</v>
      </c>
      <c r="AD105" s="1" t="s">
        <v>43</v>
      </c>
      <c r="AE105" s="8">
        <f>IF(L105&lt;&gt;"",L105*E105,0)</f>
      </c>
    </row>
    <row r="106" spans="1:31" x14ac:dyDescent="0.25">
      <c r="A106" s="4">
        <v>101</v>
      </c>
      <c r="B106" s="1" t="s">
        <v>315</v>
      </c>
      <c r="C106" s="5">
        <f>HYPERLINK("https://client.unique.diamonds/dna/11163-47","DNA")</f>
      </c>
      <c r="D106" s="1" t="s">
        <v>36</v>
      </c>
      <c r="E106" s="6">
        <v>1.82</v>
      </c>
      <c r="F106" s="1" t="s">
        <v>138</v>
      </c>
      <c r="G106" s="1" t="s">
        <v>242</v>
      </c>
      <c r="H106" s="1" t="s">
        <v>39</v>
      </c>
      <c r="I106" s="1" t="s">
        <v>39</v>
      </c>
      <c r="J106" s="1" t="s">
        <v>39</v>
      </c>
      <c r="K106" s="1" t="s">
        <v>40</v>
      </c>
      <c r="L106" s="4">
        <v>12000</v>
      </c>
      <c r="M106" s="6">
        <v>-27</v>
      </c>
      <c r="N106" s="7">
        <f>IF(AND(L106 &lt;&gt; "-", M106 &lt;&gt; "-"),L106*( 1 + M106%),0)</f>
      </c>
      <c r="O106" s="7">
        <f>( N106 * E106 )</f>
      </c>
      <c r="P106" s="1" t="s">
        <v>316</v>
      </c>
      <c r="Q106" s="6">
        <v>1.01</v>
      </c>
      <c r="R106" s="6">
        <v>62.6</v>
      </c>
      <c r="S106" s="4">
        <v>59</v>
      </c>
      <c r="T106" s="1" t="s">
        <v>42</v>
      </c>
      <c r="U106" s="5">
        <f>HYPERLINK("https://www.gia.edu/report-check?reportno=5433830470","5433830470")</f>
      </c>
      <c r="V106" s="1" t="s">
        <v>43</v>
      </c>
      <c r="W106" s="1" t="s">
        <v>270</v>
      </c>
      <c r="X106" s="1" t="s">
        <v>59</v>
      </c>
      <c r="Y106" s="1" t="s">
        <v>40</v>
      </c>
      <c r="Z106" s="1" t="s">
        <v>45</v>
      </c>
      <c r="AA106" s="1" t="s">
        <v>40</v>
      </c>
      <c r="AB106" s="1" t="s">
        <v>73</v>
      </c>
      <c r="AC106" s="1" t="s">
        <v>48</v>
      </c>
      <c r="AD106" s="1" t="s">
        <v>43</v>
      </c>
      <c r="AE106" s="8">
        <f>IF(L106&lt;&gt;"",L106*E106,0)</f>
      </c>
    </row>
    <row r="107" spans="1:31" x14ac:dyDescent="0.25">
      <c r="A107" s="4">
        <v>102</v>
      </c>
      <c r="B107" s="1" t="s">
        <v>317</v>
      </c>
      <c r="C107" s="5">
        <f>HYPERLINK("https://client.unique.diamonds/dna/11193-2","DNA")</f>
      </c>
      <c r="D107" s="1" t="s">
        <v>36</v>
      </c>
      <c r="E107" s="6">
        <v>2.01</v>
      </c>
      <c r="F107" s="1" t="s">
        <v>138</v>
      </c>
      <c r="G107" s="1" t="s">
        <v>242</v>
      </c>
      <c r="H107" s="1" t="s">
        <v>39</v>
      </c>
      <c r="I107" s="1" t="s">
        <v>39</v>
      </c>
      <c r="J107" s="1" t="s">
        <v>39</v>
      </c>
      <c r="K107" s="1" t="s">
        <v>40</v>
      </c>
      <c r="L107" s="4">
        <v>16500</v>
      </c>
      <c r="M107" s="6">
        <v>-38.75</v>
      </c>
      <c r="N107" s="7">
        <f>IF(AND(L107 &lt;&gt; "-", M107 &lt;&gt; "-"),L107*( 1 + M107%),0)</f>
      </c>
      <c r="O107" s="7">
        <f>( N107 * E107 )</f>
      </c>
      <c r="P107" s="1" t="s">
        <v>318</v>
      </c>
      <c r="Q107" s="6">
        <v>1</v>
      </c>
      <c r="R107" s="6">
        <v>61.7</v>
      </c>
      <c r="S107" s="4">
        <v>59</v>
      </c>
      <c r="T107" s="1" t="s">
        <v>42</v>
      </c>
      <c r="U107" s="5">
        <f>HYPERLINK("https://www.gia.edu/report-check?reportno=2437983529","2437983529")</f>
      </c>
      <c r="V107" s="1" t="s">
        <v>43</v>
      </c>
      <c r="W107" s="1" t="s">
        <v>319</v>
      </c>
      <c r="X107" s="1" t="s">
        <v>59</v>
      </c>
      <c r="Y107" s="1" t="s">
        <v>40</v>
      </c>
      <c r="Z107" s="1" t="s">
        <v>46</v>
      </c>
      <c r="AA107" s="1" t="s">
        <v>47</v>
      </c>
      <c r="AB107" s="1" t="s">
        <v>40</v>
      </c>
      <c r="AC107" s="1" t="s">
        <v>48</v>
      </c>
      <c r="AD107" s="1" t="s">
        <v>43</v>
      </c>
      <c r="AE107" s="8">
        <f>IF(L107&lt;&gt;"",L107*E107,0)</f>
      </c>
    </row>
    <row r="108" spans="1:31" x14ac:dyDescent="0.25">
      <c r="A108" s="4">
        <v>103</v>
      </c>
      <c r="B108" s="1" t="s">
        <v>320</v>
      </c>
      <c r="C108" s="5">
        <f>HYPERLINK("https://client.unique.diamonds/dna/21109-26","DNA")</f>
      </c>
      <c r="D108" s="1" t="s">
        <v>36</v>
      </c>
      <c r="E108" s="6">
        <v>2.22</v>
      </c>
      <c r="F108" s="1" t="s">
        <v>138</v>
      </c>
      <c r="G108" s="1" t="s">
        <v>242</v>
      </c>
      <c r="H108" s="1" t="s">
        <v>39</v>
      </c>
      <c r="I108" s="1" t="s">
        <v>39</v>
      </c>
      <c r="J108" s="1" t="s">
        <v>39</v>
      </c>
      <c r="K108" s="1" t="s">
        <v>40</v>
      </c>
      <c r="L108" s="4">
        <v>16500</v>
      </c>
      <c r="M108" s="6">
        <v>-37</v>
      </c>
      <c r="N108" s="7">
        <f>IF(AND(L108 &lt;&gt; "-", M108 &lt;&gt; "-"),L108*( 1 + M108%),0)</f>
      </c>
      <c r="O108" s="7">
        <f>( N108 * E108 )</f>
      </c>
      <c r="P108" s="1" t="s">
        <v>321</v>
      </c>
      <c r="Q108" s="6">
        <v>1</v>
      </c>
      <c r="R108" s="6">
        <v>61.6</v>
      </c>
      <c r="S108" s="4">
        <v>57</v>
      </c>
      <c r="T108" s="1" t="s">
        <v>42</v>
      </c>
      <c r="U108" s="5">
        <f>HYPERLINK("https://www.gia.edu/report-check?reportno=7468540695","7468540695")</f>
      </c>
      <c r="V108" s="1" t="s">
        <v>43</v>
      </c>
      <c r="W108" s="1" t="s">
        <v>232</v>
      </c>
      <c r="X108" s="1" t="s">
        <v>45</v>
      </c>
      <c r="Y108" s="1" t="s">
        <v>40</v>
      </c>
      <c r="Z108" s="1" t="s">
        <v>46</v>
      </c>
      <c r="AA108" s="1" t="s">
        <v>47</v>
      </c>
      <c r="AB108" s="1" t="s">
        <v>40</v>
      </c>
      <c r="AC108" s="1" t="s">
        <v>48</v>
      </c>
      <c r="AD108" s="1" t="s">
        <v>43</v>
      </c>
      <c r="AE108" s="8">
        <f>IF(L108&lt;&gt;"",L108*E108,0)</f>
      </c>
    </row>
    <row r="109" spans="1:31" x14ac:dyDescent="0.25">
      <c r="A109" s="4">
        <v>104</v>
      </c>
      <c r="B109" s="1" t="s">
        <v>322</v>
      </c>
      <c r="C109" s="5">
        <f>HYPERLINK("https://client.unique.diamonds/dna/141441-18","DNA")</f>
      </c>
      <c r="D109" s="1" t="s">
        <v>36</v>
      </c>
      <c r="E109" s="6">
        <v>2.51</v>
      </c>
      <c r="F109" s="1" t="s">
        <v>138</v>
      </c>
      <c r="G109" s="1" t="s">
        <v>242</v>
      </c>
      <c r="H109" s="1" t="s">
        <v>39</v>
      </c>
      <c r="I109" s="1" t="s">
        <v>39</v>
      </c>
      <c r="J109" s="1" t="s">
        <v>39</v>
      </c>
      <c r="K109" s="1" t="s">
        <v>40</v>
      </c>
      <c r="L109" s="4">
        <v>16500</v>
      </c>
      <c r="M109" s="6">
        <v>-33</v>
      </c>
      <c r="N109" s="7">
        <f>IF(AND(L109 &lt;&gt; "-", M109 &lt;&gt; "-"),L109*( 1 + M109%),0)</f>
      </c>
      <c r="O109" s="7">
        <f>( N109 * E109 )</f>
      </c>
      <c r="P109" s="1" t="s">
        <v>323</v>
      </c>
      <c r="Q109" s="6">
        <v>1.01</v>
      </c>
      <c r="R109" s="6">
        <v>61.2</v>
      </c>
      <c r="S109" s="4">
        <v>59</v>
      </c>
      <c r="T109" s="1" t="s">
        <v>42</v>
      </c>
      <c r="U109" s="5">
        <f>HYPERLINK("https://www.gia.edu/report-check?reportno=2418643579","2418643579")</f>
      </c>
      <c r="V109" s="1" t="s">
        <v>43</v>
      </c>
      <c r="W109" s="1" t="s">
        <v>324</v>
      </c>
      <c r="X109" s="1" t="s">
        <v>46</v>
      </c>
      <c r="Y109" s="1" t="s">
        <v>40</v>
      </c>
      <c r="Z109" s="1" t="s">
        <v>46</v>
      </c>
      <c r="AA109" s="1" t="s">
        <v>47</v>
      </c>
      <c r="AB109" s="1" t="s">
        <v>47</v>
      </c>
      <c r="AC109" s="1" t="s">
        <v>226</v>
      </c>
      <c r="AD109" s="1" t="s">
        <v>43</v>
      </c>
      <c r="AE109" s="8">
        <f>IF(L109&lt;&gt;"",L109*E109,0)</f>
      </c>
    </row>
    <row r="110" spans="1:31" x14ac:dyDescent="0.25">
      <c r="A110" s="4">
        <v>105</v>
      </c>
      <c r="B110" s="1" t="s">
        <v>325</v>
      </c>
      <c r="C110" s="5">
        <f>HYPERLINK("https://client.unique.diamonds/dna/21138-2","DNA")</f>
      </c>
      <c r="D110" s="1" t="s">
        <v>36</v>
      </c>
      <c r="E110" s="6">
        <v>2.7</v>
      </c>
      <c r="F110" s="1" t="s">
        <v>138</v>
      </c>
      <c r="G110" s="1" t="s">
        <v>242</v>
      </c>
      <c r="H110" s="1" t="s">
        <v>39</v>
      </c>
      <c r="I110" s="1" t="s">
        <v>39</v>
      </c>
      <c r="J110" s="1" t="s">
        <v>39</v>
      </c>
      <c r="K110" s="1" t="s">
        <v>40</v>
      </c>
      <c r="L110" s="4">
        <v>16500</v>
      </c>
      <c r="M110" s="6">
        <v>-24.5</v>
      </c>
      <c r="N110" s="7">
        <f>IF(AND(L110 &lt;&gt; "-", M110 &lt;&gt; "-"),L110*( 1 + M110%),0)</f>
      </c>
      <c r="O110" s="7">
        <f>( N110 * E110 )</f>
      </c>
      <c r="P110" s="1" t="s">
        <v>326</v>
      </c>
      <c r="Q110" s="6">
        <v>1.01</v>
      </c>
      <c r="R110" s="6">
        <v>62.5</v>
      </c>
      <c r="S110" s="4">
        <v>59</v>
      </c>
      <c r="T110" s="1" t="s">
        <v>42</v>
      </c>
      <c r="U110" s="5">
        <f>HYPERLINK("https://www.gia.edu/report-check?reportno=5463739059","5463739059")</f>
      </c>
      <c r="V110" s="1" t="s">
        <v>43</v>
      </c>
      <c r="W110" s="1" t="s">
        <v>167</v>
      </c>
      <c r="X110" s="1" t="s">
        <v>45</v>
      </c>
      <c r="Y110" s="1" t="s">
        <v>40</v>
      </c>
      <c r="Z110" s="1" t="s">
        <v>46</v>
      </c>
      <c r="AA110" s="1" t="s">
        <v>52</v>
      </c>
      <c r="AB110" s="1" t="s">
        <v>40</v>
      </c>
      <c r="AC110" s="1" t="s">
        <v>48</v>
      </c>
      <c r="AD110" s="1" t="s">
        <v>43</v>
      </c>
      <c r="AE110" s="8">
        <f>IF(L110&lt;&gt;"",L110*E110,0)</f>
      </c>
    </row>
    <row r="111" spans="1:31" x14ac:dyDescent="0.25">
      <c r="A111" s="4">
        <v>106</v>
      </c>
      <c r="B111" s="1" t="s">
        <v>327</v>
      </c>
      <c r="C111" s="5">
        <f>HYPERLINK("https://client.unique.diamonds/dna/21079-2","DNA")</f>
      </c>
      <c r="D111" s="1" t="s">
        <v>36</v>
      </c>
      <c r="E111" s="6">
        <v>3.01</v>
      </c>
      <c r="F111" s="1" t="s">
        <v>138</v>
      </c>
      <c r="G111" s="1" t="s">
        <v>242</v>
      </c>
      <c r="H111" s="1" t="s">
        <v>39</v>
      </c>
      <c r="I111" s="1" t="s">
        <v>39</v>
      </c>
      <c r="J111" s="1" t="s">
        <v>39</v>
      </c>
      <c r="K111" s="1" t="s">
        <v>40</v>
      </c>
      <c r="L111" s="4">
        <v>24500</v>
      </c>
      <c r="M111" s="6">
        <v>-35</v>
      </c>
      <c r="N111" s="7">
        <f>IF(AND(L111 &lt;&gt; "-", M111 &lt;&gt; "-"),L111*( 1 + M111%),0)</f>
      </c>
      <c r="O111" s="7">
        <f>( N111 * E111 )</f>
      </c>
      <c r="P111" s="1" t="s">
        <v>328</v>
      </c>
      <c r="Q111" s="6">
        <v>1.01</v>
      </c>
      <c r="R111" s="6">
        <v>61.5</v>
      </c>
      <c r="S111" s="4">
        <v>59</v>
      </c>
      <c r="T111" s="1" t="s">
        <v>42</v>
      </c>
      <c r="U111" s="5">
        <f>HYPERLINK("https://www.gia.edu/report-check?reportno=2466234926","2466234926")</f>
      </c>
      <c r="V111" s="1" t="s">
        <v>43</v>
      </c>
      <c r="W111" s="1" t="s">
        <v>278</v>
      </c>
      <c r="X111" s="1" t="s">
        <v>46</v>
      </c>
      <c r="Y111" s="1" t="s">
        <v>40</v>
      </c>
      <c r="Z111" s="1" t="s">
        <v>45</v>
      </c>
      <c r="AA111" s="1" t="s">
        <v>52</v>
      </c>
      <c r="AB111" s="1" t="s">
        <v>73</v>
      </c>
      <c r="AC111" s="1" t="s">
        <v>329</v>
      </c>
      <c r="AD111" s="1" t="s">
        <v>43</v>
      </c>
      <c r="AE111" s="8">
        <f>IF(L111&lt;&gt;"",L111*E111,0)</f>
      </c>
    </row>
    <row r="112" spans="1:31" x14ac:dyDescent="0.25">
      <c r="A112" s="4">
        <v>107</v>
      </c>
      <c r="B112" s="1" t="s">
        <v>330</v>
      </c>
      <c r="C112" s="5">
        <f>HYPERLINK("https://client.unique.diamonds/dna/11269-58","DNA")</f>
      </c>
      <c r="D112" s="1" t="s">
        <v>36</v>
      </c>
      <c r="E112" s="6">
        <v>1.5</v>
      </c>
      <c r="F112" s="1" t="s">
        <v>162</v>
      </c>
      <c r="G112" s="1" t="s">
        <v>242</v>
      </c>
      <c r="H112" s="1" t="s">
        <v>39</v>
      </c>
      <c r="I112" s="1" t="s">
        <v>39</v>
      </c>
      <c r="J112" s="1" t="s">
        <v>39</v>
      </c>
      <c r="K112" s="1" t="s">
        <v>40</v>
      </c>
      <c r="L112" s="4">
        <v>10700</v>
      </c>
      <c r="M112" s="6">
        <v>-39.12</v>
      </c>
      <c r="N112" s="7">
        <f>IF(AND(L112 &lt;&gt; "-", M112 &lt;&gt; "-"),L112*( 1 + M112%),0)</f>
      </c>
      <c r="O112" s="7">
        <f>( N112 * E112 )</f>
      </c>
      <c r="P112" s="1" t="s">
        <v>304</v>
      </c>
      <c r="Q112" s="6">
        <v>1.01</v>
      </c>
      <c r="R112" s="6">
        <v>62.5</v>
      </c>
      <c r="S112" s="4">
        <v>59</v>
      </c>
      <c r="T112" s="1" t="s">
        <v>42</v>
      </c>
      <c r="U112" s="5">
        <f>HYPERLINK("https://www.gia.edu/report-check?reportno=7448872535","7448872535")</f>
      </c>
      <c r="V112" s="1" t="s">
        <v>43</v>
      </c>
      <c r="W112" s="1" t="s">
        <v>128</v>
      </c>
      <c r="X112" s="1" t="s">
        <v>45</v>
      </c>
      <c r="Y112" s="1" t="s">
        <v>40</v>
      </c>
      <c r="Z112" s="1" t="s">
        <v>46</v>
      </c>
      <c r="AA112" s="1" t="s">
        <v>47</v>
      </c>
      <c r="AB112" s="1" t="s">
        <v>40</v>
      </c>
      <c r="AC112" s="1" t="s">
        <v>48</v>
      </c>
      <c r="AD112" s="1" t="s">
        <v>43</v>
      </c>
      <c r="AE112" s="8">
        <f>IF(L112&lt;&gt;"",L112*E112,0)</f>
      </c>
    </row>
    <row r="113" spans="1:31" x14ac:dyDescent="0.25">
      <c r="A113" s="4">
        <v>108</v>
      </c>
      <c r="B113" s="1" t="s">
        <v>331</v>
      </c>
      <c r="C113" s="5">
        <f>HYPERLINK("https://client.unique.diamonds/dna/21027-6","DNA")</f>
      </c>
      <c r="D113" s="1" t="s">
        <v>36</v>
      </c>
      <c r="E113" s="6">
        <v>1.5</v>
      </c>
      <c r="F113" s="1" t="s">
        <v>162</v>
      </c>
      <c r="G113" s="1" t="s">
        <v>242</v>
      </c>
      <c r="H113" s="1" t="s">
        <v>39</v>
      </c>
      <c r="I113" s="1" t="s">
        <v>39</v>
      </c>
      <c r="J113" s="1" t="s">
        <v>39</v>
      </c>
      <c r="K113" s="1" t="s">
        <v>40</v>
      </c>
      <c r="L113" s="4">
        <v>10700</v>
      </c>
      <c r="M113" s="6">
        <v>-38.11</v>
      </c>
      <c r="N113" s="7">
        <f>IF(AND(L113 &lt;&gt; "-", M113 &lt;&gt; "-"),L113*( 1 + M113%),0)</f>
      </c>
      <c r="O113" s="7">
        <f>( N113 * E113 )</f>
      </c>
      <c r="P113" s="1" t="s">
        <v>332</v>
      </c>
      <c r="Q113" s="6">
        <v>1.01</v>
      </c>
      <c r="R113" s="6">
        <v>62.1</v>
      </c>
      <c r="S113" s="4">
        <v>57</v>
      </c>
      <c r="T113" s="1" t="s">
        <v>42</v>
      </c>
      <c r="U113" s="5">
        <f>HYPERLINK("https://www.gia.edu/report-check?reportno=7451621142","7451621142")</f>
      </c>
      <c r="V113" s="1" t="s">
        <v>43</v>
      </c>
      <c r="W113" s="1" t="s">
        <v>297</v>
      </c>
      <c r="X113" s="1" t="s">
        <v>45</v>
      </c>
      <c r="Y113" s="1" t="s">
        <v>40</v>
      </c>
      <c r="Z113" s="1" t="s">
        <v>46</v>
      </c>
      <c r="AA113" s="1" t="s">
        <v>47</v>
      </c>
      <c r="AB113" s="1" t="s">
        <v>40</v>
      </c>
      <c r="AC113" s="1" t="s">
        <v>48</v>
      </c>
      <c r="AD113" s="1" t="s">
        <v>43</v>
      </c>
      <c r="AE113" s="8">
        <f>IF(L113&lt;&gt;"",L113*E113,0)</f>
      </c>
    </row>
    <row r="114" spans="1:31" x14ac:dyDescent="0.25">
      <c r="A114" s="4">
        <v>109</v>
      </c>
      <c r="B114" s="1" t="s">
        <v>333</v>
      </c>
      <c r="C114" s="5">
        <f>HYPERLINK("https://client.unique.diamonds/dna/161-44","DNA")</f>
      </c>
      <c r="D114" s="1" t="s">
        <v>36</v>
      </c>
      <c r="E114" s="6">
        <v>1.5</v>
      </c>
      <c r="F114" s="1" t="s">
        <v>162</v>
      </c>
      <c r="G114" s="1" t="s">
        <v>242</v>
      </c>
      <c r="H114" s="1" t="s">
        <v>39</v>
      </c>
      <c r="I114" s="1" t="s">
        <v>39</v>
      </c>
      <c r="J114" s="1" t="s">
        <v>39</v>
      </c>
      <c r="K114" s="1" t="s">
        <v>40</v>
      </c>
      <c r="L114" s="4">
        <v>10700</v>
      </c>
      <c r="M114" s="6">
        <v>-38.61</v>
      </c>
      <c r="N114" s="7">
        <f>IF(AND(L114 &lt;&gt; "-", M114 &lt;&gt; "-"),L114*( 1 + M114%),0)</f>
      </c>
      <c r="O114" s="7">
        <f>( N114 * E114 )</f>
      </c>
      <c r="P114" s="1" t="s">
        <v>334</v>
      </c>
      <c r="Q114" s="6">
        <v>1.01</v>
      </c>
      <c r="R114" s="6">
        <v>60.7</v>
      </c>
      <c r="S114" s="4">
        <v>61</v>
      </c>
      <c r="T114" s="1" t="s">
        <v>42</v>
      </c>
      <c r="U114" s="5">
        <f>HYPERLINK("https://www.gia.edu/report-check?reportno=7436069457","7436069457")</f>
      </c>
      <c r="V114" s="1" t="s">
        <v>43</v>
      </c>
      <c r="W114" s="1" t="s">
        <v>282</v>
      </c>
      <c r="X114" s="1" t="s">
        <v>46</v>
      </c>
      <c r="Y114" s="1" t="s">
        <v>40</v>
      </c>
      <c r="Z114" s="1" t="s">
        <v>45</v>
      </c>
      <c r="AA114" s="1" t="s">
        <v>40</v>
      </c>
      <c r="AB114" s="1" t="s">
        <v>40</v>
      </c>
      <c r="AC114" s="1" t="s">
        <v>48</v>
      </c>
      <c r="AD114" s="1" t="s">
        <v>43</v>
      </c>
      <c r="AE114" s="8">
        <f>IF(L114&lt;&gt;"",L114*E114,0)</f>
      </c>
    </row>
    <row r="115" spans="1:31" x14ac:dyDescent="0.25">
      <c r="A115" s="4">
        <v>110</v>
      </c>
      <c r="B115" s="1" t="s">
        <v>335</v>
      </c>
      <c r="C115" s="5">
        <f>HYPERLINK("https://client.unique.diamonds/dna/21141-33","DNA")</f>
      </c>
      <c r="D115" s="1" t="s">
        <v>36</v>
      </c>
      <c r="E115" s="6">
        <v>1.5</v>
      </c>
      <c r="F115" s="1" t="s">
        <v>162</v>
      </c>
      <c r="G115" s="1" t="s">
        <v>242</v>
      </c>
      <c r="H115" s="1" t="s">
        <v>39</v>
      </c>
      <c r="I115" s="1" t="s">
        <v>39</v>
      </c>
      <c r="J115" s="1" t="s">
        <v>39</v>
      </c>
      <c r="K115" s="1" t="s">
        <v>40</v>
      </c>
      <c r="L115" s="4">
        <v>10700</v>
      </c>
      <c r="M115" s="6">
        <v>-37</v>
      </c>
      <c r="N115" s="7">
        <f>IF(AND(L115 &lt;&gt; "-", M115 &lt;&gt; "-"),L115*( 1 + M115%),0)</f>
      </c>
      <c r="O115" s="7">
        <f>( N115 * E115 )</f>
      </c>
      <c r="P115" s="1" t="s">
        <v>336</v>
      </c>
      <c r="Q115" s="6">
        <v>1</v>
      </c>
      <c r="R115" s="6">
        <v>62.4</v>
      </c>
      <c r="S115" s="4">
        <v>57</v>
      </c>
      <c r="T115" s="1" t="s">
        <v>42</v>
      </c>
      <c r="U115" s="5">
        <f>HYPERLINK("https://www.gia.edu/report-check?reportno=7466747427","7466747427")</f>
      </c>
      <c r="V115" s="1" t="s">
        <v>43</v>
      </c>
      <c r="W115" s="1" t="s">
        <v>85</v>
      </c>
      <c r="X115" s="1" t="s">
        <v>46</v>
      </c>
      <c r="Y115" s="1" t="s">
        <v>40</v>
      </c>
      <c r="Z115" s="1" t="s">
        <v>46</v>
      </c>
      <c r="AA115" s="1" t="s">
        <v>52</v>
      </c>
      <c r="AB115" s="1" t="s">
        <v>40</v>
      </c>
      <c r="AC115" s="1" t="s">
        <v>48</v>
      </c>
      <c r="AD115" s="1" t="s">
        <v>43</v>
      </c>
      <c r="AE115" s="8">
        <f>IF(L115&lt;&gt;"",L115*E115,0)</f>
      </c>
    </row>
    <row r="116" spans="1:31" x14ac:dyDescent="0.25">
      <c r="A116" s="4">
        <v>111</v>
      </c>
      <c r="B116" s="1" t="s">
        <v>337</v>
      </c>
      <c r="C116" s="5">
        <f>HYPERLINK("https://client.unique.diamonds/dna/163-233","DNA")</f>
      </c>
      <c r="D116" s="1" t="s">
        <v>36</v>
      </c>
      <c r="E116" s="6">
        <v>1.58</v>
      </c>
      <c r="F116" s="1" t="s">
        <v>162</v>
      </c>
      <c r="G116" s="1" t="s">
        <v>242</v>
      </c>
      <c r="H116" s="1" t="s">
        <v>39</v>
      </c>
      <c r="I116" s="1" t="s">
        <v>39</v>
      </c>
      <c r="J116" s="1" t="s">
        <v>39</v>
      </c>
      <c r="K116" s="1" t="s">
        <v>40</v>
      </c>
      <c r="L116" s="4">
        <v>10700</v>
      </c>
      <c r="M116" s="6">
        <v>-37.59</v>
      </c>
      <c r="N116" s="7">
        <f>IF(AND(L116 &lt;&gt; "-", M116 &lt;&gt; "-"),L116*( 1 + M116%),0)</f>
      </c>
      <c r="O116" s="7">
        <f>( N116 * E116 )</f>
      </c>
      <c r="P116" s="1" t="s">
        <v>338</v>
      </c>
      <c r="Q116" s="6">
        <v>1.01</v>
      </c>
      <c r="R116" s="6">
        <v>62.5</v>
      </c>
      <c r="S116" s="4">
        <v>57</v>
      </c>
      <c r="T116" s="1" t="s">
        <v>42</v>
      </c>
      <c r="U116" s="5">
        <f>HYPERLINK("https://www.gia.edu/report-check?reportno=2447898719","2447898719")</f>
      </c>
      <c r="V116" s="1" t="s">
        <v>43</v>
      </c>
      <c r="W116" s="1" t="s">
        <v>67</v>
      </c>
      <c r="X116" s="1" t="s">
        <v>59</v>
      </c>
      <c r="Y116" s="1" t="s">
        <v>40</v>
      </c>
      <c r="Z116" s="1" t="s">
        <v>46</v>
      </c>
      <c r="AA116" s="1" t="s">
        <v>52</v>
      </c>
      <c r="AB116" s="1" t="s">
        <v>40</v>
      </c>
      <c r="AC116" s="1" t="s">
        <v>48</v>
      </c>
      <c r="AD116" s="1" t="s">
        <v>43</v>
      </c>
      <c r="AE116" s="8">
        <f>IF(L116&lt;&gt;"",L116*E116,0)</f>
      </c>
    </row>
    <row r="117" spans="1:31" x14ac:dyDescent="0.25">
      <c r="A117" s="4">
        <v>112</v>
      </c>
      <c r="B117" s="1" t="s">
        <v>339</v>
      </c>
      <c r="C117" s="5">
        <f>HYPERLINK("https://client.unique.diamonds/dna/161-70","DNA")</f>
      </c>
      <c r="D117" s="1" t="s">
        <v>36</v>
      </c>
      <c r="E117" s="6">
        <v>1.67</v>
      </c>
      <c r="F117" s="1" t="s">
        <v>162</v>
      </c>
      <c r="G117" s="1" t="s">
        <v>242</v>
      </c>
      <c r="H117" s="1" t="s">
        <v>39</v>
      </c>
      <c r="I117" s="1" t="s">
        <v>39</v>
      </c>
      <c r="J117" s="1" t="s">
        <v>39</v>
      </c>
      <c r="K117" s="1" t="s">
        <v>90</v>
      </c>
      <c r="L117" s="4">
        <v>10700</v>
      </c>
      <c r="M117" s="6">
        <v>-41.89</v>
      </c>
      <c r="N117" s="7">
        <f>IF(AND(L117 &lt;&gt; "-", M117 &lt;&gt; "-"),L117*( 1 + M117%),0)</f>
      </c>
      <c r="O117" s="7">
        <f>( N117 * E117 )</f>
      </c>
      <c r="P117" s="1" t="s">
        <v>340</v>
      </c>
      <c r="Q117" s="6">
        <v>1.01</v>
      </c>
      <c r="R117" s="6">
        <v>62.3</v>
      </c>
      <c r="S117" s="4">
        <v>60</v>
      </c>
      <c r="T117" s="1" t="s">
        <v>42</v>
      </c>
      <c r="U117" s="5">
        <f>HYPERLINK("https://www.gia.edu/report-check?reportno=6435965654","6435965654")</f>
      </c>
      <c r="V117" s="1" t="s">
        <v>43</v>
      </c>
      <c r="W117" s="1" t="s">
        <v>341</v>
      </c>
      <c r="X117" s="1" t="s">
        <v>45</v>
      </c>
      <c r="Y117" s="1" t="s">
        <v>40</v>
      </c>
      <c r="Z117" s="1" t="s">
        <v>45</v>
      </c>
      <c r="AA117" s="1" t="s">
        <v>40</v>
      </c>
      <c r="AB117" s="1" t="s">
        <v>47</v>
      </c>
      <c r="AC117" s="1" t="s">
        <v>48</v>
      </c>
      <c r="AD117" s="1" t="s">
        <v>43</v>
      </c>
      <c r="AE117" s="8">
        <f>IF(L117&lt;&gt;"",L117*E117,0)</f>
      </c>
    </row>
    <row r="118" spans="1:31" x14ac:dyDescent="0.25">
      <c r="A118" s="4">
        <v>113</v>
      </c>
      <c r="B118" s="1" t="s">
        <v>342</v>
      </c>
      <c r="C118" s="5">
        <f>HYPERLINK("https://client.unique.diamonds/dna/21121-22","DNA")</f>
      </c>
      <c r="D118" s="1" t="s">
        <v>36</v>
      </c>
      <c r="E118" s="6">
        <v>1.8</v>
      </c>
      <c r="F118" s="1" t="s">
        <v>162</v>
      </c>
      <c r="G118" s="1" t="s">
        <v>242</v>
      </c>
      <c r="H118" s="1" t="s">
        <v>39</v>
      </c>
      <c r="I118" s="1" t="s">
        <v>39</v>
      </c>
      <c r="J118" s="1" t="s">
        <v>39</v>
      </c>
      <c r="K118" s="1" t="s">
        <v>40</v>
      </c>
      <c r="L118" s="4">
        <v>10700</v>
      </c>
      <c r="M118" s="6">
        <v>-28</v>
      </c>
      <c r="N118" s="7">
        <f>IF(AND(L118 &lt;&gt; "-", M118 &lt;&gt; "-"),L118*( 1 + M118%),0)</f>
      </c>
      <c r="O118" s="7">
        <f>( N118 * E118 )</f>
      </c>
      <c r="P118" s="1" t="s">
        <v>343</v>
      </c>
      <c r="Q118" s="6">
        <v>1.01</v>
      </c>
      <c r="R118" s="6">
        <v>62.7</v>
      </c>
      <c r="S118" s="4">
        <v>58</v>
      </c>
      <c r="T118" s="1" t="s">
        <v>42</v>
      </c>
      <c r="U118" s="5">
        <f>HYPERLINK("https://www.gia.edu/report-check?reportno=2468694930","2468694930")</f>
      </c>
      <c r="V118" s="1" t="s">
        <v>43</v>
      </c>
      <c r="W118" s="1" t="s">
        <v>58</v>
      </c>
      <c r="X118" s="1" t="s">
        <v>59</v>
      </c>
      <c r="Y118" s="1" t="s">
        <v>40</v>
      </c>
      <c r="Z118" s="1" t="s">
        <v>45</v>
      </c>
      <c r="AA118" s="1" t="s">
        <v>47</v>
      </c>
      <c r="AB118" s="1" t="s">
        <v>40</v>
      </c>
      <c r="AC118" s="1" t="s">
        <v>48</v>
      </c>
      <c r="AD118" s="1" t="s">
        <v>43</v>
      </c>
      <c r="AE118" s="8">
        <f>IF(L118&lt;&gt;"",L118*E118,0)</f>
      </c>
    </row>
    <row r="119" spans="1:31" x14ac:dyDescent="0.25">
      <c r="A119" s="4">
        <v>114</v>
      </c>
      <c r="B119" s="1" t="s">
        <v>344</v>
      </c>
      <c r="C119" s="5">
        <f>HYPERLINK("https://client.unique.diamonds/dna/11241-208","DNA")</f>
      </c>
      <c r="D119" s="1" t="s">
        <v>36</v>
      </c>
      <c r="E119" s="6">
        <v>2.01</v>
      </c>
      <c r="F119" s="1" t="s">
        <v>162</v>
      </c>
      <c r="G119" s="1" t="s">
        <v>242</v>
      </c>
      <c r="H119" s="1" t="s">
        <v>39</v>
      </c>
      <c r="I119" s="1" t="s">
        <v>39</v>
      </c>
      <c r="J119" s="1" t="s">
        <v>39</v>
      </c>
      <c r="K119" s="1" t="s">
        <v>40</v>
      </c>
      <c r="L119" s="4">
        <v>14500</v>
      </c>
      <c r="M119" s="6">
        <v>-38.16</v>
      </c>
      <c r="N119" s="7">
        <f>IF(AND(L119 &lt;&gt; "-", M119 &lt;&gt; "-"),L119*( 1 + M119%),0)</f>
      </c>
      <c r="O119" s="7">
        <f>( N119 * E119 )</f>
      </c>
      <c r="P119" s="1" t="s">
        <v>345</v>
      </c>
      <c r="Q119" s="6">
        <v>1</v>
      </c>
      <c r="R119" s="6">
        <v>61.2</v>
      </c>
      <c r="S119" s="4">
        <v>62</v>
      </c>
      <c r="T119" s="1" t="s">
        <v>42</v>
      </c>
      <c r="U119" s="5">
        <f>HYPERLINK("https://www.gia.edu/report-check?reportno=2447697777","2447697777")</f>
      </c>
      <c r="V119" s="1" t="s">
        <v>43</v>
      </c>
      <c r="W119" s="1" t="s">
        <v>346</v>
      </c>
      <c r="X119" s="1" t="s">
        <v>45</v>
      </c>
      <c r="Y119" s="1" t="s">
        <v>40</v>
      </c>
      <c r="Z119" s="1" t="s">
        <v>45</v>
      </c>
      <c r="AA119" s="1" t="s">
        <v>52</v>
      </c>
      <c r="AB119" s="1" t="s">
        <v>47</v>
      </c>
      <c r="AC119" s="1" t="s">
        <v>48</v>
      </c>
      <c r="AD119" s="1" t="s">
        <v>43</v>
      </c>
      <c r="AE119" s="8">
        <f>IF(L119&lt;&gt;"",L119*E119,0)</f>
      </c>
    </row>
    <row r="120" spans="1:31" x14ac:dyDescent="0.25">
      <c r="A120" s="4">
        <v>115</v>
      </c>
      <c r="B120" s="1" t="s">
        <v>347</v>
      </c>
      <c r="C120" s="5">
        <f>HYPERLINK("https://client.unique.diamonds/dna/11204-38","DNA")</f>
      </c>
      <c r="D120" s="1" t="s">
        <v>36</v>
      </c>
      <c r="E120" s="6">
        <v>2.01</v>
      </c>
      <c r="F120" s="1" t="s">
        <v>162</v>
      </c>
      <c r="G120" s="1" t="s">
        <v>242</v>
      </c>
      <c r="H120" s="1" t="s">
        <v>39</v>
      </c>
      <c r="I120" s="1" t="s">
        <v>39</v>
      </c>
      <c r="J120" s="1" t="s">
        <v>39</v>
      </c>
      <c r="K120" s="1" t="s">
        <v>40</v>
      </c>
      <c r="L120" s="4">
        <v>14500</v>
      </c>
      <c r="M120" s="6">
        <v>-38.25</v>
      </c>
      <c r="N120" s="7">
        <f>IF(AND(L120 &lt;&gt; "-", M120 &lt;&gt; "-"),L120*( 1 + M120%),0)</f>
      </c>
      <c r="O120" s="7">
        <f>( N120 * E120 )</f>
      </c>
      <c r="P120" s="1" t="s">
        <v>348</v>
      </c>
      <c r="Q120" s="6">
        <v>1</v>
      </c>
      <c r="R120" s="6">
        <v>60.2</v>
      </c>
      <c r="S120" s="4">
        <v>58</v>
      </c>
      <c r="T120" s="1" t="s">
        <v>42</v>
      </c>
      <c r="U120" s="5">
        <f>HYPERLINK("https://www.gia.edu/report-check?reportno=2448316776","2448316776")</f>
      </c>
      <c r="V120" s="1" t="s">
        <v>43</v>
      </c>
      <c r="W120" s="1" t="s">
        <v>128</v>
      </c>
      <c r="X120" s="1" t="s">
        <v>46</v>
      </c>
      <c r="Y120" s="1" t="s">
        <v>40</v>
      </c>
      <c r="Z120" s="1" t="s">
        <v>45</v>
      </c>
      <c r="AA120" s="1" t="s">
        <v>47</v>
      </c>
      <c r="AB120" s="1" t="s">
        <v>73</v>
      </c>
      <c r="AC120" s="1" t="s">
        <v>48</v>
      </c>
      <c r="AD120" s="1" t="s">
        <v>43</v>
      </c>
      <c r="AE120" s="8">
        <f>IF(L120&lt;&gt;"",L120*E120,0)</f>
      </c>
    </row>
    <row r="121" spans="1:31" x14ac:dyDescent="0.25">
      <c r="A121" s="4">
        <v>116</v>
      </c>
      <c r="B121" s="1" t="s">
        <v>349</v>
      </c>
      <c r="C121" s="5">
        <f>HYPERLINK("https://client.unique.diamonds/dna/21149-5","DNA")</f>
      </c>
      <c r="D121" s="1" t="s">
        <v>36</v>
      </c>
      <c r="E121" s="6">
        <v>2.03</v>
      </c>
      <c r="F121" s="1" t="s">
        <v>162</v>
      </c>
      <c r="G121" s="1" t="s">
        <v>242</v>
      </c>
      <c r="H121" s="1" t="s">
        <v>39</v>
      </c>
      <c r="I121" s="1" t="s">
        <v>39</v>
      </c>
      <c r="J121" s="1" t="s">
        <v>39</v>
      </c>
      <c r="K121" s="1" t="s">
        <v>40</v>
      </c>
      <c r="L121" s="4">
        <v>14500</v>
      </c>
      <c r="M121" s="6">
        <v>-37</v>
      </c>
      <c r="N121" s="7">
        <f>IF(AND(L121 &lt;&gt; "-", M121 &lt;&gt; "-"),L121*( 1 + M121%),0)</f>
      </c>
      <c r="O121" s="7">
        <f>( N121 * E121 )</f>
      </c>
      <c r="P121" s="1" t="s">
        <v>350</v>
      </c>
      <c r="Q121" s="6">
        <v>1</v>
      </c>
      <c r="R121" s="6">
        <v>62.2</v>
      </c>
      <c r="S121" s="4">
        <v>58</v>
      </c>
      <c r="T121" s="1" t="s">
        <v>42</v>
      </c>
      <c r="U121" s="5">
        <f>HYPERLINK("https://www.gia.edu/report-check?reportno=7468749914","7468749914")</f>
      </c>
      <c r="V121" s="1" t="s">
        <v>43</v>
      </c>
      <c r="W121" s="1" t="s">
        <v>178</v>
      </c>
      <c r="X121" s="1" t="s">
        <v>45</v>
      </c>
      <c r="Y121" s="1" t="s">
        <v>40</v>
      </c>
      <c r="Z121" s="1" t="s">
        <v>45</v>
      </c>
      <c r="AA121" s="1" t="s">
        <v>52</v>
      </c>
      <c r="AB121" s="1" t="s">
        <v>73</v>
      </c>
      <c r="AC121" s="1" t="s">
        <v>48</v>
      </c>
      <c r="AD121" s="1" t="s">
        <v>43</v>
      </c>
      <c r="AE121" s="8">
        <f>IF(L121&lt;&gt;"",L121*E121,0)</f>
      </c>
    </row>
    <row r="122" spans="1:31" x14ac:dyDescent="0.25">
      <c r="A122" s="4">
        <v>117</v>
      </c>
      <c r="B122" s="1" t="s">
        <v>351</v>
      </c>
      <c r="C122" s="5">
        <f>HYPERLINK("https://client.unique.diamonds/dna/11274-5","DNA")</f>
      </c>
      <c r="D122" s="1" t="s">
        <v>36</v>
      </c>
      <c r="E122" s="6">
        <v>2.15</v>
      </c>
      <c r="F122" s="1" t="s">
        <v>162</v>
      </c>
      <c r="G122" s="1" t="s">
        <v>242</v>
      </c>
      <c r="H122" s="1" t="s">
        <v>39</v>
      </c>
      <c r="I122" s="1" t="s">
        <v>39</v>
      </c>
      <c r="J122" s="1" t="s">
        <v>39</v>
      </c>
      <c r="K122" s="1" t="s">
        <v>90</v>
      </c>
      <c r="L122" s="4">
        <v>14500</v>
      </c>
      <c r="M122" s="6">
        <v>-44.49</v>
      </c>
      <c r="N122" s="7">
        <f>IF(AND(L122 &lt;&gt; "-", M122 &lt;&gt; "-"),L122*( 1 + M122%),0)</f>
      </c>
      <c r="O122" s="7">
        <f>( N122 * E122 )</f>
      </c>
      <c r="P122" s="1" t="s">
        <v>352</v>
      </c>
      <c r="Q122" s="6">
        <v>1.01</v>
      </c>
      <c r="R122" s="6">
        <v>62.8</v>
      </c>
      <c r="S122" s="4">
        <v>59</v>
      </c>
      <c r="T122" s="1" t="s">
        <v>42</v>
      </c>
      <c r="U122" s="5">
        <f>HYPERLINK("https://www.gia.edu/report-check?reportno=2447857458","2447857458")</f>
      </c>
      <c r="V122" s="1" t="s">
        <v>43</v>
      </c>
      <c r="W122" s="1" t="s">
        <v>193</v>
      </c>
      <c r="X122" s="1" t="s">
        <v>45</v>
      </c>
      <c r="Y122" s="1" t="s">
        <v>40</v>
      </c>
      <c r="Z122" s="1" t="s">
        <v>45</v>
      </c>
      <c r="AA122" s="1" t="s">
        <v>47</v>
      </c>
      <c r="AB122" s="1" t="s">
        <v>47</v>
      </c>
      <c r="AC122" s="1" t="s">
        <v>48</v>
      </c>
      <c r="AD122" s="1" t="s">
        <v>43</v>
      </c>
      <c r="AE122" s="8">
        <f>IF(L122&lt;&gt;"",L122*E122,0)</f>
      </c>
    </row>
    <row r="123" spans="1:31" x14ac:dyDescent="0.25">
      <c r="A123" s="4">
        <v>118</v>
      </c>
      <c r="B123" s="1" t="s">
        <v>353</v>
      </c>
      <c r="C123" s="5">
        <f>HYPERLINK("https://client.unique.diamonds/dna/11193-69","DNA")</f>
      </c>
      <c r="D123" s="1" t="s">
        <v>36</v>
      </c>
      <c r="E123" s="6">
        <v>2.7</v>
      </c>
      <c r="F123" s="1" t="s">
        <v>162</v>
      </c>
      <c r="G123" s="1" t="s">
        <v>242</v>
      </c>
      <c r="H123" s="1" t="s">
        <v>39</v>
      </c>
      <c r="I123" s="1" t="s">
        <v>39</v>
      </c>
      <c r="J123" s="1" t="s">
        <v>39</v>
      </c>
      <c r="K123" s="1" t="s">
        <v>90</v>
      </c>
      <c r="L123" s="4">
        <v>14500</v>
      </c>
      <c r="M123" s="6">
        <v>-31.5</v>
      </c>
      <c r="N123" s="7">
        <f>IF(AND(L123 &lt;&gt; "-", M123 &lt;&gt; "-"),L123*( 1 + M123%),0)</f>
      </c>
      <c r="O123" s="7">
        <f>( N123 * E123 )</f>
      </c>
      <c r="P123" s="1" t="s">
        <v>354</v>
      </c>
      <c r="Q123" s="6">
        <v>1.01</v>
      </c>
      <c r="R123" s="6">
        <v>62.6</v>
      </c>
      <c r="S123" s="4">
        <v>58</v>
      </c>
      <c r="T123" s="1" t="s">
        <v>42</v>
      </c>
      <c r="U123" s="5">
        <f>HYPERLINK("https://www.gia.edu/report-check?reportno=2444157634","2444157634")</f>
      </c>
      <c r="V123" s="1" t="s">
        <v>43</v>
      </c>
      <c r="W123" s="1" t="s">
        <v>67</v>
      </c>
      <c r="X123" s="1" t="s">
        <v>59</v>
      </c>
      <c r="Y123" s="1" t="s">
        <v>40</v>
      </c>
      <c r="Z123" s="1" t="s">
        <v>46</v>
      </c>
      <c r="AA123" s="1" t="s">
        <v>47</v>
      </c>
      <c r="AB123" s="1" t="s">
        <v>40</v>
      </c>
      <c r="AC123" s="1" t="s">
        <v>48</v>
      </c>
      <c r="AD123" s="1" t="s">
        <v>43</v>
      </c>
      <c r="AE123" s="8">
        <f>IF(L123&lt;&gt;"",L123*E123,0)</f>
      </c>
    </row>
    <row r="124" spans="1:31" x14ac:dyDescent="0.25">
      <c r="A124" s="4">
        <v>119</v>
      </c>
      <c r="B124" s="1" t="s">
        <v>355</v>
      </c>
      <c r="C124" s="5">
        <f>HYPERLINK("https://client.unique.diamonds/dna/21109-15","DNA")</f>
      </c>
      <c r="D124" s="1" t="s">
        <v>36</v>
      </c>
      <c r="E124" s="6">
        <v>4.02</v>
      </c>
      <c r="F124" s="1" t="s">
        <v>162</v>
      </c>
      <c r="G124" s="1" t="s">
        <v>242</v>
      </c>
      <c r="H124" s="1" t="s">
        <v>39</v>
      </c>
      <c r="I124" s="1" t="s">
        <v>39</v>
      </c>
      <c r="J124" s="1" t="s">
        <v>39</v>
      </c>
      <c r="K124" s="1" t="s">
        <v>40</v>
      </c>
      <c r="L124" s="4">
        <v>27000</v>
      </c>
      <c r="M124" s="6">
        <v>-32.5</v>
      </c>
      <c r="N124" s="7">
        <f>IF(AND(L124 &lt;&gt; "-", M124 &lt;&gt; "-"),L124*( 1 + M124%),0)</f>
      </c>
      <c r="O124" s="7">
        <f>( N124 * E124 )</f>
      </c>
      <c r="P124" s="1" t="s">
        <v>356</v>
      </c>
      <c r="Q124" s="6">
        <v>1.01</v>
      </c>
      <c r="R124" s="6">
        <v>62.5</v>
      </c>
      <c r="S124" s="4">
        <v>59</v>
      </c>
      <c r="T124" s="1" t="s">
        <v>42</v>
      </c>
      <c r="U124" s="5">
        <f>HYPERLINK("https://www.gia.edu/report-check?reportno=2221930023","2221930023")</f>
      </c>
      <c r="V124" s="1" t="s">
        <v>43</v>
      </c>
      <c r="W124" s="1" t="s">
        <v>85</v>
      </c>
      <c r="X124" s="1" t="s">
        <v>45</v>
      </c>
      <c r="Y124" s="1" t="s">
        <v>40</v>
      </c>
      <c r="Z124" s="1" t="s">
        <v>357</v>
      </c>
      <c r="AA124" s="1" t="s">
        <v>40</v>
      </c>
      <c r="AB124" s="1" t="s">
        <v>40</v>
      </c>
      <c r="AC124" s="1" t="s">
        <v>48</v>
      </c>
      <c r="AD124" s="1" t="s">
        <v>43</v>
      </c>
      <c r="AE124" s="8">
        <f>IF(L124&lt;&gt;"",L124*E124,0)</f>
      </c>
    </row>
    <row r="125" spans="1:31" x14ac:dyDescent="0.25">
      <c r="A125" s="4">
        <v>120</v>
      </c>
      <c r="B125" s="1" t="s">
        <v>358</v>
      </c>
      <c r="C125" s="5">
        <f>HYPERLINK("https://client.unique.diamonds/dna/11275-14","DNA")</f>
      </c>
      <c r="D125" s="1" t="s">
        <v>36</v>
      </c>
      <c r="E125" s="6">
        <v>1.5</v>
      </c>
      <c r="F125" s="1" t="s">
        <v>176</v>
      </c>
      <c r="G125" s="1" t="s">
        <v>242</v>
      </c>
      <c r="H125" s="1" t="s">
        <v>39</v>
      </c>
      <c r="I125" s="1" t="s">
        <v>39</v>
      </c>
      <c r="J125" s="1" t="s">
        <v>39</v>
      </c>
      <c r="K125" s="1" t="s">
        <v>40</v>
      </c>
      <c r="L125" s="4">
        <v>9000</v>
      </c>
      <c r="M125" s="6">
        <v>-39.97</v>
      </c>
      <c r="N125" s="7">
        <f>IF(AND(L125 &lt;&gt; "-", M125 &lt;&gt; "-"),L125*( 1 + M125%),0)</f>
      </c>
      <c r="O125" s="7">
        <f>( N125 * E125 )</f>
      </c>
      <c r="P125" s="1" t="s">
        <v>359</v>
      </c>
      <c r="Q125" s="6">
        <v>1.01</v>
      </c>
      <c r="R125" s="6">
        <v>59.7</v>
      </c>
      <c r="S125" s="4">
        <v>59</v>
      </c>
      <c r="T125" s="1" t="s">
        <v>42</v>
      </c>
      <c r="U125" s="5">
        <f>HYPERLINK("https://www.gia.edu/report-check?reportno=2447912658","2447912658")</f>
      </c>
      <c r="V125" s="1" t="s">
        <v>43</v>
      </c>
      <c r="W125" s="1" t="s">
        <v>128</v>
      </c>
      <c r="X125" s="1" t="s">
        <v>46</v>
      </c>
      <c r="Y125" s="1" t="s">
        <v>40</v>
      </c>
      <c r="Z125" s="1" t="s">
        <v>45</v>
      </c>
      <c r="AA125" s="1" t="s">
        <v>47</v>
      </c>
      <c r="AB125" s="1" t="s">
        <v>73</v>
      </c>
      <c r="AC125" s="1" t="s">
        <v>226</v>
      </c>
      <c r="AD125" s="1" t="s">
        <v>43</v>
      </c>
      <c r="AE125" s="8">
        <f>IF(L125&lt;&gt;"",L125*E125,0)</f>
      </c>
    </row>
    <row r="126" spans="1:31" x14ac:dyDescent="0.25">
      <c r="A126" s="4">
        <v>121</v>
      </c>
      <c r="B126" s="1" t="s">
        <v>360</v>
      </c>
      <c r="C126" s="5">
        <f>HYPERLINK("https://client.unique.diamonds/dna/21106-37","DNA")</f>
      </c>
      <c r="D126" s="1" t="s">
        <v>36</v>
      </c>
      <c r="E126" s="6">
        <v>1.5</v>
      </c>
      <c r="F126" s="1" t="s">
        <v>176</v>
      </c>
      <c r="G126" s="1" t="s">
        <v>242</v>
      </c>
      <c r="H126" s="1" t="s">
        <v>39</v>
      </c>
      <c r="I126" s="1" t="s">
        <v>39</v>
      </c>
      <c r="J126" s="1" t="s">
        <v>39</v>
      </c>
      <c r="K126" s="1" t="s">
        <v>40</v>
      </c>
      <c r="L126" s="4">
        <v>9000</v>
      </c>
      <c r="M126" s="6">
        <v>-39.5</v>
      </c>
      <c r="N126" s="7">
        <f>IF(AND(L126 &lt;&gt; "-", M126 &lt;&gt; "-"),L126*( 1 + M126%),0)</f>
      </c>
      <c r="O126" s="7">
        <f>( N126 * E126 )</f>
      </c>
      <c r="P126" s="1" t="s">
        <v>361</v>
      </c>
      <c r="Q126" s="6">
        <v>1.01</v>
      </c>
      <c r="R126" s="6">
        <v>62.2</v>
      </c>
      <c r="S126" s="4">
        <v>59</v>
      </c>
      <c r="T126" s="1" t="s">
        <v>42</v>
      </c>
      <c r="U126" s="5">
        <f>HYPERLINK("https://www.gia.edu/report-check?reportno=6465484900","6465484900")</f>
      </c>
      <c r="V126" s="1" t="s">
        <v>43</v>
      </c>
      <c r="W126" s="1" t="s">
        <v>67</v>
      </c>
      <c r="X126" s="1" t="s">
        <v>46</v>
      </c>
      <c r="Y126" s="1" t="s">
        <v>40</v>
      </c>
      <c r="Z126" s="1" t="s">
        <v>46</v>
      </c>
      <c r="AA126" s="1" t="s">
        <v>47</v>
      </c>
      <c r="AB126" s="1" t="s">
        <v>40</v>
      </c>
      <c r="AC126" s="1" t="s">
        <v>48</v>
      </c>
      <c r="AD126" s="1" t="s">
        <v>43</v>
      </c>
      <c r="AE126" s="8">
        <f>IF(L126&lt;&gt;"",L126*E126,0)</f>
      </c>
    </row>
    <row r="127" spans="1:31" x14ac:dyDescent="0.25">
      <c r="A127" s="4">
        <v>122</v>
      </c>
      <c r="B127" s="1" t="s">
        <v>362</v>
      </c>
      <c r="C127" s="5">
        <f>HYPERLINK("https://client.unique.diamonds/dna/11060-4","DNA")</f>
      </c>
      <c r="D127" s="1" t="s">
        <v>36</v>
      </c>
      <c r="E127" s="6">
        <v>1.5</v>
      </c>
      <c r="F127" s="1" t="s">
        <v>176</v>
      </c>
      <c r="G127" s="1" t="s">
        <v>242</v>
      </c>
      <c r="H127" s="1" t="s">
        <v>39</v>
      </c>
      <c r="I127" s="1" t="s">
        <v>39</v>
      </c>
      <c r="J127" s="1" t="s">
        <v>39</v>
      </c>
      <c r="K127" s="1" t="s">
        <v>90</v>
      </c>
      <c r="L127" s="4">
        <v>9000</v>
      </c>
      <c r="M127" s="6">
        <v>-44.5</v>
      </c>
      <c r="N127" s="7">
        <f>IF(AND(L127 &lt;&gt; "-", M127 &lt;&gt; "-"),L127*( 1 + M127%),0)</f>
      </c>
      <c r="O127" s="7">
        <f>( N127 * E127 )</f>
      </c>
      <c r="P127" s="1" t="s">
        <v>363</v>
      </c>
      <c r="Q127" s="6">
        <v>1.01</v>
      </c>
      <c r="R127" s="6">
        <v>61</v>
      </c>
      <c r="S127" s="4">
        <v>62</v>
      </c>
      <c r="T127" s="1" t="s">
        <v>42</v>
      </c>
      <c r="U127" s="5">
        <f>HYPERLINK("https://www.gia.edu/report-check?reportno=2427464696","2427464696")</f>
      </c>
      <c r="V127" s="1" t="s">
        <v>43</v>
      </c>
      <c r="W127" s="1" t="s">
        <v>364</v>
      </c>
      <c r="X127" s="1" t="s">
        <v>45</v>
      </c>
      <c r="Y127" s="1" t="s">
        <v>40</v>
      </c>
      <c r="Z127" s="1" t="s">
        <v>46</v>
      </c>
      <c r="AA127" s="1" t="s">
        <v>47</v>
      </c>
      <c r="AB127" s="1" t="s">
        <v>40</v>
      </c>
      <c r="AC127" s="1" t="s">
        <v>48</v>
      </c>
      <c r="AD127" s="1" t="s">
        <v>43</v>
      </c>
      <c r="AE127" s="8">
        <f>IF(L127&lt;&gt;"",L127*E127,0)</f>
      </c>
    </row>
    <row r="128" spans="1:31" x14ac:dyDescent="0.25">
      <c r="A128" s="4">
        <v>123</v>
      </c>
      <c r="B128" s="1" t="s">
        <v>365</v>
      </c>
      <c r="C128" s="5">
        <f>HYPERLINK("https://client.unique.diamonds/dna/11189-59","DNA")</f>
      </c>
      <c r="D128" s="1" t="s">
        <v>36</v>
      </c>
      <c r="E128" s="6">
        <v>1.5</v>
      </c>
      <c r="F128" s="1" t="s">
        <v>176</v>
      </c>
      <c r="G128" s="1" t="s">
        <v>242</v>
      </c>
      <c r="H128" s="1" t="s">
        <v>39</v>
      </c>
      <c r="I128" s="1" t="s">
        <v>39</v>
      </c>
      <c r="J128" s="1" t="s">
        <v>39</v>
      </c>
      <c r="K128" s="1" t="s">
        <v>40</v>
      </c>
      <c r="L128" s="4">
        <v>9000</v>
      </c>
      <c r="M128" s="6">
        <v>-39</v>
      </c>
      <c r="N128" s="7">
        <f>IF(AND(L128 &lt;&gt; "-", M128 &lt;&gt; "-"),L128*( 1 + M128%),0)</f>
      </c>
      <c r="O128" s="7">
        <f>( N128 * E128 )</f>
      </c>
      <c r="P128" s="1" t="s">
        <v>366</v>
      </c>
      <c r="Q128" s="6">
        <v>1.01</v>
      </c>
      <c r="R128" s="6">
        <v>62.1</v>
      </c>
      <c r="S128" s="4">
        <v>59</v>
      </c>
      <c r="T128" s="1" t="s">
        <v>42</v>
      </c>
      <c r="U128" s="5">
        <f>HYPERLINK("https://www.gia.edu/report-check?reportno=2447095851","2447095851")</f>
      </c>
      <c r="V128" s="1" t="s">
        <v>43</v>
      </c>
      <c r="W128" s="1" t="s">
        <v>152</v>
      </c>
      <c r="X128" s="1" t="s">
        <v>40</v>
      </c>
      <c r="Y128" s="1" t="s">
        <v>40</v>
      </c>
      <c r="Z128" s="1" t="s">
        <v>40</v>
      </c>
      <c r="AA128" s="1" t="s">
        <v>367</v>
      </c>
      <c r="AB128" s="1" t="s">
        <v>73</v>
      </c>
      <c r="AC128" s="1" t="s">
        <v>48</v>
      </c>
      <c r="AD128" s="1" t="s">
        <v>43</v>
      </c>
      <c r="AE128" s="8">
        <f>IF(L128&lt;&gt;"",L128*E128,0)</f>
      </c>
    </row>
    <row r="129" spans="1:31" x14ac:dyDescent="0.25">
      <c r="A129" s="4">
        <v>124</v>
      </c>
      <c r="B129" s="1" t="s">
        <v>368</v>
      </c>
      <c r="C129" s="5">
        <f>HYPERLINK("https://client.unique.diamonds/dna/21109-20","DNA")</f>
      </c>
      <c r="D129" s="1" t="s">
        <v>36</v>
      </c>
      <c r="E129" s="6">
        <v>1.5</v>
      </c>
      <c r="F129" s="1" t="s">
        <v>176</v>
      </c>
      <c r="G129" s="1" t="s">
        <v>242</v>
      </c>
      <c r="H129" s="1" t="s">
        <v>39</v>
      </c>
      <c r="I129" s="1" t="s">
        <v>39</v>
      </c>
      <c r="J129" s="1" t="s">
        <v>39</v>
      </c>
      <c r="K129" s="1" t="s">
        <v>40</v>
      </c>
      <c r="L129" s="4">
        <v>9000</v>
      </c>
      <c r="M129" s="6">
        <v>-36</v>
      </c>
      <c r="N129" s="7">
        <f>IF(AND(L129 &lt;&gt; "-", M129 &lt;&gt; "-"),L129*( 1 + M129%),0)</f>
      </c>
      <c r="O129" s="7">
        <f>( N129 * E129 )</f>
      </c>
      <c r="P129" s="1" t="s">
        <v>369</v>
      </c>
      <c r="Q129" s="6">
        <v>1.01</v>
      </c>
      <c r="R129" s="6">
        <v>60.6</v>
      </c>
      <c r="S129" s="4">
        <v>59</v>
      </c>
      <c r="T129" s="1" t="s">
        <v>42</v>
      </c>
      <c r="U129" s="5">
        <f>HYPERLINK("https://www.gia.edu/report-check?reportno=1463526064","1463526064")</f>
      </c>
      <c r="V129" s="1" t="s">
        <v>43</v>
      </c>
      <c r="W129" s="1" t="s">
        <v>63</v>
      </c>
      <c r="X129" s="1" t="s">
        <v>46</v>
      </c>
      <c r="Y129" s="1" t="s">
        <v>40</v>
      </c>
      <c r="Z129" s="1" t="s">
        <v>46</v>
      </c>
      <c r="AA129" s="1" t="s">
        <v>40</v>
      </c>
      <c r="AB129" s="1" t="s">
        <v>40</v>
      </c>
      <c r="AC129" s="1" t="s">
        <v>48</v>
      </c>
      <c r="AD129" s="1" t="s">
        <v>43</v>
      </c>
      <c r="AE129" s="8">
        <f>IF(L129&lt;&gt;"",L129*E129,0)</f>
      </c>
    </row>
    <row r="130" spans="1:31" x14ac:dyDescent="0.25">
      <c r="A130" s="4">
        <v>125</v>
      </c>
      <c r="B130" s="1" t="s">
        <v>370</v>
      </c>
      <c r="C130" s="5">
        <f>HYPERLINK("https://client.unique.diamonds/dna/22003-10","DNA")</f>
      </c>
      <c r="D130" s="1" t="s">
        <v>36</v>
      </c>
      <c r="E130" s="6">
        <v>1.5</v>
      </c>
      <c r="F130" s="1" t="s">
        <v>176</v>
      </c>
      <c r="G130" s="1" t="s">
        <v>242</v>
      </c>
      <c r="H130" s="1" t="s">
        <v>39</v>
      </c>
      <c r="I130" s="1" t="s">
        <v>39</v>
      </c>
      <c r="J130" s="1" t="s">
        <v>39</v>
      </c>
      <c r="K130" s="1" t="s">
        <v>90</v>
      </c>
      <c r="L130" s="4">
        <v>9000</v>
      </c>
      <c r="M130" s="6">
        <v>-41.99</v>
      </c>
      <c r="N130" s="7">
        <f>IF(AND(L130 &lt;&gt; "-", M130 &lt;&gt; "-"),L130*( 1 + M130%),0)</f>
      </c>
      <c r="O130" s="7">
        <f>( N130 * E130 )</f>
      </c>
      <c r="P130" s="1" t="s">
        <v>371</v>
      </c>
      <c r="Q130" s="6">
        <v>1.01</v>
      </c>
      <c r="R130" s="6">
        <v>62</v>
      </c>
      <c r="S130" s="4">
        <v>62</v>
      </c>
      <c r="T130" s="1" t="s">
        <v>42</v>
      </c>
      <c r="U130" s="5">
        <f>HYPERLINK("https://www.gia.edu/report-check?reportno=6452739898","6452739898")</f>
      </c>
      <c r="V130" s="1" t="s">
        <v>43</v>
      </c>
      <c r="W130" s="1" t="s">
        <v>99</v>
      </c>
      <c r="X130" s="1" t="s">
        <v>45</v>
      </c>
      <c r="Y130" s="1" t="s">
        <v>40</v>
      </c>
      <c r="Z130" s="1" t="s">
        <v>46</v>
      </c>
      <c r="AA130" s="1" t="s">
        <v>47</v>
      </c>
      <c r="AB130" s="1" t="s">
        <v>40</v>
      </c>
      <c r="AC130" s="1" t="s">
        <v>48</v>
      </c>
      <c r="AD130" s="1" t="s">
        <v>43</v>
      </c>
      <c r="AE130" s="8">
        <f>IF(L130&lt;&gt;"",L130*E130,0)</f>
      </c>
    </row>
    <row r="131" spans="1:31" x14ac:dyDescent="0.25">
      <c r="A131" s="4">
        <v>126</v>
      </c>
      <c r="B131" s="1" t="s">
        <v>372</v>
      </c>
      <c r="C131" s="5">
        <f>HYPERLINK("https://client.unique.diamonds/dna/11189-83","DNA")</f>
      </c>
      <c r="D131" s="1" t="s">
        <v>36</v>
      </c>
      <c r="E131" s="6">
        <v>1.7</v>
      </c>
      <c r="F131" s="1" t="s">
        <v>176</v>
      </c>
      <c r="G131" s="1" t="s">
        <v>242</v>
      </c>
      <c r="H131" s="1" t="s">
        <v>39</v>
      </c>
      <c r="I131" s="1" t="s">
        <v>39</v>
      </c>
      <c r="J131" s="1" t="s">
        <v>39</v>
      </c>
      <c r="K131" s="1" t="s">
        <v>40</v>
      </c>
      <c r="L131" s="4">
        <v>9000</v>
      </c>
      <c r="M131" s="6">
        <v>-33.75</v>
      </c>
      <c r="N131" s="7">
        <f>IF(AND(L131 &lt;&gt; "-", M131 &lt;&gt; "-"),L131*( 1 + M131%),0)</f>
      </c>
      <c r="O131" s="7">
        <f>( N131 * E131 )</f>
      </c>
      <c r="P131" s="1" t="s">
        <v>373</v>
      </c>
      <c r="Q131" s="6">
        <v>1.01</v>
      </c>
      <c r="R131" s="6">
        <v>62.7</v>
      </c>
      <c r="S131" s="4">
        <v>58</v>
      </c>
      <c r="T131" s="1" t="s">
        <v>42</v>
      </c>
      <c r="U131" s="5">
        <f>HYPERLINK("https://www.gia.edu/report-check?reportno=6442125384","6442125384")</f>
      </c>
      <c r="V131" s="1" t="s">
        <v>43</v>
      </c>
      <c r="W131" s="1" t="s">
        <v>374</v>
      </c>
      <c r="X131" s="1" t="s">
        <v>45</v>
      </c>
      <c r="Y131" s="1" t="s">
        <v>40</v>
      </c>
      <c r="Z131" s="1" t="s">
        <v>46</v>
      </c>
      <c r="AA131" s="1" t="s">
        <v>52</v>
      </c>
      <c r="AB131" s="1" t="s">
        <v>40</v>
      </c>
      <c r="AC131" s="1" t="s">
        <v>48</v>
      </c>
      <c r="AD131" s="1" t="s">
        <v>43</v>
      </c>
      <c r="AE131" s="8">
        <f>IF(L131&lt;&gt;"",L131*E131,0)</f>
      </c>
    </row>
    <row r="132" spans="1:31" x14ac:dyDescent="0.25">
      <c r="A132" s="4">
        <v>127</v>
      </c>
      <c r="B132" s="1" t="s">
        <v>375</v>
      </c>
      <c r="C132" s="5">
        <f>HYPERLINK("https://client.unique.diamonds/dna/11241-177","DNA")</f>
      </c>
      <c r="D132" s="1" t="s">
        <v>36</v>
      </c>
      <c r="E132" s="6">
        <v>1.8</v>
      </c>
      <c r="F132" s="1" t="s">
        <v>176</v>
      </c>
      <c r="G132" s="1" t="s">
        <v>242</v>
      </c>
      <c r="H132" s="1" t="s">
        <v>39</v>
      </c>
      <c r="I132" s="1" t="s">
        <v>39</v>
      </c>
      <c r="J132" s="1" t="s">
        <v>39</v>
      </c>
      <c r="K132" s="1" t="s">
        <v>90</v>
      </c>
      <c r="L132" s="4">
        <v>9000</v>
      </c>
      <c r="M132" s="6">
        <v>-33.33</v>
      </c>
      <c r="N132" s="7">
        <f>IF(AND(L132 &lt;&gt; "-", M132 &lt;&gt; "-"),L132*( 1 + M132%),0)</f>
      </c>
      <c r="O132" s="7">
        <f>( N132 * E132 )</f>
      </c>
      <c r="P132" s="1" t="s">
        <v>376</v>
      </c>
      <c r="Q132" s="6">
        <v>1.01</v>
      </c>
      <c r="R132" s="6">
        <v>62.3</v>
      </c>
      <c r="S132" s="4">
        <v>57</v>
      </c>
      <c r="T132" s="1" t="s">
        <v>42</v>
      </c>
      <c r="U132" s="5">
        <f>HYPERLINK("https://www.gia.edu/report-check?reportno=5222679060","5222679060")</f>
      </c>
      <c r="V132" s="1" t="s">
        <v>43</v>
      </c>
      <c r="W132" s="1" t="s">
        <v>288</v>
      </c>
      <c r="X132" s="1" t="s">
        <v>45</v>
      </c>
      <c r="Y132" s="1" t="s">
        <v>40</v>
      </c>
      <c r="Z132" s="1" t="s">
        <v>46</v>
      </c>
      <c r="AA132" s="1" t="s">
        <v>47</v>
      </c>
      <c r="AB132" s="1" t="s">
        <v>40</v>
      </c>
      <c r="AC132" s="1" t="s">
        <v>48</v>
      </c>
      <c r="AD132" s="1" t="s">
        <v>43</v>
      </c>
      <c r="AE132" s="8">
        <f>IF(L132&lt;&gt;"",L132*E132,0)</f>
      </c>
    </row>
    <row r="133" spans="1:31" x14ac:dyDescent="0.25">
      <c r="A133" s="4">
        <v>128</v>
      </c>
      <c r="B133" s="1" t="s">
        <v>377</v>
      </c>
      <c r="C133" s="5">
        <f>HYPERLINK("https://client.unique.diamonds/dna/21077-14","DNA")</f>
      </c>
      <c r="D133" s="1" t="s">
        <v>36</v>
      </c>
      <c r="E133" s="6">
        <v>2.01</v>
      </c>
      <c r="F133" s="1" t="s">
        <v>176</v>
      </c>
      <c r="G133" s="1" t="s">
        <v>242</v>
      </c>
      <c r="H133" s="1" t="s">
        <v>39</v>
      </c>
      <c r="I133" s="1" t="s">
        <v>39</v>
      </c>
      <c r="J133" s="1" t="s">
        <v>39</v>
      </c>
      <c r="K133" s="1" t="s">
        <v>94</v>
      </c>
      <c r="L133" s="4">
        <v>12000</v>
      </c>
      <c r="M133" s="6">
        <v>-45</v>
      </c>
      <c r="N133" s="7">
        <f>IF(AND(L133 &lt;&gt; "-", M133 &lt;&gt; "-"),L133*( 1 + M133%),0)</f>
      </c>
      <c r="O133" s="7">
        <f>( N133 * E133 )</f>
      </c>
      <c r="P133" s="1" t="s">
        <v>378</v>
      </c>
      <c r="Q133" s="6">
        <v>1.01</v>
      </c>
      <c r="R133" s="6">
        <v>63</v>
      </c>
      <c r="S133" s="4">
        <v>55</v>
      </c>
      <c r="T133" s="1" t="s">
        <v>42</v>
      </c>
      <c r="U133" s="5">
        <f>HYPERLINK("https://www.gia.edu/report-check?reportno=2466146227","2466146227")</f>
      </c>
      <c r="V133" s="1" t="s">
        <v>43</v>
      </c>
      <c r="W133" s="1" t="s">
        <v>379</v>
      </c>
      <c r="X133" s="1" t="s">
        <v>45</v>
      </c>
      <c r="Y133" s="1" t="s">
        <v>40</v>
      </c>
      <c r="Z133" s="1" t="s">
        <v>46</v>
      </c>
      <c r="AA133" s="1" t="s">
        <v>47</v>
      </c>
      <c r="AB133" s="1" t="s">
        <v>40</v>
      </c>
      <c r="AC133" s="1" t="s">
        <v>48</v>
      </c>
      <c r="AD133" s="1" t="s">
        <v>43</v>
      </c>
      <c r="AE133" s="8">
        <f>IF(L133&lt;&gt;"",L133*E133,0)</f>
      </c>
    </row>
    <row r="134" spans="1:31" x14ac:dyDescent="0.25">
      <c r="A134" s="4">
        <v>129</v>
      </c>
      <c r="B134" s="1" t="s">
        <v>380</v>
      </c>
      <c r="C134" s="5">
        <f>HYPERLINK("https://client.unique.diamonds/dna/22018-60","DNA")</f>
      </c>
      <c r="D134" s="1" t="s">
        <v>36</v>
      </c>
      <c r="E134" s="6">
        <v>2.01</v>
      </c>
      <c r="F134" s="1" t="s">
        <v>176</v>
      </c>
      <c r="G134" s="1" t="s">
        <v>242</v>
      </c>
      <c r="H134" s="1" t="s">
        <v>39</v>
      </c>
      <c r="I134" s="1" t="s">
        <v>39</v>
      </c>
      <c r="J134" s="1" t="s">
        <v>39</v>
      </c>
      <c r="K134" s="1" t="s">
        <v>40</v>
      </c>
      <c r="L134" s="4">
        <v>12000</v>
      </c>
      <c r="M134" s="6">
        <v>-38</v>
      </c>
      <c r="N134" s="7">
        <f>IF(AND(L134 &lt;&gt; "-", M134 &lt;&gt; "-"),L134*( 1 + M134%),0)</f>
      </c>
      <c r="O134" s="7">
        <f>( N134 * E134 )</f>
      </c>
      <c r="P134" s="1" t="s">
        <v>381</v>
      </c>
      <c r="Q134" s="6">
        <v>1</v>
      </c>
      <c r="R134" s="6">
        <v>60.1</v>
      </c>
      <c r="S134" s="4">
        <v>59</v>
      </c>
      <c r="T134" s="1" t="s">
        <v>42</v>
      </c>
      <c r="U134" s="5">
        <f>HYPERLINK("https://www.gia.edu/report-check?reportno=6462690633","6462690633")</f>
      </c>
      <c r="V134" s="1" t="s">
        <v>43</v>
      </c>
      <c r="W134" s="1" t="s">
        <v>275</v>
      </c>
      <c r="X134" s="1" t="s">
        <v>46</v>
      </c>
      <c r="Y134" s="1" t="s">
        <v>40</v>
      </c>
      <c r="Z134" s="1" t="s">
        <v>46</v>
      </c>
      <c r="AA134" s="1" t="s">
        <v>40</v>
      </c>
      <c r="AB134" s="1" t="s">
        <v>73</v>
      </c>
      <c r="AC134" s="1" t="s">
        <v>226</v>
      </c>
      <c r="AD134" s="1" t="s">
        <v>43</v>
      </c>
      <c r="AE134" s="8">
        <f>IF(L134&lt;&gt;"",L134*E134,0)</f>
      </c>
    </row>
    <row r="135" spans="1:31" x14ac:dyDescent="0.25">
      <c r="A135" s="4">
        <v>130</v>
      </c>
      <c r="B135" s="1" t="s">
        <v>382</v>
      </c>
      <c r="C135" s="5">
        <f>HYPERLINK("https://client.unique.diamonds/dna/21140-2","DNA")</f>
      </c>
      <c r="D135" s="1" t="s">
        <v>36</v>
      </c>
      <c r="E135" s="6">
        <v>2.01</v>
      </c>
      <c r="F135" s="1" t="s">
        <v>176</v>
      </c>
      <c r="G135" s="1" t="s">
        <v>242</v>
      </c>
      <c r="H135" s="1" t="s">
        <v>39</v>
      </c>
      <c r="I135" s="1" t="s">
        <v>39</v>
      </c>
      <c r="J135" s="1" t="s">
        <v>39</v>
      </c>
      <c r="K135" s="1" t="s">
        <v>40</v>
      </c>
      <c r="L135" s="4">
        <v>12000</v>
      </c>
      <c r="M135" s="6">
        <v>-38</v>
      </c>
      <c r="N135" s="7">
        <f>IF(AND(L135 &lt;&gt; "-", M135 &lt;&gt; "-"),L135*( 1 + M135%),0)</f>
      </c>
      <c r="O135" s="7">
        <f>( N135 * E135 )</f>
      </c>
      <c r="P135" s="1" t="s">
        <v>383</v>
      </c>
      <c r="Q135" s="6">
        <v>1</v>
      </c>
      <c r="R135" s="6">
        <v>62.1</v>
      </c>
      <c r="S135" s="4">
        <v>58</v>
      </c>
      <c r="T135" s="1" t="s">
        <v>42</v>
      </c>
      <c r="U135" s="5">
        <f>HYPERLINK("https://www.gia.edu/report-check?reportno=7466716964","7466716964")</f>
      </c>
      <c r="V135" s="1" t="s">
        <v>43</v>
      </c>
      <c r="W135" s="1" t="s">
        <v>384</v>
      </c>
      <c r="X135" s="1" t="s">
        <v>45</v>
      </c>
      <c r="Y135" s="1" t="s">
        <v>40</v>
      </c>
      <c r="Z135" s="1" t="s">
        <v>46</v>
      </c>
      <c r="AA135" s="1" t="s">
        <v>40</v>
      </c>
      <c r="AB135" s="1" t="s">
        <v>73</v>
      </c>
      <c r="AC135" s="1" t="s">
        <v>48</v>
      </c>
      <c r="AD135" s="1" t="s">
        <v>43</v>
      </c>
      <c r="AE135" s="8">
        <f>IF(L135&lt;&gt;"",L135*E135,0)</f>
      </c>
    </row>
    <row r="136" spans="1:31" x14ac:dyDescent="0.25">
      <c r="A136" s="4">
        <v>131</v>
      </c>
      <c r="B136" s="1" t="s">
        <v>385</v>
      </c>
      <c r="C136" s="5">
        <f>HYPERLINK("https://client.unique.diamonds/dna/21027-1","DNA")</f>
      </c>
      <c r="D136" s="1" t="s">
        <v>36</v>
      </c>
      <c r="E136" s="6">
        <v>2.09</v>
      </c>
      <c r="F136" s="1" t="s">
        <v>176</v>
      </c>
      <c r="G136" s="1" t="s">
        <v>242</v>
      </c>
      <c r="H136" s="1" t="s">
        <v>39</v>
      </c>
      <c r="I136" s="1" t="s">
        <v>39</v>
      </c>
      <c r="J136" s="1" t="s">
        <v>39</v>
      </c>
      <c r="K136" s="1" t="s">
        <v>90</v>
      </c>
      <c r="L136" s="4">
        <v>12000</v>
      </c>
      <c r="M136" s="6">
        <v>-43.24</v>
      </c>
      <c r="N136" s="7">
        <f>IF(AND(L136 &lt;&gt; "-", M136 &lt;&gt; "-"),L136*( 1 + M136%),0)</f>
      </c>
      <c r="O136" s="7">
        <f>( N136 * E136 )</f>
      </c>
      <c r="P136" s="1" t="s">
        <v>386</v>
      </c>
      <c r="Q136" s="6">
        <v>1.01</v>
      </c>
      <c r="R136" s="6">
        <v>62.5</v>
      </c>
      <c r="S136" s="4">
        <v>58</v>
      </c>
      <c r="T136" s="1" t="s">
        <v>42</v>
      </c>
      <c r="U136" s="5">
        <f>HYPERLINK("https://www.gia.edu/report-check?reportno=6451605557","6451605557")</f>
      </c>
      <c r="V136" s="1" t="s">
        <v>43</v>
      </c>
      <c r="W136" s="1" t="s">
        <v>96</v>
      </c>
      <c r="X136" s="1" t="s">
        <v>59</v>
      </c>
      <c r="Y136" s="1" t="s">
        <v>40</v>
      </c>
      <c r="Z136" s="1" t="s">
        <v>46</v>
      </c>
      <c r="AA136" s="1" t="s">
        <v>52</v>
      </c>
      <c r="AB136" s="1" t="s">
        <v>40</v>
      </c>
      <c r="AC136" s="1" t="s">
        <v>48</v>
      </c>
      <c r="AD136" s="1" t="s">
        <v>43</v>
      </c>
      <c r="AE136" s="8">
        <f>IF(L136&lt;&gt;"",L136*E136,0)</f>
      </c>
    </row>
    <row r="137" spans="1:31" x14ac:dyDescent="0.25">
      <c r="A137" s="4">
        <v>132</v>
      </c>
      <c r="B137" s="1" t="s">
        <v>387</v>
      </c>
      <c r="C137" s="5">
        <f>HYPERLINK("https://client.unique.diamonds/dna/11193-9","DNA")</f>
      </c>
      <c r="D137" s="1" t="s">
        <v>36</v>
      </c>
      <c r="E137" s="6">
        <v>2.09</v>
      </c>
      <c r="F137" s="1" t="s">
        <v>176</v>
      </c>
      <c r="G137" s="1" t="s">
        <v>242</v>
      </c>
      <c r="H137" s="1" t="s">
        <v>39</v>
      </c>
      <c r="I137" s="1" t="s">
        <v>39</v>
      </c>
      <c r="J137" s="1" t="s">
        <v>39</v>
      </c>
      <c r="K137" s="1" t="s">
        <v>40</v>
      </c>
      <c r="L137" s="4">
        <v>12000</v>
      </c>
      <c r="M137" s="6">
        <v>-38.5</v>
      </c>
      <c r="N137" s="7">
        <f>IF(AND(L137 &lt;&gt; "-", M137 &lt;&gt; "-"),L137*( 1 + M137%),0)</f>
      </c>
      <c r="O137" s="7">
        <f>( N137 * E137 )</f>
      </c>
      <c r="P137" s="1" t="s">
        <v>388</v>
      </c>
      <c r="Q137" s="6">
        <v>1.01</v>
      </c>
      <c r="R137" s="6">
        <v>62.7</v>
      </c>
      <c r="S137" s="4">
        <v>58</v>
      </c>
      <c r="T137" s="1" t="s">
        <v>42</v>
      </c>
      <c r="U137" s="5">
        <f>HYPERLINK("https://www.gia.edu/report-check?reportno=6445020268","6445020268")</f>
      </c>
      <c r="V137" s="1" t="s">
        <v>43</v>
      </c>
      <c r="W137" s="1" t="s">
        <v>79</v>
      </c>
      <c r="X137" s="1" t="s">
        <v>46</v>
      </c>
      <c r="Y137" s="1" t="s">
        <v>40</v>
      </c>
      <c r="Z137" s="1" t="s">
        <v>46</v>
      </c>
      <c r="AA137" s="1" t="s">
        <v>47</v>
      </c>
      <c r="AB137" s="1" t="s">
        <v>40</v>
      </c>
      <c r="AC137" s="1" t="s">
        <v>48</v>
      </c>
      <c r="AD137" s="1" t="s">
        <v>43</v>
      </c>
      <c r="AE137" s="8">
        <f>IF(L137&lt;&gt;"",L137*E137,0)</f>
      </c>
    </row>
    <row r="138" spans="1:31" x14ac:dyDescent="0.25">
      <c r="A138" s="4">
        <v>133</v>
      </c>
      <c r="B138" s="1" t="s">
        <v>389</v>
      </c>
      <c r="C138" s="5">
        <f>HYPERLINK("https://client.unique.diamonds/dna/21040-2","DNA")</f>
      </c>
      <c r="D138" s="1" t="s">
        <v>36</v>
      </c>
      <c r="E138" s="6">
        <v>2.2</v>
      </c>
      <c r="F138" s="1" t="s">
        <v>176</v>
      </c>
      <c r="G138" s="1" t="s">
        <v>242</v>
      </c>
      <c r="H138" s="1" t="s">
        <v>39</v>
      </c>
      <c r="I138" s="1" t="s">
        <v>39</v>
      </c>
      <c r="J138" s="1" t="s">
        <v>39</v>
      </c>
      <c r="K138" s="1" t="s">
        <v>40</v>
      </c>
      <c r="L138" s="4">
        <v>12000</v>
      </c>
      <c r="M138" s="6">
        <v>-37.67</v>
      </c>
      <c r="N138" s="7">
        <f>IF(AND(L138 &lt;&gt; "-", M138 &lt;&gt; "-"),L138*( 1 + M138%),0)</f>
      </c>
      <c r="O138" s="7">
        <f>( N138 * E138 )</f>
      </c>
      <c r="P138" s="1" t="s">
        <v>390</v>
      </c>
      <c r="Q138" s="6">
        <v>1</v>
      </c>
      <c r="R138" s="6">
        <v>61.2</v>
      </c>
      <c r="S138" s="4">
        <v>59</v>
      </c>
      <c r="T138" s="1" t="s">
        <v>42</v>
      </c>
      <c r="U138" s="5">
        <f>HYPERLINK("https://www.gia.edu/report-check?reportno=6451752090","6451752090")</f>
      </c>
      <c r="V138" s="1" t="s">
        <v>43</v>
      </c>
      <c r="W138" s="1" t="s">
        <v>88</v>
      </c>
      <c r="X138" s="1" t="s">
        <v>45</v>
      </c>
      <c r="Y138" s="1" t="s">
        <v>40</v>
      </c>
      <c r="Z138" s="1" t="s">
        <v>46</v>
      </c>
      <c r="AA138" s="1" t="s">
        <v>47</v>
      </c>
      <c r="AB138" s="1" t="s">
        <v>73</v>
      </c>
      <c r="AC138" s="1" t="s">
        <v>48</v>
      </c>
      <c r="AD138" s="1" t="s">
        <v>43</v>
      </c>
      <c r="AE138" s="8">
        <f>IF(L138&lt;&gt;"",L138*E138,0)</f>
      </c>
    </row>
    <row r="139" spans="1:31" x14ac:dyDescent="0.25">
      <c r="A139" s="4">
        <v>134</v>
      </c>
      <c r="B139" s="1" t="s">
        <v>391</v>
      </c>
      <c r="C139" s="5">
        <f>HYPERLINK("https://client.unique.diamonds/dna/21072-5","DNA")</f>
      </c>
      <c r="D139" s="1" t="s">
        <v>36</v>
      </c>
      <c r="E139" s="6">
        <v>2.5</v>
      </c>
      <c r="F139" s="1" t="s">
        <v>176</v>
      </c>
      <c r="G139" s="1" t="s">
        <v>242</v>
      </c>
      <c r="H139" s="1" t="s">
        <v>39</v>
      </c>
      <c r="I139" s="1" t="s">
        <v>39</v>
      </c>
      <c r="J139" s="1" t="s">
        <v>39</v>
      </c>
      <c r="K139" s="1" t="s">
        <v>40</v>
      </c>
      <c r="L139" s="4">
        <v>12000</v>
      </c>
      <c r="M139" s="6">
        <v>-29.5</v>
      </c>
      <c r="N139" s="7">
        <f>IF(AND(L139 &lt;&gt; "-", M139 &lt;&gt; "-"),L139*( 1 + M139%),0)</f>
      </c>
      <c r="O139" s="7">
        <f>( N139 * E139 )</f>
      </c>
      <c r="P139" s="1" t="s">
        <v>392</v>
      </c>
      <c r="Q139" s="6">
        <v>1</v>
      </c>
      <c r="R139" s="6">
        <v>61</v>
      </c>
      <c r="S139" s="4">
        <v>62</v>
      </c>
      <c r="T139" s="1" t="s">
        <v>42</v>
      </c>
      <c r="U139" s="5">
        <f>HYPERLINK("https://www.gia.edu/report-check?reportno=6462261881","6462261881")</f>
      </c>
      <c r="V139" s="1" t="s">
        <v>43</v>
      </c>
      <c r="W139" s="1" t="s">
        <v>393</v>
      </c>
      <c r="X139" s="1" t="s">
        <v>46</v>
      </c>
      <c r="Y139" s="1" t="s">
        <v>40</v>
      </c>
      <c r="Z139" s="1" t="s">
        <v>46</v>
      </c>
      <c r="AA139" s="1" t="s">
        <v>47</v>
      </c>
      <c r="AB139" s="1" t="s">
        <v>40</v>
      </c>
      <c r="AC139" s="1" t="s">
        <v>48</v>
      </c>
      <c r="AD139" s="1" t="s">
        <v>43</v>
      </c>
      <c r="AE139" s="8">
        <f>IF(L139&lt;&gt;"",L139*E139,0)</f>
      </c>
    </row>
    <row r="140" spans="1:31" x14ac:dyDescent="0.25">
      <c r="A140" s="4">
        <v>135</v>
      </c>
      <c r="B140" s="1" t="s">
        <v>394</v>
      </c>
      <c r="C140" s="5">
        <f>HYPERLINK("https://client.unique.diamonds/dna/11278-55","DNA")</f>
      </c>
      <c r="D140" s="1" t="s">
        <v>36</v>
      </c>
      <c r="E140" s="6">
        <v>1.5</v>
      </c>
      <c r="F140" s="1" t="s">
        <v>208</v>
      </c>
      <c r="G140" s="1" t="s">
        <v>242</v>
      </c>
      <c r="H140" s="1" t="s">
        <v>39</v>
      </c>
      <c r="I140" s="1" t="s">
        <v>39</v>
      </c>
      <c r="J140" s="1" t="s">
        <v>39</v>
      </c>
      <c r="K140" s="1" t="s">
        <v>90</v>
      </c>
      <c r="L140" s="4">
        <v>7600</v>
      </c>
      <c r="M140" s="6">
        <v>-41.28</v>
      </c>
      <c r="N140" s="7">
        <f>IF(AND(L140 &lt;&gt; "-", M140 &lt;&gt; "-"),L140*( 1 + M140%),0)</f>
      </c>
      <c r="O140" s="7">
        <f>( N140 * E140 )</f>
      </c>
      <c r="P140" s="1" t="s">
        <v>395</v>
      </c>
      <c r="Q140" s="6">
        <v>1</v>
      </c>
      <c r="R140" s="6">
        <v>58.5</v>
      </c>
      <c r="S140" s="4">
        <v>61</v>
      </c>
      <c r="T140" s="1" t="s">
        <v>42</v>
      </c>
      <c r="U140" s="5">
        <f>HYPERLINK("https://www.gia.edu/report-check?reportno=2456034212","2456034212")</f>
      </c>
      <c r="V140" s="1" t="s">
        <v>43</v>
      </c>
      <c r="W140" s="1" t="s">
        <v>396</v>
      </c>
      <c r="X140" s="1" t="s">
        <v>46</v>
      </c>
      <c r="Y140" s="1" t="s">
        <v>40</v>
      </c>
      <c r="Z140" s="1" t="s">
        <v>45</v>
      </c>
      <c r="AA140" s="1" t="s">
        <v>40</v>
      </c>
      <c r="AB140" s="1" t="s">
        <v>40</v>
      </c>
      <c r="AC140" s="1" t="s">
        <v>48</v>
      </c>
      <c r="AD140" s="1" t="s">
        <v>43</v>
      </c>
      <c r="AE140" s="8">
        <f>IF(L140&lt;&gt;"",L140*E140,0)</f>
      </c>
    </row>
    <row r="141" spans="1:31" x14ac:dyDescent="0.25">
      <c r="A141" s="4">
        <v>136</v>
      </c>
      <c r="B141" s="1" t="s">
        <v>397</v>
      </c>
      <c r="C141" s="5">
        <f>HYPERLINK("https://client.unique.diamonds/dna/21138-4","DNA")</f>
      </c>
      <c r="D141" s="1" t="s">
        <v>36</v>
      </c>
      <c r="E141" s="6">
        <v>1.5</v>
      </c>
      <c r="F141" s="1" t="s">
        <v>208</v>
      </c>
      <c r="G141" s="1" t="s">
        <v>242</v>
      </c>
      <c r="H141" s="1" t="s">
        <v>39</v>
      </c>
      <c r="I141" s="1" t="s">
        <v>39</v>
      </c>
      <c r="J141" s="1" t="s">
        <v>39</v>
      </c>
      <c r="K141" s="1" t="s">
        <v>40</v>
      </c>
      <c r="L141" s="4">
        <v>7600</v>
      </c>
      <c r="M141" s="6">
        <v>-36</v>
      </c>
      <c r="N141" s="7">
        <f>IF(AND(L141 &lt;&gt; "-", M141 &lt;&gt; "-"),L141*( 1 + M141%),0)</f>
      </c>
      <c r="O141" s="7">
        <f>( N141 * E141 )</f>
      </c>
      <c r="P141" s="1" t="s">
        <v>398</v>
      </c>
      <c r="Q141" s="6">
        <v>1.01</v>
      </c>
      <c r="R141" s="6">
        <v>60.9</v>
      </c>
      <c r="S141" s="4">
        <v>58</v>
      </c>
      <c r="T141" s="1" t="s">
        <v>42</v>
      </c>
      <c r="U141" s="5">
        <f>HYPERLINK("https://www.gia.edu/report-check?reportno=7462747440","7462747440")</f>
      </c>
      <c r="V141" s="1" t="s">
        <v>43</v>
      </c>
      <c r="W141" s="1" t="s">
        <v>134</v>
      </c>
      <c r="X141" s="1" t="s">
        <v>45</v>
      </c>
      <c r="Y141" s="1" t="s">
        <v>40</v>
      </c>
      <c r="Z141" s="1" t="s">
        <v>46</v>
      </c>
      <c r="AA141" s="1" t="s">
        <v>40</v>
      </c>
      <c r="AB141" s="1" t="s">
        <v>40</v>
      </c>
      <c r="AC141" s="1" t="s">
        <v>48</v>
      </c>
      <c r="AD141" s="1" t="s">
        <v>43</v>
      </c>
      <c r="AE141" s="8">
        <f>IF(L141&lt;&gt;"",L141*E141,0)</f>
      </c>
    </row>
    <row r="142" spans="1:31" x14ac:dyDescent="0.25">
      <c r="A142" s="4">
        <v>137</v>
      </c>
      <c r="B142" s="1" t="s">
        <v>399</v>
      </c>
      <c r="C142" s="5">
        <f>HYPERLINK("https://client.unique.diamonds/dna/11265-19","DNA")</f>
      </c>
      <c r="D142" s="1" t="s">
        <v>36</v>
      </c>
      <c r="E142" s="6">
        <v>1.51</v>
      </c>
      <c r="F142" s="1" t="s">
        <v>208</v>
      </c>
      <c r="G142" s="1" t="s">
        <v>242</v>
      </c>
      <c r="H142" s="1" t="s">
        <v>39</v>
      </c>
      <c r="I142" s="1" t="s">
        <v>39</v>
      </c>
      <c r="J142" s="1" t="s">
        <v>39</v>
      </c>
      <c r="K142" s="1" t="s">
        <v>40</v>
      </c>
      <c r="L142" s="4">
        <v>7600</v>
      </c>
      <c r="M142" s="6">
        <v>-39</v>
      </c>
      <c r="N142" s="7">
        <f>IF(AND(L142 &lt;&gt; "-", M142 &lt;&gt; "-"),L142*( 1 + M142%),0)</f>
      </c>
      <c r="O142" s="7">
        <f>( N142 * E142 )</f>
      </c>
      <c r="P142" s="1" t="s">
        <v>284</v>
      </c>
      <c r="Q142" s="6">
        <v>1.01</v>
      </c>
      <c r="R142" s="6">
        <v>62.3</v>
      </c>
      <c r="S142" s="4">
        <v>57</v>
      </c>
      <c r="T142" s="1" t="s">
        <v>42</v>
      </c>
      <c r="U142" s="5">
        <f>HYPERLINK("https://www.gia.edu/report-check?reportno=2444778015","2444778015")</f>
      </c>
      <c r="V142" s="1" t="s">
        <v>43</v>
      </c>
      <c r="W142" s="1" t="s">
        <v>67</v>
      </c>
      <c r="X142" s="1" t="s">
        <v>59</v>
      </c>
      <c r="Y142" s="1" t="s">
        <v>40</v>
      </c>
      <c r="Z142" s="1" t="s">
        <v>59</v>
      </c>
      <c r="AA142" s="1" t="s">
        <v>52</v>
      </c>
      <c r="AB142" s="1" t="s">
        <v>47</v>
      </c>
      <c r="AC142" s="1" t="s">
        <v>48</v>
      </c>
      <c r="AD142" s="1" t="s">
        <v>43</v>
      </c>
      <c r="AE142" s="8">
        <f>IF(L142&lt;&gt;"",L142*E142,0)</f>
      </c>
    </row>
    <row r="143" spans="1:31" x14ac:dyDescent="0.25">
      <c r="A143" s="4">
        <v>138</v>
      </c>
      <c r="B143" s="1" t="s">
        <v>400</v>
      </c>
      <c r="C143" s="5">
        <f>HYPERLINK("https://client.unique.diamonds/dna/HU-45","DNA")</f>
      </c>
      <c r="D143" s="1" t="s">
        <v>36</v>
      </c>
      <c r="E143" s="6">
        <v>1.96</v>
      </c>
      <c r="F143" s="1" t="s">
        <v>208</v>
      </c>
      <c r="G143" s="1" t="s">
        <v>242</v>
      </c>
      <c r="H143" s="1" t="s">
        <v>39</v>
      </c>
      <c r="I143" s="1" t="s">
        <v>39</v>
      </c>
      <c r="J143" s="1" t="s">
        <v>39</v>
      </c>
      <c r="K143" s="1" t="s">
        <v>90</v>
      </c>
      <c r="L143" s="4">
        <v>7600</v>
      </c>
      <c r="M143" s="6">
        <v>-25.46</v>
      </c>
      <c r="N143" s="7">
        <f>IF(AND(L143 &lt;&gt; "-", M143 &lt;&gt; "-"),L143*( 1 + M143%),0)</f>
      </c>
      <c r="O143" s="7">
        <f>( N143 * E143 )</f>
      </c>
      <c r="P143" s="1" t="s">
        <v>401</v>
      </c>
      <c r="Q143" s="6">
        <v>1.01</v>
      </c>
      <c r="R143" s="6">
        <v>61.6</v>
      </c>
      <c r="S143" s="4">
        <v>59</v>
      </c>
      <c r="T143" s="1" t="s">
        <v>42</v>
      </c>
      <c r="U143" s="5">
        <f>HYPERLINK("https://www.gia.edu/report-check?reportno=2457696184","2457696184")</f>
      </c>
      <c r="V143" s="1" t="s">
        <v>43</v>
      </c>
      <c r="W143" s="1" t="s">
        <v>67</v>
      </c>
      <c r="X143" s="1" t="s">
        <v>40</v>
      </c>
      <c r="Y143" s="1" t="s">
        <v>40</v>
      </c>
      <c r="Z143" s="1" t="s">
        <v>46</v>
      </c>
      <c r="AA143" s="1" t="s">
        <v>47</v>
      </c>
      <c r="AB143" s="1" t="s">
        <v>47</v>
      </c>
      <c r="AC143" s="1" t="s">
        <v>48</v>
      </c>
      <c r="AD143" s="1" t="s">
        <v>43</v>
      </c>
      <c r="AE143" s="8">
        <f>IF(L143&lt;&gt;"",L143*E143,0)</f>
      </c>
    </row>
    <row r="144" spans="1:31" x14ac:dyDescent="0.25">
      <c r="A144" s="4">
        <v>139</v>
      </c>
      <c r="B144" s="1" t="s">
        <v>402</v>
      </c>
      <c r="C144" s="5">
        <f>HYPERLINK("https://client.unique.diamonds/dna/11147-37","DNA")</f>
      </c>
      <c r="D144" s="1" t="s">
        <v>36</v>
      </c>
      <c r="E144" s="6">
        <v>2.01</v>
      </c>
      <c r="F144" s="1" t="s">
        <v>208</v>
      </c>
      <c r="G144" s="1" t="s">
        <v>242</v>
      </c>
      <c r="H144" s="1" t="s">
        <v>39</v>
      </c>
      <c r="I144" s="1" t="s">
        <v>39</v>
      </c>
      <c r="J144" s="1" t="s">
        <v>39</v>
      </c>
      <c r="K144" s="1" t="s">
        <v>40</v>
      </c>
      <c r="L144" s="4">
        <v>10200</v>
      </c>
      <c r="M144" s="6">
        <v>-38.5</v>
      </c>
      <c r="N144" s="7">
        <f>IF(AND(L144 &lt;&gt; "-", M144 &lt;&gt; "-"),L144*( 1 + M144%),0)</f>
      </c>
      <c r="O144" s="7">
        <f>( N144 * E144 )</f>
      </c>
      <c r="P144" s="1" t="s">
        <v>403</v>
      </c>
      <c r="Q144" s="6">
        <v>1</v>
      </c>
      <c r="R144" s="6">
        <v>61.4</v>
      </c>
      <c r="S144" s="4">
        <v>59</v>
      </c>
      <c r="T144" s="1" t="s">
        <v>42</v>
      </c>
      <c r="U144" s="5">
        <f>HYPERLINK("https://www.gia.edu/report-check?reportno=6432610781","6432610781")</f>
      </c>
      <c r="V144" s="1" t="s">
        <v>43</v>
      </c>
      <c r="W144" s="1" t="s">
        <v>396</v>
      </c>
      <c r="X144" s="1" t="s">
        <v>46</v>
      </c>
      <c r="Y144" s="1" t="s">
        <v>40</v>
      </c>
      <c r="Z144" s="1" t="s">
        <v>46</v>
      </c>
      <c r="AA144" s="1" t="s">
        <v>47</v>
      </c>
      <c r="AB144" s="1" t="s">
        <v>40</v>
      </c>
      <c r="AC144" s="1" t="s">
        <v>226</v>
      </c>
      <c r="AD144" s="1" t="s">
        <v>43</v>
      </c>
      <c r="AE144" s="8">
        <f>IF(L144&lt;&gt;"",L144*E144,0)</f>
      </c>
    </row>
    <row r="145" spans="1:31" x14ac:dyDescent="0.25">
      <c r="A145" s="4">
        <v>140</v>
      </c>
      <c r="B145" s="1" t="s">
        <v>404</v>
      </c>
      <c r="C145" s="5">
        <f>HYPERLINK("https://client.unique.diamonds/dna/11193-88","DNA")</f>
      </c>
      <c r="D145" s="1" t="s">
        <v>36</v>
      </c>
      <c r="E145" s="6">
        <v>2.01</v>
      </c>
      <c r="F145" s="1" t="s">
        <v>208</v>
      </c>
      <c r="G145" s="1" t="s">
        <v>242</v>
      </c>
      <c r="H145" s="1" t="s">
        <v>39</v>
      </c>
      <c r="I145" s="1" t="s">
        <v>39</v>
      </c>
      <c r="J145" s="1" t="s">
        <v>39</v>
      </c>
      <c r="K145" s="1" t="s">
        <v>90</v>
      </c>
      <c r="L145" s="4">
        <v>10200</v>
      </c>
      <c r="M145" s="6">
        <v>-45</v>
      </c>
      <c r="N145" s="7">
        <f>IF(AND(L145 &lt;&gt; "-", M145 &lt;&gt; "-"),L145*( 1 + M145%),0)</f>
      </c>
      <c r="O145" s="7">
        <f>( N145 * E145 )</f>
      </c>
      <c r="P145" s="1" t="s">
        <v>405</v>
      </c>
      <c r="Q145" s="6">
        <v>1.01</v>
      </c>
      <c r="R145" s="6">
        <v>62.6</v>
      </c>
      <c r="S145" s="4">
        <v>59</v>
      </c>
      <c r="T145" s="1" t="s">
        <v>42</v>
      </c>
      <c r="U145" s="5">
        <f>HYPERLINK("https://www.gia.edu/report-check?reportno=6442192881","6442192881")</f>
      </c>
      <c r="V145" s="1" t="s">
        <v>43</v>
      </c>
      <c r="W145" s="1" t="s">
        <v>128</v>
      </c>
      <c r="X145" s="1" t="s">
        <v>45</v>
      </c>
      <c r="Y145" s="1" t="s">
        <v>40</v>
      </c>
      <c r="Z145" s="1" t="s">
        <v>46</v>
      </c>
      <c r="AA145" s="1" t="s">
        <v>47</v>
      </c>
      <c r="AB145" s="1" t="s">
        <v>47</v>
      </c>
      <c r="AC145" s="1" t="s">
        <v>48</v>
      </c>
      <c r="AD145" s="1" t="s">
        <v>43</v>
      </c>
      <c r="AE145" s="8">
        <f>IF(L145&lt;&gt;"",L145*E145,0)</f>
      </c>
    </row>
    <row r="146" spans="1:31" x14ac:dyDescent="0.25">
      <c r="A146" s="4">
        <v>141</v>
      </c>
      <c r="B146" s="1" t="s">
        <v>406</v>
      </c>
      <c r="C146" s="5">
        <f>HYPERLINK("https://client.unique.diamonds/dna/141411-3","DNA")</f>
      </c>
      <c r="D146" s="1" t="s">
        <v>36</v>
      </c>
      <c r="E146" s="6">
        <v>2.01</v>
      </c>
      <c r="F146" s="1" t="s">
        <v>208</v>
      </c>
      <c r="G146" s="1" t="s">
        <v>242</v>
      </c>
      <c r="H146" s="1" t="s">
        <v>39</v>
      </c>
      <c r="I146" s="1" t="s">
        <v>39</v>
      </c>
      <c r="J146" s="1" t="s">
        <v>39</v>
      </c>
      <c r="K146" s="1" t="s">
        <v>40</v>
      </c>
      <c r="L146" s="4">
        <v>10200</v>
      </c>
      <c r="M146" s="6">
        <v>-38.75</v>
      </c>
      <c r="N146" s="7">
        <f>IF(AND(L146 &lt;&gt; "-", M146 &lt;&gt; "-"),L146*( 1 + M146%),0)</f>
      </c>
      <c r="O146" s="7">
        <f>( N146 * E146 )</f>
      </c>
      <c r="P146" s="1" t="s">
        <v>407</v>
      </c>
      <c r="Q146" s="6">
        <v>1</v>
      </c>
      <c r="R146" s="6">
        <v>61.4</v>
      </c>
      <c r="S146" s="4">
        <v>61</v>
      </c>
      <c r="T146" s="1" t="s">
        <v>42</v>
      </c>
      <c r="U146" s="5">
        <f>HYPERLINK("https://www.gia.edu/report-check?reportno=7406923663","7406923663")</f>
      </c>
      <c r="V146" s="1" t="s">
        <v>43</v>
      </c>
      <c r="W146" s="1" t="s">
        <v>408</v>
      </c>
      <c r="X146" s="1" t="s">
        <v>46</v>
      </c>
      <c r="Y146" s="1" t="s">
        <v>40</v>
      </c>
      <c r="Z146" s="1" t="s">
        <v>46</v>
      </c>
      <c r="AA146" s="1" t="s">
        <v>47</v>
      </c>
      <c r="AB146" s="1" t="s">
        <v>40</v>
      </c>
      <c r="AC146" s="1" t="s">
        <v>48</v>
      </c>
      <c r="AD146" s="1" t="s">
        <v>43</v>
      </c>
      <c r="AE146" s="8">
        <f>IF(L146&lt;&gt;"",L146*E146,0)</f>
      </c>
    </row>
    <row r="147" spans="1:31" x14ac:dyDescent="0.25">
      <c r="A147" s="4">
        <v>142</v>
      </c>
      <c r="B147" s="1" t="s">
        <v>409</v>
      </c>
      <c r="C147" s="5">
        <f>HYPERLINK("https://client.unique.diamonds/dna/22005-39","DNA")</f>
      </c>
      <c r="D147" s="1" t="s">
        <v>36</v>
      </c>
      <c r="E147" s="6">
        <v>2.03</v>
      </c>
      <c r="F147" s="1" t="s">
        <v>208</v>
      </c>
      <c r="G147" s="1" t="s">
        <v>242</v>
      </c>
      <c r="H147" s="1" t="s">
        <v>39</v>
      </c>
      <c r="I147" s="1" t="s">
        <v>39</v>
      </c>
      <c r="J147" s="1" t="s">
        <v>39</v>
      </c>
      <c r="K147" s="1" t="s">
        <v>90</v>
      </c>
      <c r="L147" s="4">
        <v>10200</v>
      </c>
      <c r="M147" s="6">
        <v>-42</v>
      </c>
      <c r="N147" s="7">
        <f>IF(AND(L147 &lt;&gt; "-", M147 &lt;&gt; "-"),L147*( 1 + M147%),0)</f>
      </c>
      <c r="O147" s="7">
        <f>( N147 * E147 )</f>
      </c>
      <c r="P147" s="1" t="s">
        <v>410</v>
      </c>
      <c r="Q147" s="6">
        <v>1</v>
      </c>
      <c r="R147" s="6">
        <v>60.6</v>
      </c>
      <c r="S147" s="4">
        <v>59</v>
      </c>
      <c r="T147" s="1" t="s">
        <v>42</v>
      </c>
      <c r="U147" s="5">
        <f>HYPERLINK("https://www.gia.edu/report-check?reportno=6461246754","6461246754")</f>
      </c>
      <c r="V147" s="1" t="s">
        <v>43</v>
      </c>
      <c r="W147" s="1" t="s">
        <v>411</v>
      </c>
      <c r="X147" s="1" t="s">
        <v>46</v>
      </c>
      <c r="Y147" s="1" t="s">
        <v>40</v>
      </c>
      <c r="Z147" s="1" t="s">
        <v>46</v>
      </c>
      <c r="AA147" s="1" t="s">
        <v>52</v>
      </c>
      <c r="AB147" s="1" t="s">
        <v>47</v>
      </c>
      <c r="AC147" s="1" t="s">
        <v>48</v>
      </c>
      <c r="AD147" s="1" t="s">
        <v>43</v>
      </c>
      <c r="AE147" s="8">
        <f>IF(L147&lt;&gt;"",L147*E147,0)</f>
      </c>
    </row>
    <row r="148" spans="1:31" x14ac:dyDescent="0.25">
      <c r="A148" s="4">
        <v>143</v>
      </c>
      <c r="B148" s="1" t="s">
        <v>412</v>
      </c>
      <c r="C148" s="5">
        <f>HYPERLINK("https://client.unique.diamonds/dna/21115-17","DNA")</f>
      </c>
      <c r="D148" s="1" t="s">
        <v>36</v>
      </c>
      <c r="E148" s="6">
        <v>2.09</v>
      </c>
      <c r="F148" s="1" t="s">
        <v>208</v>
      </c>
      <c r="G148" s="1" t="s">
        <v>242</v>
      </c>
      <c r="H148" s="1" t="s">
        <v>39</v>
      </c>
      <c r="I148" s="1" t="s">
        <v>39</v>
      </c>
      <c r="J148" s="1" t="s">
        <v>39</v>
      </c>
      <c r="K148" s="1" t="s">
        <v>90</v>
      </c>
      <c r="L148" s="4">
        <v>10200</v>
      </c>
      <c r="M148" s="6">
        <v>-40</v>
      </c>
      <c r="N148" s="7">
        <f>IF(AND(L148 &lt;&gt; "-", M148 &lt;&gt; "-"),L148*( 1 + M148%),0)</f>
      </c>
      <c r="O148" s="7">
        <f>( N148 * E148 )</f>
      </c>
      <c r="P148" s="1" t="s">
        <v>413</v>
      </c>
      <c r="Q148" s="6">
        <v>1.01</v>
      </c>
      <c r="R148" s="6">
        <v>62.1</v>
      </c>
      <c r="S148" s="4">
        <v>58</v>
      </c>
      <c r="T148" s="1" t="s">
        <v>42</v>
      </c>
      <c r="U148" s="5">
        <f>HYPERLINK("https://www.gia.edu/report-check?reportno=2464475993","2464475993")</f>
      </c>
      <c r="V148" s="1" t="s">
        <v>43</v>
      </c>
      <c r="W148" s="1" t="s">
        <v>218</v>
      </c>
      <c r="X148" s="1" t="s">
        <v>45</v>
      </c>
      <c r="Y148" s="1" t="s">
        <v>40</v>
      </c>
      <c r="Z148" s="1" t="s">
        <v>46</v>
      </c>
      <c r="AA148" s="1" t="s">
        <v>47</v>
      </c>
      <c r="AB148" s="1" t="s">
        <v>40</v>
      </c>
      <c r="AC148" s="1" t="s">
        <v>48</v>
      </c>
      <c r="AD148" s="1" t="s">
        <v>43</v>
      </c>
      <c r="AE148" s="8">
        <f>IF(L148&lt;&gt;"",L148*E148,0)</f>
      </c>
    </row>
    <row r="149" spans="1:31" x14ac:dyDescent="0.25">
      <c r="A149" s="4">
        <v>144</v>
      </c>
      <c r="B149" s="1" t="s">
        <v>414</v>
      </c>
      <c r="C149" s="5">
        <f>HYPERLINK("https://client.unique.diamonds/dna/11235-9","DNA")</f>
      </c>
      <c r="D149" s="1" t="s">
        <v>36</v>
      </c>
      <c r="E149" s="6">
        <v>2.2</v>
      </c>
      <c r="F149" s="1" t="s">
        <v>208</v>
      </c>
      <c r="G149" s="1" t="s">
        <v>242</v>
      </c>
      <c r="H149" s="1" t="s">
        <v>39</v>
      </c>
      <c r="I149" s="1" t="s">
        <v>39</v>
      </c>
      <c r="J149" s="1" t="s">
        <v>39</v>
      </c>
      <c r="K149" s="1" t="s">
        <v>40</v>
      </c>
      <c r="L149" s="4">
        <v>10200</v>
      </c>
      <c r="M149" s="6">
        <v>-38</v>
      </c>
      <c r="N149" s="7">
        <f>IF(AND(L149 &lt;&gt; "-", M149 &lt;&gt; "-"),L149*( 1 + M149%),0)</f>
      </c>
      <c r="O149" s="7">
        <f>( N149 * E149 )</f>
      </c>
      <c r="P149" s="1" t="s">
        <v>415</v>
      </c>
      <c r="Q149" s="6">
        <v>1</v>
      </c>
      <c r="R149" s="6">
        <v>62</v>
      </c>
      <c r="S149" s="4">
        <v>58</v>
      </c>
      <c r="T149" s="1" t="s">
        <v>42</v>
      </c>
      <c r="U149" s="5">
        <f>HYPERLINK("https://www.gia.edu/report-check?reportno=6442427886","6442427886")</f>
      </c>
      <c r="V149" s="1" t="s">
        <v>43</v>
      </c>
      <c r="W149" s="1" t="s">
        <v>67</v>
      </c>
      <c r="X149" s="1" t="s">
        <v>45</v>
      </c>
      <c r="Y149" s="1" t="s">
        <v>40</v>
      </c>
      <c r="Z149" s="1" t="s">
        <v>46</v>
      </c>
      <c r="AA149" s="1" t="s">
        <v>47</v>
      </c>
      <c r="AB149" s="1" t="s">
        <v>40</v>
      </c>
      <c r="AC149" s="1" t="s">
        <v>48</v>
      </c>
      <c r="AD149" s="1" t="s">
        <v>43</v>
      </c>
      <c r="AE149" s="8">
        <f>IF(L149&lt;&gt;"",L149*E149,0)</f>
      </c>
    </row>
    <row r="150" spans="1:31" x14ac:dyDescent="0.25">
      <c r="A150" s="4">
        <v>145</v>
      </c>
      <c r="B150" s="1" t="s">
        <v>416</v>
      </c>
      <c r="C150" s="5">
        <f>HYPERLINK("https://client.unique.diamonds/dna/11184-8","DNA")</f>
      </c>
      <c r="D150" s="1" t="s">
        <v>36</v>
      </c>
      <c r="E150" s="6">
        <v>2.5</v>
      </c>
      <c r="F150" s="1" t="s">
        <v>208</v>
      </c>
      <c r="G150" s="1" t="s">
        <v>242</v>
      </c>
      <c r="H150" s="1" t="s">
        <v>39</v>
      </c>
      <c r="I150" s="1" t="s">
        <v>39</v>
      </c>
      <c r="J150" s="1" t="s">
        <v>39</v>
      </c>
      <c r="K150" s="1" t="s">
        <v>40</v>
      </c>
      <c r="L150" s="4">
        <v>10200</v>
      </c>
      <c r="M150" s="6">
        <v>-30</v>
      </c>
      <c r="N150" s="7">
        <f>IF(AND(L150 &lt;&gt; "-", M150 &lt;&gt; "-"),L150*( 1 + M150%),0)</f>
      </c>
      <c r="O150" s="7">
        <f>( N150 * E150 )</f>
      </c>
      <c r="P150" s="1" t="s">
        <v>417</v>
      </c>
      <c r="Q150" s="6">
        <v>1.01</v>
      </c>
      <c r="R150" s="6">
        <v>62.1</v>
      </c>
      <c r="S150" s="4">
        <v>57</v>
      </c>
      <c r="T150" s="1" t="s">
        <v>42</v>
      </c>
      <c r="U150" s="5">
        <f>HYPERLINK("https://www.gia.edu/report-check?reportno=5446529441","5446529441")</f>
      </c>
      <c r="V150" s="1" t="s">
        <v>43</v>
      </c>
      <c r="W150" s="1" t="s">
        <v>204</v>
      </c>
      <c r="X150" s="1" t="s">
        <v>418</v>
      </c>
      <c r="Y150" s="1" t="s">
        <v>40</v>
      </c>
      <c r="Z150" s="1" t="s">
        <v>46</v>
      </c>
      <c r="AA150" s="1" t="s">
        <v>52</v>
      </c>
      <c r="AB150" s="1" t="s">
        <v>73</v>
      </c>
      <c r="AC150" s="1" t="s">
        <v>48</v>
      </c>
      <c r="AD150" s="1" t="s">
        <v>43</v>
      </c>
      <c r="AE150" s="8">
        <f>IF(L150&lt;&gt;"",L150*E150,0)</f>
      </c>
    </row>
    <row r="151" spans="1:31" x14ac:dyDescent="0.25">
      <c r="A151" s="4">
        <v>146</v>
      </c>
      <c r="B151" s="1" t="s">
        <v>419</v>
      </c>
      <c r="C151" s="5">
        <f>HYPERLINK("https://client.unique.diamonds/dna/21027-28","DNA")</f>
      </c>
      <c r="D151" s="1" t="s">
        <v>36</v>
      </c>
      <c r="E151" s="6">
        <v>1.5</v>
      </c>
      <c r="F151" s="1" t="s">
        <v>37</v>
      </c>
      <c r="G151" s="1" t="s">
        <v>420</v>
      </c>
      <c r="H151" s="1" t="s">
        <v>39</v>
      </c>
      <c r="I151" s="1" t="s">
        <v>39</v>
      </c>
      <c r="J151" s="1" t="s">
        <v>39</v>
      </c>
      <c r="K151" s="1" t="s">
        <v>40</v>
      </c>
      <c r="L151" s="4">
        <v>12100</v>
      </c>
      <c r="M151" s="6">
        <v>-41.25</v>
      </c>
      <c r="N151" s="7">
        <f>IF(AND(L151 &lt;&gt; "-", M151 &lt;&gt; "-"),L151*( 1 + M151%),0)</f>
      </c>
      <c r="O151" s="7">
        <f>( N151 * E151 )</f>
      </c>
      <c r="P151" s="1" t="s">
        <v>421</v>
      </c>
      <c r="Q151" s="6">
        <v>1.01</v>
      </c>
      <c r="R151" s="6">
        <v>61.5</v>
      </c>
      <c r="S151" s="4">
        <v>60</v>
      </c>
      <c r="T151" s="1" t="s">
        <v>42</v>
      </c>
      <c r="U151" s="5">
        <f>HYPERLINK("https://www.gia.edu/report-check?reportno=2456661407","2456661407")</f>
      </c>
      <c r="V151" s="1" t="s">
        <v>43</v>
      </c>
      <c r="W151" s="1" t="s">
        <v>249</v>
      </c>
      <c r="X151" s="1" t="s">
        <v>45</v>
      </c>
      <c r="Y151" s="1" t="s">
        <v>40</v>
      </c>
      <c r="Z151" s="1" t="s">
        <v>59</v>
      </c>
      <c r="AA151" s="1" t="s">
        <v>47</v>
      </c>
      <c r="AB151" s="1" t="s">
        <v>47</v>
      </c>
      <c r="AC151" s="1" t="s">
        <v>226</v>
      </c>
      <c r="AD151" s="1" t="s">
        <v>43</v>
      </c>
      <c r="AE151" s="8">
        <f>IF(L151&lt;&gt;"",L151*E151,0)</f>
      </c>
    </row>
    <row r="152" spans="1:31" x14ac:dyDescent="0.25">
      <c r="A152" s="4">
        <v>147</v>
      </c>
      <c r="B152" s="1" t="s">
        <v>422</v>
      </c>
      <c r="C152" s="5">
        <f>HYPERLINK("https://client.unique.diamonds/dna/21130-42","DNA")</f>
      </c>
      <c r="D152" s="1" t="s">
        <v>36</v>
      </c>
      <c r="E152" s="6">
        <v>1.56</v>
      </c>
      <c r="F152" s="1" t="s">
        <v>37</v>
      </c>
      <c r="G152" s="1" t="s">
        <v>420</v>
      </c>
      <c r="H152" s="1" t="s">
        <v>39</v>
      </c>
      <c r="I152" s="1" t="s">
        <v>39</v>
      </c>
      <c r="J152" s="1" t="s">
        <v>39</v>
      </c>
      <c r="K152" s="1" t="s">
        <v>94</v>
      </c>
      <c r="L152" s="4">
        <v>12100</v>
      </c>
      <c r="M152" s="6">
        <v>-47.5</v>
      </c>
      <c r="N152" s="7">
        <f>IF(AND(L152 &lt;&gt; "-", M152 &lt;&gt; "-"),L152*( 1 + M152%),0)</f>
      </c>
      <c r="O152" s="7">
        <f>( N152 * E152 )</f>
      </c>
      <c r="P152" s="1" t="s">
        <v>423</v>
      </c>
      <c r="Q152" s="6">
        <v>1</v>
      </c>
      <c r="R152" s="6">
        <v>62.5</v>
      </c>
      <c r="S152" s="4">
        <v>57</v>
      </c>
      <c r="T152" s="1" t="s">
        <v>42</v>
      </c>
      <c r="U152" s="5">
        <f>HYPERLINK("https://www.gia.edu/report-check?reportno=2468689387","2468689387")</f>
      </c>
      <c r="V152" s="1" t="s">
        <v>43</v>
      </c>
      <c r="W152" s="1" t="s">
        <v>408</v>
      </c>
      <c r="X152" s="1" t="s">
        <v>59</v>
      </c>
      <c r="Y152" s="1" t="s">
        <v>40</v>
      </c>
      <c r="Z152" s="1" t="s">
        <v>40</v>
      </c>
      <c r="AA152" s="1" t="s">
        <v>52</v>
      </c>
      <c r="AB152" s="1" t="s">
        <v>40</v>
      </c>
      <c r="AC152" s="1" t="s">
        <v>48</v>
      </c>
      <c r="AD152" s="1" t="s">
        <v>43</v>
      </c>
      <c r="AE152" s="8">
        <f>IF(L152&lt;&gt;"",L152*E152,0)</f>
      </c>
    </row>
    <row r="153" spans="1:31" x14ac:dyDescent="0.25">
      <c r="A153" s="4">
        <v>148</v>
      </c>
      <c r="B153" s="1" t="s">
        <v>424</v>
      </c>
      <c r="C153" s="5">
        <f>HYPERLINK("https://client.unique.diamonds/dna/11241-32","DNA")</f>
      </c>
      <c r="D153" s="1" t="s">
        <v>36</v>
      </c>
      <c r="E153" s="6">
        <v>2.02</v>
      </c>
      <c r="F153" s="1" t="s">
        <v>37</v>
      </c>
      <c r="G153" s="1" t="s">
        <v>420</v>
      </c>
      <c r="H153" s="1" t="s">
        <v>39</v>
      </c>
      <c r="I153" s="1" t="s">
        <v>39</v>
      </c>
      <c r="J153" s="1" t="s">
        <v>39</v>
      </c>
      <c r="K153" s="1" t="s">
        <v>94</v>
      </c>
      <c r="L153" s="4">
        <v>16900</v>
      </c>
      <c r="M153" s="6">
        <v>-46.68</v>
      </c>
      <c r="N153" s="7">
        <f>IF(AND(L153 &lt;&gt; "-", M153 &lt;&gt; "-"),L153*( 1 + M153%),0)</f>
      </c>
      <c r="O153" s="7">
        <f>( N153 * E153 )</f>
      </c>
      <c r="P153" s="1" t="s">
        <v>425</v>
      </c>
      <c r="Q153" s="6">
        <v>1</v>
      </c>
      <c r="R153" s="6">
        <v>62.5</v>
      </c>
      <c r="S153" s="4">
        <v>59</v>
      </c>
      <c r="T153" s="1" t="s">
        <v>42</v>
      </c>
      <c r="U153" s="5">
        <f>HYPERLINK("https://www.gia.edu/report-check?reportno=2448488531","2448488531")</f>
      </c>
      <c r="V153" s="1" t="s">
        <v>43</v>
      </c>
      <c r="W153" s="1" t="s">
        <v>297</v>
      </c>
      <c r="X153" s="1" t="s">
        <v>46</v>
      </c>
      <c r="Y153" s="1" t="s">
        <v>40</v>
      </c>
      <c r="Z153" s="1" t="s">
        <v>46</v>
      </c>
      <c r="AA153" s="1" t="s">
        <v>40</v>
      </c>
      <c r="AB153" s="1" t="s">
        <v>73</v>
      </c>
      <c r="AC153" s="1" t="s">
        <v>48</v>
      </c>
      <c r="AD153" s="1" t="s">
        <v>43</v>
      </c>
      <c r="AE153" s="8">
        <f>IF(L153&lt;&gt;"",L153*E153,0)</f>
      </c>
    </row>
    <row r="154" spans="1:31" x14ac:dyDescent="0.25">
      <c r="A154" s="4">
        <v>149</v>
      </c>
      <c r="B154" s="1" t="s">
        <v>426</v>
      </c>
      <c r="C154" s="5">
        <f>HYPERLINK("https://client.unique.diamonds/dna/11190-15","DNA")</f>
      </c>
      <c r="D154" s="1" t="s">
        <v>36</v>
      </c>
      <c r="E154" s="6">
        <v>2.03</v>
      </c>
      <c r="F154" s="1" t="s">
        <v>37</v>
      </c>
      <c r="G154" s="1" t="s">
        <v>420</v>
      </c>
      <c r="H154" s="1" t="s">
        <v>39</v>
      </c>
      <c r="I154" s="1" t="s">
        <v>39</v>
      </c>
      <c r="J154" s="1" t="s">
        <v>39</v>
      </c>
      <c r="K154" s="1" t="s">
        <v>40</v>
      </c>
      <c r="L154" s="4">
        <v>16900</v>
      </c>
      <c r="M154" s="6">
        <v>-44.5</v>
      </c>
      <c r="N154" s="7">
        <f>IF(AND(L154 &lt;&gt; "-", M154 &lt;&gt; "-"),L154*( 1 + M154%),0)</f>
      </c>
      <c r="O154" s="7">
        <f>( N154 * E154 )</f>
      </c>
      <c r="P154" s="1" t="s">
        <v>427</v>
      </c>
      <c r="Q154" s="6">
        <v>1</v>
      </c>
      <c r="R154" s="6">
        <v>61.2</v>
      </c>
      <c r="S154" s="4">
        <v>59</v>
      </c>
      <c r="T154" s="1" t="s">
        <v>42</v>
      </c>
      <c r="U154" s="5">
        <f>HYPERLINK("https://www.gia.edu/report-check?reportno=6445094926","6445094926")</f>
      </c>
      <c r="V154" s="1" t="s">
        <v>43</v>
      </c>
      <c r="W154" s="1" t="s">
        <v>319</v>
      </c>
      <c r="X154" s="1" t="s">
        <v>59</v>
      </c>
      <c r="Y154" s="1" t="s">
        <v>40</v>
      </c>
      <c r="Z154" s="1" t="s">
        <v>59</v>
      </c>
      <c r="AA154" s="1" t="s">
        <v>367</v>
      </c>
      <c r="AB154" s="1" t="s">
        <v>47</v>
      </c>
      <c r="AC154" s="1" t="s">
        <v>48</v>
      </c>
      <c r="AD154" s="1" t="s">
        <v>43</v>
      </c>
      <c r="AE154" s="8">
        <f>IF(L154&lt;&gt;"",L154*E154,0)</f>
      </c>
    </row>
    <row r="155" spans="1:31" x14ac:dyDescent="0.25">
      <c r="A155" s="4">
        <v>150</v>
      </c>
      <c r="B155" s="1" t="s">
        <v>428</v>
      </c>
      <c r="C155" s="5">
        <f>HYPERLINK("https://client.unique.diamonds/dna/11241-245","DNA")</f>
      </c>
      <c r="D155" s="1" t="s">
        <v>36</v>
      </c>
      <c r="E155" s="6">
        <v>2.05</v>
      </c>
      <c r="F155" s="1" t="s">
        <v>37</v>
      </c>
      <c r="G155" s="1" t="s">
        <v>420</v>
      </c>
      <c r="H155" s="1" t="s">
        <v>39</v>
      </c>
      <c r="I155" s="1" t="s">
        <v>39</v>
      </c>
      <c r="J155" s="1" t="s">
        <v>39</v>
      </c>
      <c r="K155" s="1" t="s">
        <v>94</v>
      </c>
      <c r="L155" s="4">
        <v>16900</v>
      </c>
      <c r="M155" s="6">
        <v>-46.17</v>
      </c>
      <c r="N155" s="7">
        <f>IF(AND(L155 &lt;&gt; "-", M155 &lt;&gt; "-"),L155*( 1 + M155%),0)</f>
      </c>
      <c r="O155" s="7">
        <f>( N155 * E155 )</f>
      </c>
      <c r="P155" s="1" t="s">
        <v>429</v>
      </c>
      <c r="Q155" s="6">
        <v>1</v>
      </c>
      <c r="R155" s="6">
        <v>62</v>
      </c>
      <c r="S155" s="4">
        <v>59</v>
      </c>
      <c r="T155" s="1" t="s">
        <v>42</v>
      </c>
      <c r="U155" s="5">
        <f>HYPERLINK("https://www.gia.edu/report-check?reportno=2225693891","2225693891")</f>
      </c>
      <c r="V155" s="1" t="s">
        <v>43</v>
      </c>
      <c r="W155" s="1" t="s">
        <v>218</v>
      </c>
      <c r="X155" s="1" t="s">
        <v>45</v>
      </c>
      <c r="Y155" s="1" t="s">
        <v>40</v>
      </c>
      <c r="Z155" s="1" t="s">
        <v>45</v>
      </c>
      <c r="AA155" s="1" t="s">
        <v>52</v>
      </c>
      <c r="AB155" s="1" t="s">
        <v>47</v>
      </c>
      <c r="AC155" s="1" t="s">
        <v>48</v>
      </c>
      <c r="AD155" s="1" t="s">
        <v>43</v>
      </c>
      <c r="AE155" s="8">
        <f>IF(L155&lt;&gt;"",L155*E155,0)</f>
      </c>
    </row>
    <row r="156" spans="1:31" x14ac:dyDescent="0.25">
      <c r="A156" s="4">
        <v>151</v>
      </c>
      <c r="B156" s="1" t="s">
        <v>430</v>
      </c>
      <c r="C156" s="5">
        <f>HYPERLINK("https://client.unique.diamonds/dna/11225-52","DNA")</f>
      </c>
      <c r="D156" s="1" t="s">
        <v>36</v>
      </c>
      <c r="E156" s="6">
        <v>2.09</v>
      </c>
      <c r="F156" s="1" t="s">
        <v>37</v>
      </c>
      <c r="G156" s="1" t="s">
        <v>420</v>
      </c>
      <c r="H156" s="1" t="s">
        <v>39</v>
      </c>
      <c r="I156" s="1" t="s">
        <v>39</v>
      </c>
      <c r="J156" s="1" t="s">
        <v>39</v>
      </c>
      <c r="K156" s="1" t="s">
        <v>40</v>
      </c>
      <c r="L156" s="4">
        <v>16900</v>
      </c>
      <c r="M156" s="6">
        <v>-42.12</v>
      </c>
      <c r="N156" s="7">
        <f>IF(AND(L156 &lt;&gt; "-", M156 &lt;&gt; "-"),L156*( 1 + M156%),0)</f>
      </c>
      <c r="O156" s="7">
        <f>( N156 * E156 )</f>
      </c>
      <c r="P156" s="1" t="s">
        <v>431</v>
      </c>
      <c r="Q156" s="6">
        <v>1.01</v>
      </c>
      <c r="R156" s="6">
        <v>62.2</v>
      </c>
      <c r="S156" s="4">
        <v>58</v>
      </c>
      <c r="T156" s="1" t="s">
        <v>42</v>
      </c>
      <c r="U156" s="5">
        <f>HYPERLINK("https://www.gia.edu/report-check?reportno=6445493391","6445493391")</f>
      </c>
      <c r="V156" s="1" t="s">
        <v>43</v>
      </c>
      <c r="W156" s="1" t="s">
        <v>128</v>
      </c>
      <c r="X156" s="1" t="s">
        <v>46</v>
      </c>
      <c r="Y156" s="1" t="s">
        <v>40</v>
      </c>
      <c r="Z156" s="1" t="s">
        <v>46</v>
      </c>
      <c r="AA156" s="1" t="s">
        <v>47</v>
      </c>
      <c r="AB156" s="1" t="s">
        <v>47</v>
      </c>
      <c r="AC156" s="1" t="s">
        <v>48</v>
      </c>
      <c r="AD156" s="1" t="s">
        <v>43</v>
      </c>
      <c r="AE156" s="8">
        <f>IF(L156&lt;&gt;"",L156*E156,0)</f>
      </c>
    </row>
    <row r="157" spans="1:31" x14ac:dyDescent="0.25">
      <c r="A157" s="4">
        <v>152</v>
      </c>
      <c r="B157" s="1" t="s">
        <v>432</v>
      </c>
      <c r="C157" s="5">
        <f>HYPERLINK("https://client.unique.diamonds/dna/11231-5","DNA")</f>
      </c>
      <c r="D157" s="1" t="s">
        <v>36</v>
      </c>
      <c r="E157" s="6">
        <v>2.21</v>
      </c>
      <c r="F157" s="1" t="s">
        <v>37</v>
      </c>
      <c r="G157" s="1" t="s">
        <v>420</v>
      </c>
      <c r="H157" s="1" t="s">
        <v>39</v>
      </c>
      <c r="I157" s="1" t="s">
        <v>39</v>
      </c>
      <c r="J157" s="1" t="s">
        <v>39</v>
      </c>
      <c r="K157" s="1" t="s">
        <v>90</v>
      </c>
      <c r="L157" s="4">
        <v>16900</v>
      </c>
      <c r="M157" s="6">
        <v>-44.15</v>
      </c>
      <c r="N157" s="7">
        <f>IF(AND(L157 &lt;&gt; "-", M157 &lt;&gt; "-"),L157*( 1 + M157%),0)</f>
      </c>
      <c r="O157" s="7">
        <f>( N157 * E157 )</f>
      </c>
      <c r="P157" s="1" t="s">
        <v>433</v>
      </c>
      <c r="Q157" s="6">
        <v>1.01</v>
      </c>
      <c r="R157" s="6">
        <v>62.6</v>
      </c>
      <c r="S157" s="4">
        <v>57</v>
      </c>
      <c r="T157" s="1" t="s">
        <v>42</v>
      </c>
      <c r="U157" s="5">
        <f>HYPERLINK("https://www.gia.edu/report-check?reportno=5446428152","5446428152")</f>
      </c>
      <c r="V157" s="1" t="s">
        <v>43</v>
      </c>
      <c r="W157" s="1" t="s">
        <v>96</v>
      </c>
      <c r="X157" s="1" t="s">
        <v>59</v>
      </c>
      <c r="Y157" s="1" t="s">
        <v>40</v>
      </c>
      <c r="Z157" s="1" t="s">
        <v>59</v>
      </c>
      <c r="AA157" s="1" t="s">
        <v>47</v>
      </c>
      <c r="AB157" s="1" t="s">
        <v>73</v>
      </c>
      <c r="AC157" s="1" t="s">
        <v>48</v>
      </c>
      <c r="AD157" s="1" t="s">
        <v>43</v>
      </c>
      <c r="AE157" s="8">
        <f>IF(L157&lt;&gt;"",L157*E157,0)</f>
      </c>
    </row>
    <row r="158" spans="1:31" x14ac:dyDescent="0.25">
      <c r="A158" s="4">
        <v>153</v>
      </c>
      <c r="B158" s="1" t="s">
        <v>434</v>
      </c>
      <c r="C158" s="5">
        <f>HYPERLINK("https://client.unique.diamonds/dna/21067-35","DNA")</f>
      </c>
      <c r="D158" s="1" t="s">
        <v>36</v>
      </c>
      <c r="E158" s="6">
        <v>2.42</v>
      </c>
      <c r="F158" s="1" t="s">
        <v>37</v>
      </c>
      <c r="G158" s="1" t="s">
        <v>420</v>
      </c>
      <c r="H158" s="1" t="s">
        <v>39</v>
      </c>
      <c r="I158" s="1" t="s">
        <v>39</v>
      </c>
      <c r="J158" s="1" t="s">
        <v>39</v>
      </c>
      <c r="K158" s="1" t="s">
        <v>94</v>
      </c>
      <c r="L158" s="4">
        <v>16900</v>
      </c>
      <c r="M158" s="6">
        <v>-42</v>
      </c>
      <c r="N158" s="7">
        <f>IF(AND(L158 &lt;&gt; "-", M158 &lt;&gt; "-"),L158*( 1 + M158%),0)</f>
      </c>
      <c r="O158" s="7">
        <f>( N158 * E158 )</f>
      </c>
      <c r="P158" s="1" t="s">
        <v>435</v>
      </c>
      <c r="Q158" s="6">
        <v>1.01</v>
      </c>
      <c r="R158" s="6">
        <v>62.2</v>
      </c>
      <c r="S158" s="4">
        <v>58</v>
      </c>
      <c r="T158" s="1" t="s">
        <v>42</v>
      </c>
      <c r="U158" s="5">
        <f>HYPERLINK("https://www.gia.edu/report-check?reportno=7463153108","7463153108")</f>
      </c>
      <c r="V158" s="1" t="s">
        <v>43</v>
      </c>
      <c r="W158" s="1" t="s">
        <v>319</v>
      </c>
      <c r="X158" s="1" t="s">
        <v>59</v>
      </c>
      <c r="Y158" s="1" t="s">
        <v>40</v>
      </c>
      <c r="Z158" s="1" t="s">
        <v>59</v>
      </c>
      <c r="AA158" s="1" t="s">
        <v>52</v>
      </c>
      <c r="AB158" s="1" t="s">
        <v>73</v>
      </c>
      <c r="AC158" s="1" t="s">
        <v>48</v>
      </c>
      <c r="AD158" s="1" t="s">
        <v>43</v>
      </c>
      <c r="AE158" s="8">
        <f>IF(L158&lt;&gt;"",L158*E158,0)</f>
      </c>
    </row>
    <row r="159" spans="1:31" x14ac:dyDescent="0.25">
      <c r="A159" s="4">
        <v>154</v>
      </c>
      <c r="B159" s="1" t="s">
        <v>436</v>
      </c>
      <c r="C159" s="5">
        <f>HYPERLINK("https://client.unique.diamonds/dna/21078-6","DNA")</f>
      </c>
      <c r="D159" s="1" t="s">
        <v>36</v>
      </c>
      <c r="E159" s="6">
        <v>3.01</v>
      </c>
      <c r="F159" s="1" t="s">
        <v>37</v>
      </c>
      <c r="G159" s="1" t="s">
        <v>420</v>
      </c>
      <c r="H159" s="1" t="s">
        <v>39</v>
      </c>
      <c r="I159" s="1" t="s">
        <v>39</v>
      </c>
      <c r="J159" s="1" t="s">
        <v>39</v>
      </c>
      <c r="K159" s="1" t="s">
        <v>40</v>
      </c>
      <c r="L159" s="4">
        <v>26200</v>
      </c>
      <c r="M159" s="6">
        <v>-42.5</v>
      </c>
      <c r="N159" s="7">
        <f>IF(AND(L159 &lt;&gt; "-", M159 &lt;&gt; "-"),L159*( 1 + M159%),0)</f>
      </c>
      <c r="O159" s="7">
        <f>( N159 * E159 )</f>
      </c>
      <c r="P159" s="1" t="s">
        <v>437</v>
      </c>
      <c r="Q159" s="6">
        <v>1.01</v>
      </c>
      <c r="R159" s="6">
        <v>61.2</v>
      </c>
      <c r="S159" s="4">
        <v>59</v>
      </c>
      <c r="T159" s="1" t="s">
        <v>42</v>
      </c>
      <c r="U159" s="5">
        <f>HYPERLINK("https://www.gia.edu/report-check?reportno=2466146442","2466146442")</f>
      </c>
      <c r="V159" s="1" t="s">
        <v>43</v>
      </c>
      <c r="W159" s="1" t="s">
        <v>96</v>
      </c>
      <c r="X159" s="1" t="s">
        <v>46</v>
      </c>
      <c r="Y159" s="1" t="s">
        <v>40</v>
      </c>
      <c r="Z159" s="1" t="s">
        <v>59</v>
      </c>
      <c r="AA159" s="1" t="s">
        <v>367</v>
      </c>
      <c r="AB159" s="1" t="s">
        <v>73</v>
      </c>
      <c r="AC159" s="1" t="s">
        <v>226</v>
      </c>
      <c r="AD159" s="1" t="s">
        <v>43</v>
      </c>
      <c r="AE159" s="8">
        <f>IF(L159&lt;&gt;"",L159*E159,0)</f>
      </c>
    </row>
    <row r="160" spans="1:31" x14ac:dyDescent="0.25">
      <c r="A160" s="4">
        <v>155</v>
      </c>
      <c r="B160" s="1" t="s">
        <v>438</v>
      </c>
      <c r="C160" s="5">
        <f>HYPERLINK("https://client.unique.diamonds/dna/21078-18","DNA")</f>
      </c>
      <c r="D160" s="1" t="s">
        <v>36</v>
      </c>
      <c r="E160" s="6">
        <v>4.01</v>
      </c>
      <c r="F160" s="1" t="s">
        <v>37</v>
      </c>
      <c r="G160" s="1" t="s">
        <v>420</v>
      </c>
      <c r="H160" s="1" t="s">
        <v>39</v>
      </c>
      <c r="I160" s="1" t="s">
        <v>39</v>
      </c>
      <c r="J160" s="1" t="s">
        <v>39</v>
      </c>
      <c r="K160" s="1" t="s">
        <v>94</v>
      </c>
      <c r="L160" s="4">
        <v>31500</v>
      </c>
      <c r="M160" s="6">
        <v>-49.5</v>
      </c>
      <c r="N160" s="7">
        <f>IF(AND(L160 &lt;&gt; "-", M160 &lt;&gt; "-"),L160*( 1 + M160%),0)</f>
      </c>
      <c r="O160" s="7">
        <f>( N160 * E160 )</f>
      </c>
      <c r="P160" s="1" t="s">
        <v>439</v>
      </c>
      <c r="Q160" s="6">
        <v>1.01</v>
      </c>
      <c r="R160" s="6">
        <v>62.5</v>
      </c>
      <c r="S160" s="4">
        <v>56</v>
      </c>
      <c r="T160" s="1" t="s">
        <v>42</v>
      </c>
      <c r="U160" s="5">
        <f>HYPERLINK("https://www.gia.edu/report-check?reportno=5222890860","5222890860")</f>
      </c>
      <c r="V160" s="1" t="s">
        <v>43</v>
      </c>
      <c r="W160" s="1" t="s">
        <v>440</v>
      </c>
      <c r="X160" s="1" t="s">
        <v>64</v>
      </c>
      <c r="Y160" s="1" t="s">
        <v>40</v>
      </c>
      <c r="Z160" s="1" t="s">
        <v>59</v>
      </c>
      <c r="AA160" s="1" t="s">
        <v>47</v>
      </c>
      <c r="AB160" s="1" t="s">
        <v>47</v>
      </c>
      <c r="AC160" s="1" t="s">
        <v>48</v>
      </c>
      <c r="AD160" s="1" t="s">
        <v>43</v>
      </c>
      <c r="AE160" s="8">
        <f>IF(L160&lt;&gt;"",L160*E160,0)</f>
      </c>
    </row>
    <row r="161" spans="1:31" x14ac:dyDescent="0.25">
      <c r="A161" s="4">
        <v>156</v>
      </c>
      <c r="B161" s="1" t="s">
        <v>441</v>
      </c>
      <c r="C161" s="5">
        <f>HYPERLINK("https://client.unique.diamonds/dna/11147-15","DNA")</f>
      </c>
      <c r="D161" s="1" t="s">
        <v>36</v>
      </c>
      <c r="E161" s="6">
        <v>1.5</v>
      </c>
      <c r="F161" s="1" t="s">
        <v>61</v>
      </c>
      <c r="G161" s="1" t="s">
        <v>420</v>
      </c>
      <c r="H161" s="1" t="s">
        <v>39</v>
      </c>
      <c r="I161" s="1" t="s">
        <v>39</v>
      </c>
      <c r="J161" s="1" t="s">
        <v>39</v>
      </c>
      <c r="K161" s="1" t="s">
        <v>40</v>
      </c>
      <c r="L161" s="4">
        <v>11300</v>
      </c>
      <c r="M161" s="6">
        <v>-43.75</v>
      </c>
      <c r="N161" s="7">
        <f>IF(AND(L161 &lt;&gt; "-", M161 &lt;&gt; "-"),L161*( 1 + M161%),0)</f>
      </c>
      <c r="O161" s="7">
        <f>( N161 * E161 )</f>
      </c>
      <c r="P161" s="1" t="s">
        <v>442</v>
      </c>
      <c r="Q161" s="6">
        <v>1.01</v>
      </c>
      <c r="R161" s="6">
        <v>61.3</v>
      </c>
      <c r="S161" s="4">
        <v>59</v>
      </c>
      <c r="T161" s="1" t="s">
        <v>42</v>
      </c>
      <c r="U161" s="5">
        <f>HYPERLINK("https://www.gia.edu/report-check?reportno=2225493853","2225493853")</f>
      </c>
      <c r="V161" s="1" t="s">
        <v>43</v>
      </c>
      <c r="W161" s="1" t="s">
        <v>67</v>
      </c>
      <c r="X161" s="1" t="s">
        <v>46</v>
      </c>
      <c r="Y161" s="1" t="s">
        <v>40</v>
      </c>
      <c r="Z161" s="1" t="s">
        <v>357</v>
      </c>
      <c r="AA161" s="1" t="s">
        <v>47</v>
      </c>
      <c r="AB161" s="1" t="s">
        <v>47</v>
      </c>
      <c r="AC161" s="1" t="s">
        <v>329</v>
      </c>
      <c r="AD161" s="1" t="s">
        <v>43</v>
      </c>
      <c r="AE161" s="8">
        <f>IF(L161&lt;&gt;"",L161*E161,0)</f>
      </c>
    </row>
    <row r="162" spans="1:31" x14ac:dyDescent="0.25">
      <c r="A162" s="4">
        <v>157</v>
      </c>
      <c r="B162" s="1" t="s">
        <v>443</v>
      </c>
      <c r="C162" s="5">
        <f>HYPERLINK("https://client.unique.diamonds/dna/22001-30","DNA")</f>
      </c>
      <c r="D162" s="1" t="s">
        <v>36</v>
      </c>
      <c r="E162" s="6">
        <v>1.5</v>
      </c>
      <c r="F162" s="1" t="s">
        <v>61</v>
      </c>
      <c r="G162" s="1" t="s">
        <v>420</v>
      </c>
      <c r="H162" s="1" t="s">
        <v>39</v>
      </c>
      <c r="I162" s="1" t="s">
        <v>39</v>
      </c>
      <c r="J162" s="1" t="s">
        <v>39</v>
      </c>
      <c r="K162" s="1" t="s">
        <v>94</v>
      </c>
      <c r="L162" s="4">
        <v>11300</v>
      </c>
      <c r="M162" s="6">
        <v>-49.3</v>
      </c>
      <c r="N162" s="7">
        <f>IF(AND(L162 &lt;&gt; "-", M162 &lt;&gt; "-"),L162*( 1 + M162%),0)</f>
      </c>
      <c r="O162" s="7">
        <f>( N162 * E162 )</f>
      </c>
      <c r="P162" s="1" t="s">
        <v>50</v>
      </c>
      <c r="Q162" s="6">
        <v>1.01</v>
      </c>
      <c r="R162" s="6">
        <v>62.7</v>
      </c>
      <c r="S162" s="4">
        <v>57</v>
      </c>
      <c r="T162" s="1" t="s">
        <v>42</v>
      </c>
      <c r="U162" s="5">
        <f>HYPERLINK("https://www.gia.edu/report-check?reportno=1455570230","1455570230")</f>
      </c>
      <c r="V162" s="1" t="s">
        <v>43</v>
      </c>
      <c r="W162" s="1" t="s">
        <v>444</v>
      </c>
      <c r="X162" s="1" t="s">
        <v>59</v>
      </c>
      <c r="Y162" s="1" t="s">
        <v>40</v>
      </c>
      <c r="Z162" s="1" t="s">
        <v>46</v>
      </c>
      <c r="AA162" s="1" t="s">
        <v>47</v>
      </c>
      <c r="AB162" s="1" t="s">
        <v>47</v>
      </c>
      <c r="AC162" s="1" t="s">
        <v>48</v>
      </c>
      <c r="AD162" s="1" t="s">
        <v>43</v>
      </c>
      <c r="AE162" s="8">
        <f>IF(L162&lt;&gt;"",L162*E162,0)</f>
      </c>
    </row>
    <row r="163" spans="1:31" x14ac:dyDescent="0.25">
      <c r="A163" s="4">
        <v>158</v>
      </c>
      <c r="B163" s="1" t="s">
        <v>445</v>
      </c>
      <c r="C163" s="5">
        <f>HYPERLINK("https://client.unique.diamonds/dna/21008-9","DNA")</f>
      </c>
      <c r="D163" s="1" t="s">
        <v>36</v>
      </c>
      <c r="E163" s="6">
        <v>1.51</v>
      </c>
      <c r="F163" s="1" t="s">
        <v>61</v>
      </c>
      <c r="G163" s="1" t="s">
        <v>420</v>
      </c>
      <c r="H163" s="1" t="s">
        <v>39</v>
      </c>
      <c r="I163" s="1" t="s">
        <v>39</v>
      </c>
      <c r="J163" s="1" t="s">
        <v>39</v>
      </c>
      <c r="K163" s="1" t="s">
        <v>40</v>
      </c>
      <c r="L163" s="4">
        <v>11300</v>
      </c>
      <c r="M163" s="6">
        <v>-40.18</v>
      </c>
      <c r="N163" s="7">
        <f>IF(AND(L163 &lt;&gt; "-", M163 &lt;&gt; "-"),L163*( 1 + M163%),0)</f>
      </c>
      <c r="O163" s="7">
        <f>( N163 * E163 )</f>
      </c>
      <c r="P163" s="1" t="s">
        <v>446</v>
      </c>
      <c r="Q163" s="6">
        <v>1.01</v>
      </c>
      <c r="R163" s="6">
        <v>61.5</v>
      </c>
      <c r="S163" s="4">
        <v>59</v>
      </c>
      <c r="T163" s="1" t="s">
        <v>42</v>
      </c>
      <c r="U163" s="5">
        <f>HYPERLINK("https://www.gia.edu/report-check?reportno=6451436703","6451436703")</f>
      </c>
      <c r="V163" s="1" t="s">
        <v>43</v>
      </c>
      <c r="W163" s="1" t="s">
        <v>128</v>
      </c>
      <c r="X163" s="1" t="s">
        <v>46</v>
      </c>
      <c r="Y163" s="1" t="s">
        <v>40</v>
      </c>
      <c r="Z163" s="1" t="s">
        <v>59</v>
      </c>
      <c r="AA163" s="1" t="s">
        <v>47</v>
      </c>
      <c r="AB163" s="1" t="s">
        <v>47</v>
      </c>
      <c r="AC163" s="1" t="s">
        <v>48</v>
      </c>
      <c r="AD163" s="1" t="s">
        <v>43</v>
      </c>
      <c r="AE163" s="8">
        <f>IF(L163&lt;&gt;"",L163*E163,0)</f>
      </c>
    </row>
    <row r="164" spans="1:31" x14ac:dyDescent="0.25">
      <c r="A164" s="4">
        <v>159</v>
      </c>
      <c r="B164" s="1" t="s">
        <v>447</v>
      </c>
      <c r="C164" s="5">
        <f>HYPERLINK("https://client.unique.diamonds/dna/21130-91","DNA")</f>
      </c>
      <c r="D164" s="1" t="s">
        <v>36</v>
      </c>
      <c r="E164" s="6">
        <v>1.51</v>
      </c>
      <c r="F164" s="1" t="s">
        <v>61</v>
      </c>
      <c r="G164" s="1" t="s">
        <v>420</v>
      </c>
      <c r="H164" s="1" t="s">
        <v>39</v>
      </c>
      <c r="I164" s="1" t="s">
        <v>39</v>
      </c>
      <c r="J164" s="1" t="s">
        <v>39</v>
      </c>
      <c r="K164" s="1" t="s">
        <v>90</v>
      </c>
      <c r="L164" s="4">
        <v>11300</v>
      </c>
      <c r="M164" s="6">
        <v>-41</v>
      </c>
      <c r="N164" s="7">
        <f>IF(AND(L164 &lt;&gt; "-", M164 &lt;&gt; "-"),L164*( 1 + M164%),0)</f>
      </c>
      <c r="O164" s="7">
        <f>( N164 * E164 )</f>
      </c>
      <c r="P164" s="1" t="s">
        <v>243</v>
      </c>
      <c r="Q164" s="6">
        <v>1.01</v>
      </c>
      <c r="R164" s="6">
        <v>62.3</v>
      </c>
      <c r="S164" s="4">
        <v>58</v>
      </c>
      <c r="T164" s="1" t="s">
        <v>42</v>
      </c>
      <c r="U164" s="5">
        <f>HYPERLINK("https://www.gia.edu/report-check?reportno=7466751377","7466751377")</f>
      </c>
      <c r="V164" s="1" t="s">
        <v>43</v>
      </c>
      <c r="W164" s="1" t="s">
        <v>67</v>
      </c>
      <c r="X164" s="1" t="s">
        <v>40</v>
      </c>
      <c r="Y164" s="1" t="s">
        <v>40</v>
      </c>
      <c r="Z164" s="1" t="s">
        <v>46</v>
      </c>
      <c r="AA164" s="1" t="s">
        <v>52</v>
      </c>
      <c r="AB164" s="1" t="s">
        <v>47</v>
      </c>
      <c r="AC164" s="1" t="s">
        <v>48</v>
      </c>
      <c r="AD164" s="1" t="s">
        <v>43</v>
      </c>
      <c r="AE164" s="8">
        <f>IF(L164&lt;&gt;"",L164*E164,0)</f>
      </c>
    </row>
    <row r="165" spans="1:31" x14ac:dyDescent="0.25">
      <c r="A165" s="4">
        <v>160</v>
      </c>
      <c r="B165" s="1" t="s">
        <v>448</v>
      </c>
      <c r="C165" s="5">
        <f>HYPERLINK("https://client.unique.diamonds/dna/11043-37","DNA")</f>
      </c>
      <c r="D165" s="1" t="s">
        <v>36</v>
      </c>
      <c r="E165" s="6">
        <v>1.56</v>
      </c>
      <c r="F165" s="1" t="s">
        <v>61</v>
      </c>
      <c r="G165" s="1" t="s">
        <v>420</v>
      </c>
      <c r="H165" s="1" t="s">
        <v>39</v>
      </c>
      <c r="I165" s="1" t="s">
        <v>39</v>
      </c>
      <c r="J165" s="1" t="s">
        <v>39</v>
      </c>
      <c r="K165" s="1" t="s">
        <v>90</v>
      </c>
      <c r="L165" s="4">
        <v>11300</v>
      </c>
      <c r="M165" s="6">
        <v>-44.75</v>
      </c>
      <c r="N165" s="7">
        <f>IF(AND(L165 &lt;&gt; "-", M165 &lt;&gt; "-"),L165*( 1 + M165%),0)</f>
      </c>
      <c r="O165" s="7">
        <f>( N165 * E165 )</f>
      </c>
      <c r="P165" s="1" t="s">
        <v>449</v>
      </c>
      <c r="Q165" s="6">
        <v>1.01</v>
      </c>
      <c r="R165" s="6">
        <v>62.5</v>
      </c>
      <c r="S165" s="4">
        <v>58</v>
      </c>
      <c r="T165" s="1" t="s">
        <v>42</v>
      </c>
      <c r="U165" s="5">
        <f>HYPERLINK("https://www.gia.edu/report-check?reportno=2427355316","2427355316")</f>
      </c>
      <c r="V165" s="1" t="s">
        <v>43</v>
      </c>
      <c r="W165" s="1" t="s">
        <v>67</v>
      </c>
      <c r="X165" s="1" t="s">
        <v>59</v>
      </c>
      <c r="Y165" s="1" t="s">
        <v>40</v>
      </c>
      <c r="Z165" s="1" t="s">
        <v>46</v>
      </c>
      <c r="AA165" s="1" t="s">
        <v>52</v>
      </c>
      <c r="AB165" s="1" t="s">
        <v>40</v>
      </c>
      <c r="AC165" s="1" t="s">
        <v>48</v>
      </c>
      <c r="AD165" s="1" t="s">
        <v>43</v>
      </c>
      <c r="AE165" s="8">
        <f>IF(L165&lt;&gt;"",L165*E165,0)</f>
      </c>
    </row>
    <row r="166" spans="1:31" x14ac:dyDescent="0.25">
      <c r="A166" s="4">
        <v>161</v>
      </c>
      <c r="B166" s="1" t="s">
        <v>450</v>
      </c>
      <c r="C166" s="5">
        <f>HYPERLINK("https://client.unique.diamonds/dna/11076-75","DNA")</f>
      </c>
      <c r="D166" s="1" t="s">
        <v>36</v>
      </c>
      <c r="E166" s="6">
        <v>1.6</v>
      </c>
      <c r="F166" s="1" t="s">
        <v>61</v>
      </c>
      <c r="G166" s="1" t="s">
        <v>420</v>
      </c>
      <c r="H166" s="1" t="s">
        <v>39</v>
      </c>
      <c r="I166" s="1" t="s">
        <v>39</v>
      </c>
      <c r="J166" s="1" t="s">
        <v>39</v>
      </c>
      <c r="K166" s="1" t="s">
        <v>90</v>
      </c>
      <c r="L166" s="4">
        <v>11300</v>
      </c>
      <c r="M166" s="6">
        <v>-45.25</v>
      </c>
      <c r="N166" s="7">
        <f>IF(AND(L166 &lt;&gt; "-", M166 &lt;&gt; "-"),L166*( 1 + M166%),0)</f>
      </c>
      <c r="O166" s="7">
        <f>( N166 * E166 )</f>
      </c>
      <c r="P166" s="1" t="s">
        <v>451</v>
      </c>
      <c r="Q166" s="6">
        <v>1</v>
      </c>
      <c r="R166" s="6">
        <v>63.1</v>
      </c>
      <c r="S166" s="4">
        <v>54</v>
      </c>
      <c r="T166" s="1" t="s">
        <v>42</v>
      </c>
      <c r="U166" s="5">
        <f>HYPERLINK("https://www.gia.edu/report-check?reportno=2427754193","2427754193")</f>
      </c>
      <c r="V166" s="1" t="s">
        <v>43</v>
      </c>
      <c r="W166" s="1" t="s">
        <v>67</v>
      </c>
      <c r="X166" s="1" t="s">
        <v>59</v>
      </c>
      <c r="Y166" s="1" t="s">
        <v>40</v>
      </c>
      <c r="Z166" s="1" t="s">
        <v>46</v>
      </c>
      <c r="AA166" s="1" t="s">
        <v>47</v>
      </c>
      <c r="AB166" s="1" t="s">
        <v>47</v>
      </c>
      <c r="AC166" s="1" t="s">
        <v>48</v>
      </c>
      <c r="AD166" s="1" t="s">
        <v>43</v>
      </c>
      <c r="AE166" s="8">
        <f>IF(L166&lt;&gt;"",L166*E166,0)</f>
      </c>
    </row>
    <row r="167" spans="1:31" x14ac:dyDescent="0.25">
      <c r="A167" s="4">
        <v>162</v>
      </c>
      <c r="B167" s="1" t="s">
        <v>452</v>
      </c>
      <c r="C167" s="5">
        <f>HYPERLINK("https://client.unique.diamonds/dna/162-85","DNA")</f>
      </c>
      <c r="D167" s="1" t="s">
        <v>36</v>
      </c>
      <c r="E167" s="6">
        <v>1.7</v>
      </c>
      <c r="F167" s="1" t="s">
        <v>61</v>
      </c>
      <c r="G167" s="1" t="s">
        <v>420</v>
      </c>
      <c r="H167" s="1" t="s">
        <v>39</v>
      </c>
      <c r="I167" s="1" t="s">
        <v>39</v>
      </c>
      <c r="J167" s="1" t="s">
        <v>39</v>
      </c>
      <c r="K167" s="1" t="s">
        <v>94</v>
      </c>
      <c r="L167" s="4">
        <v>11300</v>
      </c>
      <c r="M167" s="6">
        <v>-46.51</v>
      </c>
      <c r="N167" s="7">
        <f>IF(AND(L167 &lt;&gt; "-", M167 &lt;&gt; "-"),L167*( 1 + M167%),0)</f>
      </c>
      <c r="O167" s="7">
        <f>( N167 * E167 )</f>
      </c>
      <c r="P167" s="1" t="s">
        <v>453</v>
      </c>
      <c r="Q167" s="6">
        <v>1.01</v>
      </c>
      <c r="R167" s="6">
        <v>60.8</v>
      </c>
      <c r="S167" s="4">
        <v>61</v>
      </c>
      <c r="T167" s="1" t="s">
        <v>42</v>
      </c>
      <c r="U167" s="5">
        <f>HYPERLINK("https://www.gia.edu/report-check?reportno=6441040774","6441040774")</f>
      </c>
      <c r="V167" s="1" t="s">
        <v>43</v>
      </c>
      <c r="W167" s="1" t="s">
        <v>454</v>
      </c>
      <c r="X167" s="1" t="s">
        <v>59</v>
      </c>
      <c r="Y167" s="1" t="s">
        <v>40</v>
      </c>
      <c r="Z167" s="1" t="s">
        <v>45</v>
      </c>
      <c r="AA167" s="1" t="s">
        <v>47</v>
      </c>
      <c r="AB167" s="1" t="s">
        <v>73</v>
      </c>
      <c r="AC167" s="1" t="s">
        <v>48</v>
      </c>
      <c r="AD167" s="1" t="s">
        <v>43</v>
      </c>
      <c r="AE167" s="8">
        <f>IF(L167&lt;&gt;"",L167*E167,0)</f>
      </c>
    </row>
    <row r="168" spans="1:31" x14ac:dyDescent="0.25">
      <c r="A168" s="4">
        <v>163</v>
      </c>
      <c r="B168" s="1" t="s">
        <v>455</v>
      </c>
      <c r="C168" s="5">
        <f>HYPERLINK("https://client.unique.diamonds/dna/11140-3","DNA")</f>
      </c>
      <c r="D168" s="1" t="s">
        <v>36</v>
      </c>
      <c r="E168" s="6">
        <v>1.7</v>
      </c>
      <c r="F168" s="1" t="s">
        <v>61</v>
      </c>
      <c r="G168" s="1" t="s">
        <v>420</v>
      </c>
      <c r="H168" s="1" t="s">
        <v>39</v>
      </c>
      <c r="I168" s="1" t="s">
        <v>39</v>
      </c>
      <c r="J168" s="1" t="s">
        <v>39</v>
      </c>
      <c r="K168" s="1" t="s">
        <v>40</v>
      </c>
      <c r="L168" s="4">
        <v>11300</v>
      </c>
      <c r="M168" s="6">
        <v>-42</v>
      </c>
      <c r="N168" s="7">
        <f>IF(AND(L168 &lt;&gt; "-", M168 &lt;&gt; "-"),L168*( 1 + M168%),0)</f>
      </c>
      <c r="O168" s="7">
        <f>( N168 * E168 )</f>
      </c>
      <c r="P168" s="1" t="s">
        <v>220</v>
      </c>
      <c r="Q168" s="6">
        <v>1.01</v>
      </c>
      <c r="R168" s="6">
        <v>62.5</v>
      </c>
      <c r="S168" s="4">
        <v>60</v>
      </c>
      <c r="T168" s="1" t="s">
        <v>42</v>
      </c>
      <c r="U168" s="5">
        <f>HYPERLINK("https://www.gia.edu/report-check?reportno=1438273459","1438273459")</f>
      </c>
      <c r="V168" s="1" t="s">
        <v>43</v>
      </c>
      <c r="W168" s="1" t="s">
        <v>456</v>
      </c>
      <c r="X168" s="1" t="s">
        <v>59</v>
      </c>
      <c r="Y168" s="1" t="s">
        <v>40</v>
      </c>
      <c r="Z168" s="1" t="s">
        <v>46</v>
      </c>
      <c r="AA168" s="1" t="s">
        <v>47</v>
      </c>
      <c r="AB168" s="1" t="s">
        <v>40</v>
      </c>
      <c r="AC168" s="1" t="s">
        <v>48</v>
      </c>
      <c r="AD168" s="1" t="s">
        <v>43</v>
      </c>
      <c r="AE168" s="8">
        <f>IF(L168&lt;&gt;"",L168*E168,0)</f>
      </c>
    </row>
    <row r="169" spans="1:31" x14ac:dyDescent="0.25">
      <c r="A169" s="4">
        <v>164</v>
      </c>
      <c r="B169" s="1" t="s">
        <v>457</v>
      </c>
      <c r="C169" s="5">
        <f>HYPERLINK("https://client.unique.diamonds/dna/21067-13","DNA")</f>
      </c>
      <c r="D169" s="1" t="s">
        <v>36</v>
      </c>
      <c r="E169" s="6">
        <v>2.01</v>
      </c>
      <c r="F169" s="1" t="s">
        <v>61</v>
      </c>
      <c r="G169" s="1" t="s">
        <v>420</v>
      </c>
      <c r="H169" s="1" t="s">
        <v>39</v>
      </c>
      <c r="I169" s="1" t="s">
        <v>39</v>
      </c>
      <c r="J169" s="1" t="s">
        <v>39</v>
      </c>
      <c r="K169" s="1" t="s">
        <v>40</v>
      </c>
      <c r="L169" s="4">
        <v>15900</v>
      </c>
      <c r="M169" s="6">
        <v>-33</v>
      </c>
      <c r="N169" s="7">
        <f>IF(AND(L169 &lt;&gt; "-", M169 &lt;&gt; "-"),L169*( 1 + M169%),0)</f>
      </c>
      <c r="O169" s="7">
        <f>( N169 * E169 )</f>
      </c>
      <c r="P169" s="1" t="s">
        <v>124</v>
      </c>
      <c r="Q169" s="6">
        <v>1.01</v>
      </c>
      <c r="R169" s="6">
        <v>62.3</v>
      </c>
      <c r="S169" s="4">
        <v>59</v>
      </c>
      <c r="T169" s="1" t="s">
        <v>42</v>
      </c>
      <c r="U169" s="5">
        <f>HYPERLINK("https://www.gia.edu/report-check?reportno=1463023483","1463023483")</f>
      </c>
      <c r="V169" s="1" t="s">
        <v>43</v>
      </c>
      <c r="W169" s="1" t="s">
        <v>288</v>
      </c>
      <c r="X169" s="1" t="s">
        <v>357</v>
      </c>
      <c r="Y169" s="1" t="s">
        <v>40</v>
      </c>
      <c r="Z169" s="1" t="s">
        <v>40</v>
      </c>
      <c r="AA169" s="1" t="s">
        <v>52</v>
      </c>
      <c r="AB169" s="1" t="s">
        <v>40</v>
      </c>
      <c r="AC169" s="1" t="s">
        <v>48</v>
      </c>
      <c r="AD169" s="1" t="s">
        <v>43</v>
      </c>
      <c r="AE169" s="8">
        <f>IF(L169&lt;&gt;"",L169*E169,0)</f>
      </c>
    </row>
    <row r="170" spans="1:31" x14ac:dyDescent="0.25">
      <c r="A170" s="4">
        <v>165</v>
      </c>
      <c r="B170" s="1" t="s">
        <v>458</v>
      </c>
      <c r="C170" s="5">
        <f>HYPERLINK("https://client.unique.diamonds/dna/11291-1","DNA")</f>
      </c>
      <c r="D170" s="1" t="s">
        <v>36</v>
      </c>
      <c r="E170" s="6">
        <v>2.02</v>
      </c>
      <c r="F170" s="1" t="s">
        <v>61</v>
      </c>
      <c r="G170" s="1" t="s">
        <v>420</v>
      </c>
      <c r="H170" s="1" t="s">
        <v>39</v>
      </c>
      <c r="I170" s="1" t="s">
        <v>39</v>
      </c>
      <c r="J170" s="1" t="s">
        <v>39</v>
      </c>
      <c r="K170" s="1" t="s">
        <v>40</v>
      </c>
      <c r="L170" s="4">
        <v>15900</v>
      </c>
      <c r="M170" s="6">
        <v>-39.02</v>
      </c>
      <c r="N170" s="7">
        <f>IF(AND(L170 &lt;&gt; "-", M170 &lt;&gt; "-"),L170*( 1 + M170%),0)</f>
      </c>
      <c r="O170" s="7">
        <f>( N170 * E170 )</f>
      </c>
      <c r="P170" s="1" t="s">
        <v>459</v>
      </c>
      <c r="Q170" s="6">
        <v>1</v>
      </c>
      <c r="R170" s="6">
        <v>62.5</v>
      </c>
      <c r="S170" s="4">
        <v>58</v>
      </c>
      <c r="T170" s="1" t="s">
        <v>42</v>
      </c>
      <c r="U170" s="5">
        <f>HYPERLINK("https://www.gia.edu/report-check?reportno=5453086360","5453086360")</f>
      </c>
      <c r="V170" s="1" t="s">
        <v>43</v>
      </c>
      <c r="W170" s="1" t="s">
        <v>67</v>
      </c>
      <c r="X170" s="1" t="s">
        <v>45</v>
      </c>
      <c r="Y170" s="1" t="s">
        <v>40</v>
      </c>
      <c r="Z170" s="1" t="s">
        <v>46</v>
      </c>
      <c r="AA170" s="1" t="s">
        <v>47</v>
      </c>
      <c r="AB170" s="1" t="s">
        <v>73</v>
      </c>
      <c r="AC170" s="1" t="s">
        <v>48</v>
      </c>
      <c r="AD170" s="1" t="s">
        <v>43</v>
      </c>
      <c r="AE170" s="8">
        <f>IF(L170&lt;&gt;"",L170*E170,0)</f>
      </c>
    </row>
    <row r="171" spans="1:31" x14ac:dyDescent="0.25">
      <c r="A171" s="4">
        <v>166</v>
      </c>
      <c r="B171" s="1" t="s">
        <v>460</v>
      </c>
      <c r="C171" s="5">
        <f>HYPERLINK("https://client.unique.diamonds/dna/21027-110","DNA")</f>
      </c>
      <c r="D171" s="1" t="s">
        <v>36</v>
      </c>
      <c r="E171" s="6">
        <v>2.9</v>
      </c>
      <c r="F171" s="1" t="s">
        <v>61</v>
      </c>
      <c r="G171" s="1" t="s">
        <v>420</v>
      </c>
      <c r="H171" s="1" t="s">
        <v>39</v>
      </c>
      <c r="I171" s="1" t="s">
        <v>39</v>
      </c>
      <c r="J171" s="1" t="s">
        <v>39</v>
      </c>
      <c r="K171" s="1" t="s">
        <v>40</v>
      </c>
      <c r="L171" s="4">
        <v>15900</v>
      </c>
      <c r="M171" s="6">
        <v>-18.73</v>
      </c>
      <c r="N171" s="7">
        <f>IF(AND(L171 &lt;&gt; "-", M171 &lt;&gt; "-"),L171*( 1 + M171%),0)</f>
      </c>
      <c r="O171" s="7">
        <f>( N171 * E171 )</f>
      </c>
      <c r="P171" s="1" t="s">
        <v>461</v>
      </c>
      <c r="Q171" s="6">
        <v>1.01</v>
      </c>
      <c r="R171" s="6">
        <v>62.6</v>
      </c>
      <c r="S171" s="4">
        <v>58</v>
      </c>
      <c r="T171" s="1" t="s">
        <v>42</v>
      </c>
      <c r="U171" s="5">
        <f>HYPERLINK("https://www.gia.edu/report-check?reportno=5456897005","5456897005")</f>
      </c>
      <c r="V171" s="1" t="s">
        <v>43</v>
      </c>
      <c r="W171" s="1" t="s">
        <v>462</v>
      </c>
      <c r="X171" s="1" t="s">
        <v>59</v>
      </c>
      <c r="Y171" s="1" t="s">
        <v>40</v>
      </c>
      <c r="Z171" s="1" t="s">
        <v>46</v>
      </c>
      <c r="AA171" s="1" t="s">
        <v>47</v>
      </c>
      <c r="AB171" s="1" t="s">
        <v>47</v>
      </c>
      <c r="AC171" s="1" t="s">
        <v>48</v>
      </c>
      <c r="AD171" s="1" t="s">
        <v>43</v>
      </c>
      <c r="AE171" s="8">
        <f>IF(L171&lt;&gt;"",L171*E171,0)</f>
      </c>
    </row>
    <row r="172" spans="1:31" x14ac:dyDescent="0.25">
      <c r="A172" s="4">
        <v>167</v>
      </c>
      <c r="B172" s="1" t="s">
        <v>463</v>
      </c>
      <c r="C172" s="5">
        <f>HYPERLINK("https://client.unique.diamonds/dna/12044-123","DNA")</f>
      </c>
      <c r="D172" s="1" t="s">
        <v>36</v>
      </c>
      <c r="E172" s="6">
        <v>1.7</v>
      </c>
      <c r="F172" s="1" t="s">
        <v>101</v>
      </c>
      <c r="G172" s="1" t="s">
        <v>420</v>
      </c>
      <c r="H172" s="1" t="s">
        <v>39</v>
      </c>
      <c r="I172" s="1" t="s">
        <v>39</v>
      </c>
      <c r="J172" s="1" t="s">
        <v>39</v>
      </c>
      <c r="K172" s="1" t="s">
        <v>90</v>
      </c>
      <c r="L172" s="4">
        <v>10600</v>
      </c>
      <c r="M172" s="6">
        <v>-39</v>
      </c>
      <c r="N172" s="7">
        <f>IF(AND(L172 &lt;&gt; "-", M172 &lt;&gt; "-"),L172*( 1 + M172%),0)</f>
      </c>
      <c r="O172" s="7">
        <f>( N172 * E172 )</f>
      </c>
      <c r="P172" s="1" t="s">
        <v>464</v>
      </c>
      <c r="Q172" s="6">
        <v>1.01</v>
      </c>
      <c r="R172" s="6">
        <v>62.6</v>
      </c>
      <c r="S172" s="4">
        <v>59</v>
      </c>
      <c r="T172" s="1" t="s">
        <v>42</v>
      </c>
      <c r="U172" s="5">
        <f>HYPERLINK("https://www.gia.edu/report-check?reportno=6431377934","6431377934")</f>
      </c>
      <c r="V172" s="1" t="s">
        <v>43</v>
      </c>
      <c r="W172" s="1" t="s">
        <v>88</v>
      </c>
      <c r="X172" s="1" t="s">
        <v>46</v>
      </c>
      <c r="Y172" s="1" t="s">
        <v>40</v>
      </c>
      <c r="Z172" s="1" t="s">
        <v>46</v>
      </c>
      <c r="AA172" s="1" t="s">
        <v>47</v>
      </c>
      <c r="AB172" s="1" t="s">
        <v>47</v>
      </c>
      <c r="AC172" s="1" t="s">
        <v>226</v>
      </c>
      <c r="AD172" s="1" t="s">
        <v>43</v>
      </c>
      <c r="AE172" s="8">
        <f>IF(L172&lt;&gt;"",L172*E172,0)</f>
      </c>
    </row>
    <row r="173" spans="1:31" x14ac:dyDescent="0.25">
      <c r="A173" s="4">
        <v>168</v>
      </c>
      <c r="B173" s="1" t="s">
        <v>465</v>
      </c>
      <c r="C173" s="5">
        <f>HYPERLINK("https://client.unique.diamonds/dna/11275-102","DNA")</f>
      </c>
      <c r="D173" s="1" t="s">
        <v>36</v>
      </c>
      <c r="E173" s="6">
        <v>1.72</v>
      </c>
      <c r="F173" s="1" t="s">
        <v>101</v>
      </c>
      <c r="G173" s="1" t="s">
        <v>420</v>
      </c>
      <c r="H173" s="1" t="s">
        <v>39</v>
      </c>
      <c r="I173" s="1" t="s">
        <v>39</v>
      </c>
      <c r="J173" s="1" t="s">
        <v>39</v>
      </c>
      <c r="K173" s="1" t="s">
        <v>94</v>
      </c>
      <c r="L173" s="4">
        <v>10600</v>
      </c>
      <c r="M173" s="6">
        <v>-42.16</v>
      </c>
      <c r="N173" s="7">
        <f>IF(AND(L173 &lt;&gt; "-", M173 &lt;&gt; "-"),L173*( 1 + M173%),0)</f>
      </c>
      <c r="O173" s="7">
        <f>( N173 * E173 )</f>
      </c>
      <c r="P173" s="1" t="s">
        <v>466</v>
      </c>
      <c r="Q173" s="6">
        <v>1.01</v>
      </c>
      <c r="R173" s="6">
        <v>62.6</v>
      </c>
      <c r="S173" s="4">
        <v>58</v>
      </c>
      <c r="T173" s="1" t="s">
        <v>42</v>
      </c>
      <c r="U173" s="5">
        <f>HYPERLINK("https://www.gia.edu/report-check?reportno=5453038739","5453038739")</f>
      </c>
      <c r="V173" s="1" t="s">
        <v>43</v>
      </c>
      <c r="W173" s="1" t="s">
        <v>467</v>
      </c>
      <c r="X173" s="1" t="s">
        <v>45</v>
      </c>
      <c r="Y173" s="1" t="s">
        <v>40</v>
      </c>
      <c r="Z173" s="1" t="s">
        <v>46</v>
      </c>
      <c r="AA173" s="1" t="s">
        <v>52</v>
      </c>
      <c r="AB173" s="1" t="s">
        <v>47</v>
      </c>
      <c r="AC173" s="1" t="s">
        <v>48</v>
      </c>
      <c r="AD173" s="1" t="s">
        <v>43</v>
      </c>
      <c r="AE173" s="8">
        <f>IF(L173&lt;&gt;"",L173*E173,0)</f>
      </c>
    </row>
    <row r="174" spans="1:31" x14ac:dyDescent="0.25">
      <c r="A174" s="4">
        <v>169</v>
      </c>
      <c r="B174" s="1" t="s">
        <v>468</v>
      </c>
      <c r="C174" s="5">
        <f>HYPERLINK("https://client.unique.diamonds/dna/22005-21","DNA")</f>
      </c>
      <c r="D174" s="1" t="s">
        <v>36</v>
      </c>
      <c r="E174" s="6">
        <v>1.8</v>
      </c>
      <c r="F174" s="1" t="s">
        <v>101</v>
      </c>
      <c r="G174" s="1" t="s">
        <v>420</v>
      </c>
      <c r="H174" s="1" t="s">
        <v>39</v>
      </c>
      <c r="I174" s="1" t="s">
        <v>39</v>
      </c>
      <c r="J174" s="1" t="s">
        <v>39</v>
      </c>
      <c r="K174" s="1" t="s">
        <v>94</v>
      </c>
      <c r="L174" s="4">
        <v>10600</v>
      </c>
      <c r="M174" s="6">
        <v>-39</v>
      </c>
      <c r="N174" s="7">
        <f>IF(AND(L174 &lt;&gt; "-", M174 &lt;&gt; "-"),L174*( 1 + M174%),0)</f>
      </c>
      <c r="O174" s="7">
        <f>( N174 * E174 )</f>
      </c>
      <c r="P174" s="1" t="s">
        <v>469</v>
      </c>
      <c r="Q174" s="6">
        <v>1</v>
      </c>
      <c r="R174" s="6">
        <v>58.3</v>
      </c>
      <c r="S174" s="4">
        <v>62</v>
      </c>
      <c r="T174" s="1" t="s">
        <v>42</v>
      </c>
      <c r="U174" s="5">
        <f>HYPERLINK("https://www.gia.edu/report-check?reportno=7461124103","7461124103")</f>
      </c>
      <c r="V174" s="1" t="s">
        <v>43</v>
      </c>
      <c r="W174" s="1" t="s">
        <v>67</v>
      </c>
      <c r="X174" s="1" t="s">
        <v>46</v>
      </c>
      <c r="Y174" s="1" t="s">
        <v>40</v>
      </c>
      <c r="Z174" s="1" t="s">
        <v>46</v>
      </c>
      <c r="AA174" s="1" t="s">
        <v>52</v>
      </c>
      <c r="AB174" s="1" t="s">
        <v>47</v>
      </c>
      <c r="AC174" s="1" t="s">
        <v>226</v>
      </c>
      <c r="AD174" s="1" t="s">
        <v>43</v>
      </c>
      <c r="AE174" s="8">
        <f>IF(L174&lt;&gt;"",L174*E174,0)</f>
      </c>
    </row>
    <row r="175" spans="1:31" x14ac:dyDescent="0.25">
      <c r="A175" s="4">
        <v>170</v>
      </c>
      <c r="B175" s="1" t="s">
        <v>470</v>
      </c>
      <c r="C175" s="5">
        <f>HYPERLINK("https://client.unique.diamonds/dna/21109-32","DNA")</f>
      </c>
      <c r="D175" s="1" t="s">
        <v>36</v>
      </c>
      <c r="E175" s="6">
        <v>1.8</v>
      </c>
      <c r="F175" s="1" t="s">
        <v>101</v>
      </c>
      <c r="G175" s="1" t="s">
        <v>420</v>
      </c>
      <c r="H175" s="1" t="s">
        <v>39</v>
      </c>
      <c r="I175" s="1" t="s">
        <v>39</v>
      </c>
      <c r="J175" s="1" t="s">
        <v>39</v>
      </c>
      <c r="K175" s="1" t="s">
        <v>40</v>
      </c>
      <c r="L175" s="4">
        <v>10600</v>
      </c>
      <c r="M175" s="6">
        <v>-22.5</v>
      </c>
      <c r="N175" s="7">
        <f>IF(AND(L175 &lt;&gt; "-", M175 &lt;&gt; "-"),L175*( 1 + M175%),0)</f>
      </c>
      <c r="O175" s="7">
        <f>( N175 * E175 )</f>
      </c>
      <c r="P175" s="1" t="s">
        <v>471</v>
      </c>
      <c r="Q175" s="6">
        <v>1</v>
      </c>
      <c r="R175" s="6">
        <v>62.7</v>
      </c>
      <c r="S175" s="4">
        <v>58</v>
      </c>
      <c r="T175" s="1" t="s">
        <v>42</v>
      </c>
      <c r="U175" s="5">
        <f>HYPERLINK("https://www.gia.edu/report-check?reportno=1468552279","1468552279")</f>
      </c>
      <c r="V175" s="1" t="s">
        <v>43</v>
      </c>
      <c r="W175" s="1" t="s">
        <v>285</v>
      </c>
      <c r="X175" s="1" t="s">
        <v>59</v>
      </c>
      <c r="Y175" s="1" t="s">
        <v>40</v>
      </c>
      <c r="Z175" s="1" t="s">
        <v>46</v>
      </c>
      <c r="AA175" s="1" t="s">
        <v>47</v>
      </c>
      <c r="AB175" s="1" t="s">
        <v>40</v>
      </c>
      <c r="AC175" s="1" t="s">
        <v>226</v>
      </c>
      <c r="AD175" s="1" t="s">
        <v>43</v>
      </c>
      <c r="AE175" s="8">
        <f>IF(L175&lt;&gt;"",L175*E175,0)</f>
      </c>
    </row>
    <row r="176" spans="1:31" x14ac:dyDescent="0.25">
      <c r="A176" s="4">
        <v>171</v>
      </c>
      <c r="B176" s="1" t="s">
        <v>472</v>
      </c>
      <c r="C176" s="5">
        <f>HYPERLINK("https://client.unique.diamonds/dna/21130-79","DNA")</f>
      </c>
      <c r="D176" s="1" t="s">
        <v>36</v>
      </c>
      <c r="E176" s="6">
        <v>1.8</v>
      </c>
      <c r="F176" s="1" t="s">
        <v>101</v>
      </c>
      <c r="G176" s="1" t="s">
        <v>420</v>
      </c>
      <c r="H176" s="1" t="s">
        <v>39</v>
      </c>
      <c r="I176" s="1" t="s">
        <v>39</v>
      </c>
      <c r="J176" s="1" t="s">
        <v>39</v>
      </c>
      <c r="K176" s="1" t="s">
        <v>90</v>
      </c>
      <c r="L176" s="4">
        <v>10600</v>
      </c>
      <c r="M176" s="6">
        <v>-33.5</v>
      </c>
      <c r="N176" s="7">
        <f>IF(AND(L176 &lt;&gt; "-", M176 &lt;&gt; "-"),L176*( 1 + M176%),0)</f>
      </c>
      <c r="O176" s="7">
        <f>( N176 * E176 )</f>
      </c>
      <c r="P176" s="1" t="s">
        <v>473</v>
      </c>
      <c r="Q176" s="6">
        <v>1.01</v>
      </c>
      <c r="R176" s="6">
        <v>62.5</v>
      </c>
      <c r="S176" s="4">
        <v>57</v>
      </c>
      <c r="T176" s="1" t="s">
        <v>42</v>
      </c>
      <c r="U176" s="5">
        <f>HYPERLINK("https://www.gia.edu/report-check?reportno=6462726554","6462726554")</f>
      </c>
      <c r="V176" s="1" t="s">
        <v>43</v>
      </c>
      <c r="W176" s="1" t="s">
        <v>67</v>
      </c>
      <c r="X176" s="1" t="s">
        <v>40</v>
      </c>
      <c r="Y176" s="1" t="s">
        <v>40</v>
      </c>
      <c r="Z176" s="1" t="s">
        <v>46</v>
      </c>
      <c r="AA176" s="1" t="s">
        <v>367</v>
      </c>
      <c r="AB176" s="1" t="s">
        <v>47</v>
      </c>
      <c r="AC176" s="1" t="s">
        <v>48</v>
      </c>
      <c r="AD176" s="1" t="s">
        <v>43</v>
      </c>
      <c r="AE176" s="8">
        <f>IF(L176&lt;&gt;"",L176*E176,0)</f>
      </c>
    </row>
    <row r="177" spans="1:31" x14ac:dyDescent="0.25">
      <c r="A177" s="4">
        <v>172</v>
      </c>
      <c r="B177" s="1" t="s">
        <v>474</v>
      </c>
      <c r="C177" s="5">
        <f>HYPERLINK("https://client.unique.diamonds/dna/21001-1","DNA")</f>
      </c>
      <c r="D177" s="1" t="s">
        <v>36</v>
      </c>
      <c r="E177" s="6">
        <v>2.01</v>
      </c>
      <c r="F177" s="1" t="s">
        <v>101</v>
      </c>
      <c r="G177" s="1" t="s">
        <v>420</v>
      </c>
      <c r="H177" s="1" t="s">
        <v>39</v>
      </c>
      <c r="I177" s="1" t="s">
        <v>39</v>
      </c>
      <c r="J177" s="1" t="s">
        <v>39</v>
      </c>
      <c r="K177" s="1" t="s">
        <v>40</v>
      </c>
      <c r="L177" s="4">
        <v>14800</v>
      </c>
      <c r="M177" s="6">
        <v>-42.5</v>
      </c>
      <c r="N177" s="7">
        <f>IF(AND(L177 &lt;&gt; "-", M177 &lt;&gt; "-"),L177*( 1 + M177%),0)</f>
      </c>
      <c r="O177" s="7">
        <f>( N177 * E177 )</f>
      </c>
      <c r="P177" s="1" t="s">
        <v>475</v>
      </c>
      <c r="Q177" s="6">
        <v>1.01</v>
      </c>
      <c r="R177" s="6">
        <v>62.7</v>
      </c>
      <c r="S177" s="4">
        <v>59</v>
      </c>
      <c r="T177" s="1" t="s">
        <v>42</v>
      </c>
      <c r="U177" s="5">
        <f>HYPERLINK("https://www.gia.edu/report-check?reportno=2457287842","2457287842")</f>
      </c>
      <c r="V177" s="1" t="s">
        <v>43</v>
      </c>
      <c r="W177" s="1" t="s">
        <v>128</v>
      </c>
      <c r="X177" s="1" t="s">
        <v>46</v>
      </c>
      <c r="Y177" s="1" t="s">
        <v>40</v>
      </c>
      <c r="Z177" s="1" t="s">
        <v>40</v>
      </c>
      <c r="AA177" s="1" t="s">
        <v>47</v>
      </c>
      <c r="AB177" s="1" t="s">
        <v>47</v>
      </c>
      <c r="AC177" s="1" t="s">
        <v>48</v>
      </c>
      <c r="AD177" s="1" t="s">
        <v>43</v>
      </c>
      <c r="AE177" s="8">
        <f>IF(L177&lt;&gt;"",L177*E177,0)</f>
      </c>
    </row>
    <row r="178" spans="1:31" x14ac:dyDescent="0.25">
      <c r="A178" s="4">
        <v>173</v>
      </c>
      <c r="B178" s="1" t="s">
        <v>476</v>
      </c>
      <c r="C178" s="5">
        <f>HYPERLINK("https://client.unique.diamonds/dna/21001-121","DNA")</f>
      </c>
      <c r="D178" s="1" t="s">
        <v>36</v>
      </c>
      <c r="E178" s="6">
        <v>2.01</v>
      </c>
      <c r="F178" s="1" t="s">
        <v>101</v>
      </c>
      <c r="G178" s="1" t="s">
        <v>420</v>
      </c>
      <c r="H178" s="1" t="s">
        <v>39</v>
      </c>
      <c r="I178" s="1" t="s">
        <v>39</v>
      </c>
      <c r="J178" s="1" t="s">
        <v>39</v>
      </c>
      <c r="K178" s="1" t="s">
        <v>40</v>
      </c>
      <c r="L178" s="4">
        <v>14800</v>
      </c>
      <c r="M178" s="6">
        <v>-34.88</v>
      </c>
      <c r="N178" s="7">
        <f>IF(AND(L178 &lt;&gt; "-", M178 &lt;&gt; "-"),L178*( 1 + M178%),0)</f>
      </c>
      <c r="O178" s="7">
        <f>( N178 * E178 )</f>
      </c>
      <c r="P178" s="1" t="s">
        <v>477</v>
      </c>
      <c r="Q178" s="6">
        <v>1.01</v>
      </c>
      <c r="R178" s="6">
        <v>62.5</v>
      </c>
      <c r="S178" s="4">
        <v>53</v>
      </c>
      <c r="T178" s="1" t="s">
        <v>42</v>
      </c>
      <c r="U178" s="5">
        <f>HYPERLINK("https://www.gia.edu/report-check?reportno=1453515966","1453515966")</f>
      </c>
      <c r="V178" s="1" t="s">
        <v>43</v>
      </c>
      <c r="W178" s="1" t="s">
        <v>294</v>
      </c>
      <c r="X178" s="1" t="s">
        <v>45</v>
      </c>
      <c r="Y178" s="1" t="s">
        <v>40</v>
      </c>
      <c r="Z178" s="1" t="s">
        <v>46</v>
      </c>
      <c r="AA178" s="1" t="s">
        <v>47</v>
      </c>
      <c r="AB178" s="1" t="s">
        <v>73</v>
      </c>
      <c r="AC178" s="1" t="s">
        <v>48</v>
      </c>
      <c r="AD178" s="1" t="s">
        <v>43</v>
      </c>
      <c r="AE178" s="8">
        <f>IF(L178&lt;&gt;"",L178*E178,0)</f>
      </c>
    </row>
    <row r="179" spans="1:31" x14ac:dyDescent="0.25">
      <c r="A179" s="4">
        <v>174</v>
      </c>
      <c r="B179" s="1" t="s">
        <v>478</v>
      </c>
      <c r="C179" s="5">
        <f>HYPERLINK("https://client.unique.diamonds/dna/141441-28","DNA")</f>
      </c>
      <c r="D179" s="1" t="s">
        <v>36</v>
      </c>
      <c r="E179" s="6">
        <v>2.26</v>
      </c>
      <c r="F179" s="1" t="s">
        <v>101</v>
      </c>
      <c r="G179" s="1" t="s">
        <v>420</v>
      </c>
      <c r="H179" s="1" t="s">
        <v>39</v>
      </c>
      <c r="I179" s="1" t="s">
        <v>39</v>
      </c>
      <c r="J179" s="1" t="s">
        <v>39</v>
      </c>
      <c r="K179" s="1" t="s">
        <v>90</v>
      </c>
      <c r="L179" s="4">
        <v>14800</v>
      </c>
      <c r="M179" s="6">
        <v>-47</v>
      </c>
      <c r="N179" s="7">
        <f>IF(AND(L179 &lt;&gt; "-", M179 &lt;&gt; "-"),L179*( 1 + M179%),0)</f>
      </c>
      <c r="O179" s="7">
        <f>( N179 * E179 )</f>
      </c>
      <c r="P179" s="1" t="s">
        <v>479</v>
      </c>
      <c r="Q179" s="6">
        <v>1.01</v>
      </c>
      <c r="R179" s="6">
        <v>62.6</v>
      </c>
      <c r="S179" s="4">
        <v>58</v>
      </c>
      <c r="T179" s="1" t="s">
        <v>42</v>
      </c>
      <c r="U179" s="5">
        <f>HYPERLINK("https://www.gia.edu/report-check?reportno=6227200607","6227200607")</f>
      </c>
      <c r="V179" s="1" t="s">
        <v>43</v>
      </c>
      <c r="W179" s="1" t="s">
        <v>411</v>
      </c>
      <c r="X179" s="1" t="s">
        <v>45</v>
      </c>
      <c r="Y179" s="1" t="s">
        <v>40</v>
      </c>
      <c r="Z179" s="1" t="s">
        <v>46</v>
      </c>
      <c r="AA179" s="1" t="s">
        <v>47</v>
      </c>
      <c r="AB179" s="1" t="s">
        <v>47</v>
      </c>
      <c r="AC179" s="1" t="s">
        <v>48</v>
      </c>
      <c r="AD179" s="1" t="s">
        <v>43</v>
      </c>
      <c r="AE179" s="8">
        <f>IF(L179&lt;&gt;"",L179*E179,0)</f>
      </c>
    </row>
    <row r="180" spans="1:31" x14ac:dyDescent="0.25">
      <c r="A180" s="4">
        <v>175</v>
      </c>
      <c r="B180" s="1" t="s">
        <v>480</v>
      </c>
      <c r="C180" s="5">
        <f>HYPERLINK("https://client.unique.diamonds/dna/22001-38","DNA")</f>
      </c>
      <c r="D180" s="1" t="s">
        <v>36</v>
      </c>
      <c r="E180" s="6">
        <v>2.3</v>
      </c>
      <c r="F180" s="1" t="s">
        <v>101</v>
      </c>
      <c r="G180" s="1" t="s">
        <v>420</v>
      </c>
      <c r="H180" s="1" t="s">
        <v>39</v>
      </c>
      <c r="I180" s="1" t="s">
        <v>39</v>
      </c>
      <c r="J180" s="1" t="s">
        <v>39</v>
      </c>
      <c r="K180" s="1" t="s">
        <v>94</v>
      </c>
      <c r="L180" s="4">
        <v>14800</v>
      </c>
      <c r="M180" s="6">
        <v>-50.12</v>
      </c>
      <c r="N180" s="7">
        <f>IF(AND(L180 &lt;&gt; "-", M180 &lt;&gt; "-"),L180*( 1 + M180%),0)</f>
      </c>
      <c r="O180" s="7">
        <f>( N180 * E180 )</f>
      </c>
      <c r="P180" s="1" t="s">
        <v>481</v>
      </c>
      <c r="Q180" s="6">
        <v>1.01</v>
      </c>
      <c r="R180" s="6">
        <v>62.6</v>
      </c>
      <c r="S180" s="4">
        <v>59</v>
      </c>
      <c r="T180" s="1" t="s">
        <v>42</v>
      </c>
      <c r="U180" s="5">
        <f>HYPERLINK("https://www.gia.edu/report-check?reportno=6452583332","6452583332")</f>
      </c>
      <c r="V180" s="1" t="s">
        <v>43</v>
      </c>
      <c r="W180" s="1" t="s">
        <v>178</v>
      </c>
      <c r="X180" s="1" t="s">
        <v>45</v>
      </c>
      <c r="Y180" s="1" t="s">
        <v>40</v>
      </c>
      <c r="Z180" s="1" t="s">
        <v>45</v>
      </c>
      <c r="AA180" s="1" t="s">
        <v>47</v>
      </c>
      <c r="AB180" s="1" t="s">
        <v>47</v>
      </c>
      <c r="AC180" s="1" t="s">
        <v>48</v>
      </c>
      <c r="AD180" s="1" t="s">
        <v>43</v>
      </c>
      <c r="AE180" s="8">
        <f>IF(L180&lt;&gt;"",L180*E180,0)</f>
      </c>
    </row>
    <row r="181" spans="1:31" x14ac:dyDescent="0.25">
      <c r="A181" s="4">
        <v>176</v>
      </c>
      <c r="B181" s="1" t="s">
        <v>482</v>
      </c>
      <c r="C181" s="5">
        <f>HYPERLINK("https://client.unique.diamonds/dna/162-34","DNA")</f>
      </c>
      <c r="D181" s="1" t="s">
        <v>36</v>
      </c>
      <c r="E181" s="6">
        <v>2.5</v>
      </c>
      <c r="F181" s="1" t="s">
        <v>101</v>
      </c>
      <c r="G181" s="1" t="s">
        <v>420</v>
      </c>
      <c r="H181" s="1" t="s">
        <v>39</v>
      </c>
      <c r="I181" s="1" t="s">
        <v>39</v>
      </c>
      <c r="J181" s="1" t="s">
        <v>39</v>
      </c>
      <c r="K181" s="1" t="s">
        <v>94</v>
      </c>
      <c r="L181" s="4">
        <v>14800</v>
      </c>
      <c r="M181" s="6">
        <v>-43.01</v>
      </c>
      <c r="N181" s="7">
        <f>IF(AND(L181 &lt;&gt; "-", M181 &lt;&gt; "-"),L181*( 1 + M181%),0)</f>
      </c>
      <c r="O181" s="7">
        <f>( N181 * E181 )</f>
      </c>
      <c r="P181" s="1" t="s">
        <v>483</v>
      </c>
      <c r="Q181" s="6">
        <v>1</v>
      </c>
      <c r="R181" s="6">
        <v>62.6</v>
      </c>
      <c r="S181" s="4">
        <v>56</v>
      </c>
      <c r="T181" s="1" t="s">
        <v>42</v>
      </c>
      <c r="U181" s="5">
        <f>HYPERLINK("https://www.gia.edu/report-check?reportno=6441058923","6441058923")</f>
      </c>
      <c r="V181" s="1" t="s">
        <v>43</v>
      </c>
      <c r="W181" s="1" t="s">
        <v>484</v>
      </c>
      <c r="X181" s="1" t="s">
        <v>45</v>
      </c>
      <c r="Y181" s="1" t="s">
        <v>40</v>
      </c>
      <c r="Z181" s="1" t="s">
        <v>46</v>
      </c>
      <c r="AA181" s="1" t="s">
        <v>47</v>
      </c>
      <c r="AB181" s="1" t="s">
        <v>367</v>
      </c>
      <c r="AC181" s="1" t="s">
        <v>48</v>
      </c>
      <c r="AD181" s="1" t="s">
        <v>43</v>
      </c>
      <c r="AE181" s="8">
        <f>IF(L181&lt;&gt;"",L181*E181,0)</f>
      </c>
    </row>
    <row r="182" spans="1:31" x14ac:dyDescent="0.25">
      <c r="A182" s="4">
        <v>177</v>
      </c>
      <c r="B182" s="1" t="s">
        <v>485</v>
      </c>
      <c r="C182" s="5">
        <f>HYPERLINK("https://client.unique.diamonds/dna/161-52","DNA")</f>
      </c>
      <c r="D182" s="1" t="s">
        <v>36</v>
      </c>
      <c r="E182" s="6">
        <v>2.5</v>
      </c>
      <c r="F182" s="1" t="s">
        <v>101</v>
      </c>
      <c r="G182" s="1" t="s">
        <v>420</v>
      </c>
      <c r="H182" s="1" t="s">
        <v>39</v>
      </c>
      <c r="I182" s="1" t="s">
        <v>39</v>
      </c>
      <c r="J182" s="1" t="s">
        <v>39</v>
      </c>
      <c r="K182" s="1" t="s">
        <v>40</v>
      </c>
      <c r="L182" s="4">
        <v>14800</v>
      </c>
      <c r="M182" s="6">
        <v>-33.86</v>
      </c>
      <c r="N182" s="7">
        <f>IF(AND(L182 &lt;&gt; "-", M182 &lt;&gt; "-"),L182*( 1 + M182%),0)</f>
      </c>
      <c r="O182" s="7">
        <f>( N182 * E182 )</f>
      </c>
      <c r="P182" s="1" t="s">
        <v>486</v>
      </c>
      <c r="Q182" s="6">
        <v>1.01</v>
      </c>
      <c r="R182" s="6">
        <v>61.4</v>
      </c>
      <c r="S182" s="4">
        <v>56</v>
      </c>
      <c r="T182" s="1" t="s">
        <v>42</v>
      </c>
      <c r="U182" s="5">
        <f>HYPERLINK("https://www.gia.edu/report-check?reportno=6435571702","6435571702")</f>
      </c>
      <c r="V182" s="1" t="s">
        <v>43</v>
      </c>
      <c r="W182" s="1" t="s">
        <v>314</v>
      </c>
      <c r="X182" s="1" t="s">
        <v>59</v>
      </c>
      <c r="Y182" s="1" t="s">
        <v>40</v>
      </c>
      <c r="Z182" s="1" t="s">
        <v>59</v>
      </c>
      <c r="AA182" s="1" t="s">
        <v>47</v>
      </c>
      <c r="AB182" s="1" t="s">
        <v>73</v>
      </c>
      <c r="AC182" s="1" t="s">
        <v>48</v>
      </c>
      <c r="AD182" s="1" t="s">
        <v>43</v>
      </c>
      <c r="AE182" s="8">
        <f>IF(L182&lt;&gt;"",L182*E182,0)</f>
      </c>
    </row>
    <row r="183" spans="1:31" x14ac:dyDescent="0.25">
      <c r="A183" s="4">
        <v>178</v>
      </c>
      <c r="B183" s="1" t="s">
        <v>487</v>
      </c>
      <c r="C183" s="5">
        <f>HYPERLINK("https://client.unique.diamonds/dna/22001-10","DNA")</f>
      </c>
      <c r="D183" s="1" t="s">
        <v>36</v>
      </c>
      <c r="E183" s="6">
        <v>1.5</v>
      </c>
      <c r="F183" s="1" t="s">
        <v>138</v>
      </c>
      <c r="G183" s="1" t="s">
        <v>420</v>
      </c>
      <c r="H183" s="1" t="s">
        <v>39</v>
      </c>
      <c r="I183" s="1" t="s">
        <v>39</v>
      </c>
      <c r="J183" s="1" t="s">
        <v>39</v>
      </c>
      <c r="K183" s="1" t="s">
        <v>90</v>
      </c>
      <c r="L183" s="4">
        <v>9900</v>
      </c>
      <c r="M183" s="6">
        <v>-38.04</v>
      </c>
      <c r="N183" s="7">
        <f>IF(AND(L183 &lt;&gt; "-", M183 &lt;&gt; "-"),L183*( 1 + M183%),0)</f>
      </c>
      <c r="O183" s="7">
        <f>( N183 * E183 )</f>
      </c>
      <c r="P183" s="1" t="s">
        <v>488</v>
      </c>
      <c r="Q183" s="6">
        <v>1</v>
      </c>
      <c r="R183" s="6">
        <v>59.4</v>
      </c>
      <c r="S183" s="4">
        <v>62</v>
      </c>
      <c r="T183" s="1" t="s">
        <v>42</v>
      </c>
      <c r="U183" s="5">
        <f>HYPERLINK("https://www.gia.edu/report-check?reportno=6455483375","6455483375")</f>
      </c>
      <c r="V183" s="1" t="s">
        <v>43</v>
      </c>
      <c r="W183" s="1" t="s">
        <v>67</v>
      </c>
      <c r="X183" s="1" t="s">
        <v>59</v>
      </c>
      <c r="Y183" s="1" t="s">
        <v>40</v>
      </c>
      <c r="Z183" s="1" t="s">
        <v>59</v>
      </c>
      <c r="AA183" s="1" t="s">
        <v>52</v>
      </c>
      <c r="AB183" s="1" t="s">
        <v>40</v>
      </c>
      <c r="AC183" s="1" t="s">
        <v>48</v>
      </c>
      <c r="AD183" s="1" t="s">
        <v>43</v>
      </c>
      <c r="AE183" s="8">
        <f>IF(L183&lt;&gt;"",L183*E183,0)</f>
      </c>
    </row>
    <row r="184" spans="1:31" x14ac:dyDescent="0.25">
      <c r="A184" s="4">
        <v>179</v>
      </c>
      <c r="B184" s="1" t="s">
        <v>489</v>
      </c>
      <c r="C184" s="5">
        <f>HYPERLINK("https://client.unique.diamonds/dna/161-55","DNA")</f>
      </c>
      <c r="D184" s="1" t="s">
        <v>36</v>
      </c>
      <c r="E184" s="6">
        <v>1.51</v>
      </c>
      <c r="F184" s="1" t="s">
        <v>138</v>
      </c>
      <c r="G184" s="1" t="s">
        <v>420</v>
      </c>
      <c r="H184" s="1" t="s">
        <v>39</v>
      </c>
      <c r="I184" s="1" t="s">
        <v>39</v>
      </c>
      <c r="J184" s="1" t="s">
        <v>39</v>
      </c>
      <c r="K184" s="1" t="s">
        <v>90</v>
      </c>
      <c r="L184" s="4">
        <v>9900</v>
      </c>
      <c r="M184" s="6">
        <v>-43.88</v>
      </c>
      <c r="N184" s="7">
        <f>IF(AND(L184 &lt;&gt; "-", M184 &lt;&gt; "-"),L184*( 1 + M184%),0)</f>
      </c>
      <c r="O184" s="7">
        <f>( N184 * E184 )</f>
      </c>
      <c r="P184" s="1" t="s">
        <v>490</v>
      </c>
      <c r="Q184" s="6">
        <v>1.01</v>
      </c>
      <c r="R184" s="6">
        <v>59.7</v>
      </c>
      <c r="S184" s="4">
        <v>62</v>
      </c>
      <c r="T184" s="1" t="s">
        <v>42</v>
      </c>
      <c r="U184" s="5">
        <f>HYPERLINK("https://www.gia.edu/report-check?reportno=6431069434","6431069434")</f>
      </c>
      <c r="V184" s="1" t="s">
        <v>43</v>
      </c>
      <c r="W184" s="1" t="s">
        <v>193</v>
      </c>
      <c r="X184" s="1" t="s">
        <v>45</v>
      </c>
      <c r="Y184" s="1" t="s">
        <v>40</v>
      </c>
      <c r="Z184" s="1" t="s">
        <v>45</v>
      </c>
      <c r="AA184" s="1" t="s">
        <v>47</v>
      </c>
      <c r="AB184" s="1" t="s">
        <v>47</v>
      </c>
      <c r="AC184" s="1" t="s">
        <v>48</v>
      </c>
      <c r="AD184" s="1" t="s">
        <v>43</v>
      </c>
      <c r="AE184" s="8">
        <f>IF(L184&lt;&gt;"",L184*E184,0)</f>
      </c>
    </row>
    <row r="185" spans="1:31" x14ac:dyDescent="0.25">
      <c r="A185" s="4">
        <v>180</v>
      </c>
      <c r="B185" s="1" t="s">
        <v>491</v>
      </c>
      <c r="C185" s="5">
        <f>HYPERLINK("https://client.unique.diamonds/dna/11174-11","DNA")</f>
      </c>
      <c r="D185" s="1" t="s">
        <v>36</v>
      </c>
      <c r="E185" s="6">
        <v>1.6</v>
      </c>
      <c r="F185" s="1" t="s">
        <v>138</v>
      </c>
      <c r="G185" s="1" t="s">
        <v>420</v>
      </c>
      <c r="H185" s="1" t="s">
        <v>39</v>
      </c>
      <c r="I185" s="1" t="s">
        <v>39</v>
      </c>
      <c r="J185" s="1" t="s">
        <v>39</v>
      </c>
      <c r="K185" s="1" t="s">
        <v>40</v>
      </c>
      <c r="L185" s="4">
        <v>9900</v>
      </c>
      <c r="M185" s="6">
        <v>-37.79</v>
      </c>
      <c r="N185" s="7">
        <f>IF(AND(L185 &lt;&gt; "-", M185 &lt;&gt; "-"),L185*( 1 + M185%),0)</f>
      </c>
      <c r="O185" s="7">
        <f>( N185 * E185 )</f>
      </c>
      <c r="P185" s="1" t="s">
        <v>492</v>
      </c>
      <c r="Q185" s="6">
        <v>1</v>
      </c>
      <c r="R185" s="6">
        <v>62</v>
      </c>
      <c r="S185" s="4">
        <v>59</v>
      </c>
      <c r="T185" s="1" t="s">
        <v>42</v>
      </c>
      <c r="U185" s="5">
        <f>HYPERLINK("https://www.gia.edu/report-check?reportno=6227587840","6227587840")</f>
      </c>
      <c r="V185" s="1" t="s">
        <v>43</v>
      </c>
      <c r="W185" s="1" t="s">
        <v>67</v>
      </c>
      <c r="X185" s="1" t="s">
        <v>46</v>
      </c>
      <c r="Y185" s="1" t="s">
        <v>40</v>
      </c>
      <c r="Z185" s="1" t="s">
        <v>46</v>
      </c>
      <c r="AA185" s="1" t="s">
        <v>47</v>
      </c>
      <c r="AB185" s="1" t="s">
        <v>40</v>
      </c>
      <c r="AC185" s="1" t="s">
        <v>48</v>
      </c>
      <c r="AD185" s="1" t="s">
        <v>43</v>
      </c>
      <c r="AE185" s="8">
        <f>IF(L185&lt;&gt;"",L185*E185,0)</f>
      </c>
    </row>
    <row r="186" spans="1:31" x14ac:dyDescent="0.25">
      <c r="A186" s="4">
        <v>181</v>
      </c>
      <c r="B186" s="1" t="s">
        <v>493</v>
      </c>
      <c r="C186" s="5">
        <f>HYPERLINK("https://client.unique.diamonds/dna/11275-31","DNA")</f>
      </c>
      <c r="D186" s="1" t="s">
        <v>36</v>
      </c>
      <c r="E186" s="6">
        <v>1.76</v>
      </c>
      <c r="F186" s="1" t="s">
        <v>138</v>
      </c>
      <c r="G186" s="1" t="s">
        <v>420</v>
      </c>
      <c r="H186" s="1" t="s">
        <v>39</v>
      </c>
      <c r="I186" s="1" t="s">
        <v>39</v>
      </c>
      <c r="J186" s="1" t="s">
        <v>39</v>
      </c>
      <c r="K186" s="1" t="s">
        <v>40</v>
      </c>
      <c r="L186" s="4">
        <v>9900</v>
      </c>
      <c r="M186" s="6">
        <v>-36.01</v>
      </c>
      <c r="N186" s="7">
        <f>IF(AND(L186 &lt;&gt; "-", M186 &lt;&gt; "-"),L186*( 1 + M186%),0)</f>
      </c>
      <c r="O186" s="7">
        <f>( N186 * E186 )</f>
      </c>
      <c r="P186" s="1" t="s">
        <v>494</v>
      </c>
      <c r="Q186" s="6">
        <v>1.01</v>
      </c>
      <c r="R186" s="6">
        <v>61.4</v>
      </c>
      <c r="S186" s="4">
        <v>59</v>
      </c>
      <c r="T186" s="1" t="s">
        <v>42</v>
      </c>
      <c r="U186" s="5">
        <f>HYPERLINK("https://www.gia.edu/report-check?reportno=6441927291","6441927291")</f>
      </c>
      <c r="V186" s="1" t="s">
        <v>43</v>
      </c>
      <c r="W186" s="1" t="s">
        <v>164</v>
      </c>
      <c r="X186" s="1" t="s">
        <v>59</v>
      </c>
      <c r="Y186" s="1" t="s">
        <v>40</v>
      </c>
      <c r="Z186" s="1" t="s">
        <v>59</v>
      </c>
      <c r="AA186" s="1" t="s">
        <v>367</v>
      </c>
      <c r="AB186" s="1" t="s">
        <v>47</v>
      </c>
      <c r="AC186" s="1" t="s">
        <v>226</v>
      </c>
      <c r="AD186" s="1" t="s">
        <v>43</v>
      </c>
      <c r="AE186" s="8">
        <f>IF(L186&lt;&gt;"",L186*E186,0)</f>
      </c>
    </row>
    <row r="187" spans="1:31" x14ac:dyDescent="0.25">
      <c r="A187" s="4">
        <v>182</v>
      </c>
      <c r="B187" s="1" t="s">
        <v>495</v>
      </c>
      <c r="C187" s="5">
        <f>HYPERLINK("https://client.unique.diamonds/dna/162-6","DNA")</f>
      </c>
      <c r="D187" s="1" t="s">
        <v>36</v>
      </c>
      <c r="E187" s="6">
        <v>2.01</v>
      </c>
      <c r="F187" s="1" t="s">
        <v>138</v>
      </c>
      <c r="G187" s="1" t="s">
        <v>420</v>
      </c>
      <c r="H187" s="1" t="s">
        <v>39</v>
      </c>
      <c r="I187" s="1" t="s">
        <v>39</v>
      </c>
      <c r="J187" s="1" t="s">
        <v>39</v>
      </c>
      <c r="K187" s="1" t="s">
        <v>94</v>
      </c>
      <c r="L187" s="4">
        <v>13700</v>
      </c>
      <c r="M187" s="6">
        <v>-49.23</v>
      </c>
      <c r="N187" s="7">
        <f>IF(AND(L187 &lt;&gt; "-", M187 &lt;&gt; "-"),L187*( 1 + M187%),0)</f>
      </c>
      <c r="O187" s="7">
        <f>( N187 * E187 )</f>
      </c>
      <c r="P187" s="1" t="s">
        <v>496</v>
      </c>
      <c r="Q187" s="6">
        <v>1.01</v>
      </c>
      <c r="R187" s="6">
        <v>61.6</v>
      </c>
      <c r="S187" s="4">
        <v>60</v>
      </c>
      <c r="T187" s="1" t="s">
        <v>42</v>
      </c>
      <c r="U187" s="5">
        <f>HYPERLINK("https://www.gia.edu/report-check?reportno=3445058855","3445058855")</f>
      </c>
      <c r="V187" s="1" t="s">
        <v>43</v>
      </c>
      <c r="W187" s="1" t="s">
        <v>497</v>
      </c>
      <c r="X187" s="1" t="s">
        <v>45</v>
      </c>
      <c r="Y187" s="1" t="s">
        <v>40</v>
      </c>
      <c r="Z187" s="1" t="s">
        <v>46</v>
      </c>
      <c r="AA187" s="1" t="s">
        <v>47</v>
      </c>
      <c r="AB187" s="1" t="s">
        <v>47</v>
      </c>
      <c r="AC187" s="1" t="s">
        <v>48</v>
      </c>
      <c r="AD187" s="1" t="s">
        <v>43</v>
      </c>
      <c r="AE187" s="8">
        <f>IF(L187&lt;&gt;"",L187*E187,0)</f>
      </c>
    </row>
    <row r="188" spans="1:31" x14ac:dyDescent="0.25">
      <c r="A188" s="4">
        <v>183</v>
      </c>
      <c r="B188" s="1" t="s">
        <v>498</v>
      </c>
      <c r="C188" s="5">
        <f>HYPERLINK("https://client.unique.diamonds/dna/21001-45","DNA")</f>
      </c>
      <c r="D188" s="1" t="s">
        <v>36</v>
      </c>
      <c r="E188" s="6">
        <v>2.01</v>
      </c>
      <c r="F188" s="1" t="s">
        <v>138</v>
      </c>
      <c r="G188" s="1" t="s">
        <v>420</v>
      </c>
      <c r="H188" s="1" t="s">
        <v>39</v>
      </c>
      <c r="I188" s="1" t="s">
        <v>39</v>
      </c>
      <c r="J188" s="1" t="s">
        <v>39</v>
      </c>
      <c r="K188" s="1" t="s">
        <v>40</v>
      </c>
      <c r="L188" s="4">
        <v>13700</v>
      </c>
      <c r="M188" s="6">
        <v>-47</v>
      </c>
      <c r="N188" s="7">
        <f>IF(AND(L188 &lt;&gt; "-", M188 &lt;&gt; "-"),L188*( 1 + M188%),0)</f>
      </c>
      <c r="O188" s="7">
        <f>( N188 * E188 )</f>
      </c>
      <c r="P188" s="1" t="s">
        <v>499</v>
      </c>
      <c r="Q188" s="6">
        <v>1</v>
      </c>
      <c r="R188" s="6">
        <v>62.2</v>
      </c>
      <c r="S188" s="4">
        <v>58</v>
      </c>
      <c r="T188" s="1" t="s">
        <v>42</v>
      </c>
      <c r="U188" s="5">
        <f>HYPERLINK("https://www.gia.edu/report-check?reportno=6452387172","6452387172")</f>
      </c>
      <c r="V188" s="1" t="s">
        <v>43</v>
      </c>
      <c r="W188" s="1" t="s">
        <v>128</v>
      </c>
      <c r="X188" s="1" t="s">
        <v>45</v>
      </c>
      <c r="Y188" s="1" t="s">
        <v>40</v>
      </c>
      <c r="Z188" s="1" t="s">
        <v>46</v>
      </c>
      <c r="AA188" s="1" t="s">
        <v>367</v>
      </c>
      <c r="AB188" s="1" t="s">
        <v>47</v>
      </c>
      <c r="AC188" s="1" t="s">
        <v>48</v>
      </c>
      <c r="AD188" s="1" t="s">
        <v>43</v>
      </c>
      <c r="AE188" s="8">
        <f>IF(L188&lt;&gt;"",L188*E188,0)</f>
      </c>
    </row>
    <row r="189" spans="1:31" x14ac:dyDescent="0.25">
      <c r="A189" s="4">
        <v>184</v>
      </c>
      <c r="B189" s="1" t="s">
        <v>500</v>
      </c>
      <c r="C189" s="5">
        <f>HYPERLINK("https://client.unique.diamonds/dna/11190-6","DNA")</f>
      </c>
      <c r="D189" s="1" t="s">
        <v>36</v>
      </c>
      <c r="E189" s="6">
        <v>2.01</v>
      </c>
      <c r="F189" s="1" t="s">
        <v>138</v>
      </c>
      <c r="G189" s="1" t="s">
        <v>420</v>
      </c>
      <c r="H189" s="1" t="s">
        <v>39</v>
      </c>
      <c r="I189" s="1" t="s">
        <v>39</v>
      </c>
      <c r="J189" s="1" t="s">
        <v>39</v>
      </c>
      <c r="K189" s="1" t="s">
        <v>40</v>
      </c>
      <c r="L189" s="4">
        <v>13700</v>
      </c>
      <c r="M189" s="6">
        <v>-39</v>
      </c>
      <c r="N189" s="7">
        <f>IF(AND(L189 &lt;&gt; "-", M189 &lt;&gt; "-"),L189*( 1 + M189%),0)</f>
      </c>
      <c r="O189" s="7">
        <f>( N189 * E189 )</f>
      </c>
      <c r="P189" s="1" t="s">
        <v>91</v>
      </c>
      <c r="Q189" s="6">
        <v>1.01</v>
      </c>
      <c r="R189" s="6">
        <v>62.6</v>
      </c>
      <c r="S189" s="4">
        <v>58</v>
      </c>
      <c r="T189" s="1" t="s">
        <v>42</v>
      </c>
      <c r="U189" s="5">
        <f>HYPERLINK("https://www.gia.edu/report-check?reportno=6442064223","6442064223")</f>
      </c>
      <c r="V189" s="1" t="s">
        <v>43</v>
      </c>
      <c r="W189" s="1" t="s">
        <v>67</v>
      </c>
      <c r="X189" s="1" t="s">
        <v>45</v>
      </c>
      <c r="Y189" s="1" t="s">
        <v>40</v>
      </c>
      <c r="Z189" s="1" t="s">
        <v>59</v>
      </c>
      <c r="AA189" s="1" t="s">
        <v>52</v>
      </c>
      <c r="AB189" s="1" t="s">
        <v>47</v>
      </c>
      <c r="AC189" s="1" t="s">
        <v>48</v>
      </c>
      <c r="AD189" s="1" t="s">
        <v>43</v>
      </c>
      <c r="AE189" s="8">
        <f>IF(L189&lt;&gt;"",L189*E189,0)</f>
      </c>
    </row>
    <row r="190" spans="1:31" x14ac:dyDescent="0.25">
      <c r="A190" s="4">
        <v>185</v>
      </c>
      <c r="B190" s="1" t="s">
        <v>501</v>
      </c>
      <c r="C190" s="5">
        <f>HYPERLINK("https://client.unique.diamonds/dna/11286-131","DNA")</f>
      </c>
      <c r="D190" s="1" t="s">
        <v>36</v>
      </c>
      <c r="E190" s="6">
        <v>2.01</v>
      </c>
      <c r="F190" s="1" t="s">
        <v>138</v>
      </c>
      <c r="G190" s="1" t="s">
        <v>420</v>
      </c>
      <c r="H190" s="1" t="s">
        <v>39</v>
      </c>
      <c r="I190" s="1" t="s">
        <v>39</v>
      </c>
      <c r="J190" s="1" t="s">
        <v>39</v>
      </c>
      <c r="K190" s="1" t="s">
        <v>40</v>
      </c>
      <c r="L190" s="4">
        <v>13700</v>
      </c>
      <c r="M190" s="6">
        <v>-43.14</v>
      </c>
      <c r="N190" s="7">
        <f>IF(AND(L190 &lt;&gt; "-", M190 &lt;&gt; "-"),L190*( 1 + M190%),0)</f>
      </c>
      <c r="O190" s="7">
        <f>( N190 * E190 )</f>
      </c>
      <c r="P190" s="1" t="s">
        <v>502</v>
      </c>
      <c r="Q190" s="6">
        <v>1.01</v>
      </c>
      <c r="R190" s="6">
        <v>62.4</v>
      </c>
      <c r="S190" s="4">
        <v>59</v>
      </c>
      <c r="T190" s="1" t="s">
        <v>42</v>
      </c>
      <c r="U190" s="5">
        <f>HYPERLINK("https://www.gia.edu/report-check?reportno=1459248933","1459248933")</f>
      </c>
      <c r="V190" s="1" t="s">
        <v>43</v>
      </c>
      <c r="W190" s="1" t="s">
        <v>204</v>
      </c>
      <c r="X190" s="1" t="s">
        <v>46</v>
      </c>
      <c r="Y190" s="1" t="s">
        <v>40</v>
      </c>
      <c r="Z190" s="1" t="s">
        <v>59</v>
      </c>
      <c r="AA190" s="1" t="s">
        <v>47</v>
      </c>
      <c r="AB190" s="1" t="s">
        <v>47</v>
      </c>
      <c r="AC190" s="1" t="s">
        <v>48</v>
      </c>
      <c r="AD190" s="1" t="s">
        <v>43</v>
      </c>
      <c r="AE190" s="8">
        <f>IF(L190&lt;&gt;"",L190*E190,0)</f>
      </c>
    </row>
    <row r="191" spans="1:31" x14ac:dyDescent="0.25">
      <c r="A191" s="4">
        <v>186</v>
      </c>
      <c r="B191" s="1" t="s">
        <v>503</v>
      </c>
      <c r="C191" s="5">
        <f>HYPERLINK("https://client.unique.diamonds/dna/21040-1","DNA")</f>
      </c>
      <c r="D191" s="1" t="s">
        <v>36</v>
      </c>
      <c r="E191" s="6">
        <v>2.51</v>
      </c>
      <c r="F191" s="1" t="s">
        <v>138</v>
      </c>
      <c r="G191" s="1" t="s">
        <v>420</v>
      </c>
      <c r="H191" s="1" t="s">
        <v>39</v>
      </c>
      <c r="I191" s="1" t="s">
        <v>39</v>
      </c>
      <c r="J191" s="1" t="s">
        <v>39</v>
      </c>
      <c r="K191" s="1" t="s">
        <v>90</v>
      </c>
      <c r="L191" s="4">
        <v>13700</v>
      </c>
      <c r="M191" s="6">
        <v>-24.38</v>
      </c>
      <c r="N191" s="7">
        <f>IF(AND(L191 &lt;&gt; "-", M191 &lt;&gt; "-"),L191*( 1 + M191%),0)</f>
      </c>
      <c r="O191" s="7">
        <f>( N191 * E191 )</f>
      </c>
      <c r="P191" s="1" t="s">
        <v>504</v>
      </c>
      <c r="Q191" s="6">
        <v>1.01</v>
      </c>
      <c r="R191" s="6">
        <v>62.2</v>
      </c>
      <c r="S191" s="4">
        <v>58</v>
      </c>
      <c r="T191" s="1" t="s">
        <v>42</v>
      </c>
      <c r="U191" s="5">
        <f>HYPERLINK("https://www.gia.edu/report-check?reportno=6452752126","6452752126")</f>
      </c>
      <c r="V191" s="1" t="s">
        <v>43</v>
      </c>
      <c r="W191" s="1" t="s">
        <v>408</v>
      </c>
      <c r="X191" s="1" t="s">
        <v>59</v>
      </c>
      <c r="Y191" s="1" t="s">
        <v>40</v>
      </c>
      <c r="Z191" s="1" t="s">
        <v>59</v>
      </c>
      <c r="AA191" s="1" t="s">
        <v>52</v>
      </c>
      <c r="AB191" s="1" t="s">
        <v>40</v>
      </c>
      <c r="AC191" s="1" t="s">
        <v>48</v>
      </c>
      <c r="AD191" s="1" t="s">
        <v>43</v>
      </c>
      <c r="AE191" s="8">
        <f>IF(L191&lt;&gt;"",L191*E191,0)</f>
      </c>
    </row>
    <row r="192" spans="1:31" x14ac:dyDescent="0.25">
      <c r="A192" s="4">
        <v>187</v>
      </c>
      <c r="B192" s="1" t="s">
        <v>505</v>
      </c>
      <c r="C192" s="5">
        <f>HYPERLINK("https://client.unique.diamonds/dna/11275-65","DNA")</f>
      </c>
      <c r="D192" s="1" t="s">
        <v>36</v>
      </c>
      <c r="E192" s="6">
        <v>2.54</v>
      </c>
      <c r="F192" s="1" t="s">
        <v>138</v>
      </c>
      <c r="G192" s="1" t="s">
        <v>420</v>
      </c>
      <c r="H192" s="1" t="s">
        <v>39</v>
      </c>
      <c r="I192" s="1" t="s">
        <v>39</v>
      </c>
      <c r="J192" s="1" t="s">
        <v>39</v>
      </c>
      <c r="K192" s="1" t="s">
        <v>90</v>
      </c>
      <c r="L192" s="4">
        <v>13700</v>
      </c>
      <c r="M192" s="6">
        <v>-39.09</v>
      </c>
      <c r="N192" s="7">
        <f>IF(AND(L192 &lt;&gt; "-", M192 &lt;&gt; "-"),L192*( 1 + M192%),0)</f>
      </c>
      <c r="O192" s="7">
        <f>( N192 * E192 )</f>
      </c>
      <c r="P192" s="1" t="s">
        <v>504</v>
      </c>
      <c r="Q192" s="6">
        <v>1.01</v>
      </c>
      <c r="R192" s="6">
        <v>62.3</v>
      </c>
      <c r="S192" s="4">
        <v>58</v>
      </c>
      <c r="T192" s="1" t="s">
        <v>42</v>
      </c>
      <c r="U192" s="5">
        <f>HYPERLINK("https://www.gia.edu/report-check?reportno=1445973269","1445973269")</f>
      </c>
      <c r="V192" s="1" t="s">
        <v>43</v>
      </c>
      <c r="W192" s="1" t="s">
        <v>193</v>
      </c>
      <c r="X192" s="1" t="s">
        <v>45</v>
      </c>
      <c r="Y192" s="1" t="s">
        <v>40</v>
      </c>
      <c r="Z192" s="1" t="s">
        <v>45</v>
      </c>
      <c r="AA192" s="1" t="s">
        <v>367</v>
      </c>
      <c r="AB192" s="1" t="s">
        <v>47</v>
      </c>
      <c r="AC192" s="1" t="s">
        <v>48</v>
      </c>
      <c r="AD192" s="1" t="s">
        <v>43</v>
      </c>
      <c r="AE192" s="8">
        <f>IF(L192&lt;&gt;"",L192*E192,0)</f>
      </c>
    </row>
    <row r="193" spans="1:31" x14ac:dyDescent="0.25">
      <c r="A193" s="4">
        <v>188</v>
      </c>
      <c r="B193" s="1" t="s">
        <v>506</v>
      </c>
      <c r="C193" s="5">
        <f>HYPERLINK("https://client.unique.diamonds/dna/21109-31","DNA")</f>
      </c>
      <c r="D193" s="1" t="s">
        <v>36</v>
      </c>
      <c r="E193" s="6">
        <v>4.01</v>
      </c>
      <c r="F193" s="1" t="s">
        <v>138</v>
      </c>
      <c r="G193" s="1" t="s">
        <v>420</v>
      </c>
      <c r="H193" s="1" t="s">
        <v>39</v>
      </c>
      <c r="I193" s="1" t="s">
        <v>39</v>
      </c>
      <c r="J193" s="1" t="s">
        <v>39</v>
      </c>
      <c r="K193" s="1" t="s">
        <v>40</v>
      </c>
      <c r="L193" s="4">
        <v>24500</v>
      </c>
      <c r="M193" s="6">
        <v>-32.5</v>
      </c>
      <c r="N193" s="7">
        <f>IF(AND(L193 &lt;&gt; "-", M193 &lt;&gt; "-"),L193*( 1 + M193%),0)</f>
      </c>
      <c r="O193" s="7">
        <f>( N193 * E193 )</f>
      </c>
      <c r="P193" s="1" t="s">
        <v>507</v>
      </c>
      <c r="Q193" s="6">
        <v>1</v>
      </c>
      <c r="R193" s="6">
        <v>63</v>
      </c>
      <c r="S193" s="4">
        <v>55</v>
      </c>
      <c r="T193" s="1" t="s">
        <v>42</v>
      </c>
      <c r="U193" s="5">
        <f>HYPERLINK("https://www.gia.edu/report-check?reportno=5221940097","5221940097")</f>
      </c>
      <c r="V193" s="1" t="s">
        <v>43</v>
      </c>
      <c r="W193" s="1" t="s">
        <v>67</v>
      </c>
      <c r="X193" s="1" t="s">
        <v>46</v>
      </c>
      <c r="Y193" s="1" t="s">
        <v>40</v>
      </c>
      <c r="Z193" s="1" t="s">
        <v>46</v>
      </c>
      <c r="AA193" s="1" t="s">
        <v>47</v>
      </c>
      <c r="AB193" s="1" t="s">
        <v>47</v>
      </c>
      <c r="AC193" s="1" t="s">
        <v>48</v>
      </c>
      <c r="AD193" s="1" t="s">
        <v>43</v>
      </c>
      <c r="AE193" s="8">
        <f>IF(L193&lt;&gt;"",L193*E193,0)</f>
      </c>
    </row>
    <row r="194" spans="1:31" x14ac:dyDescent="0.25">
      <c r="A194" s="4">
        <v>189</v>
      </c>
      <c r="B194" s="1" t="s">
        <v>508</v>
      </c>
      <c r="C194" s="5">
        <f>HYPERLINK("https://client.unique.diamonds/dna/11193-38","DNA")</f>
      </c>
      <c r="D194" s="1" t="s">
        <v>36</v>
      </c>
      <c r="E194" s="6">
        <v>1.5</v>
      </c>
      <c r="F194" s="1" t="s">
        <v>162</v>
      </c>
      <c r="G194" s="1" t="s">
        <v>420</v>
      </c>
      <c r="H194" s="1" t="s">
        <v>39</v>
      </c>
      <c r="I194" s="1" t="s">
        <v>39</v>
      </c>
      <c r="J194" s="1" t="s">
        <v>39</v>
      </c>
      <c r="K194" s="1" t="s">
        <v>90</v>
      </c>
      <c r="L194" s="4">
        <v>9400</v>
      </c>
      <c r="M194" s="6">
        <v>-40.27</v>
      </c>
      <c r="N194" s="7">
        <f>IF(AND(L194 &lt;&gt; "-", M194 &lt;&gt; "-"),L194*( 1 + M194%),0)</f>
      </c>
      <c r="O194" s="7">
        <f>( N194 * E194 )</f>
      </c>
      <c r="P194" s="1" t="s">
        <v>509</v>
      </c>
      <c r="Q194" s="6">
        <v>1.01</v>
      </c>
      <c r="R194" s="6">
        <v>61.9</v>
      </c>
      <c r="S194" s="4">
        <v>59</v>
      </c>
      <c r="T194" s="1" t="s">
        <v>42</v>
      </c>
      <c r="U194" s="5">
        <f>HYPERLINK("https://www.gia.edu/report-check?reportno=6445108640","6445108640")</f>
      </c>
      <c r="V194" s="1" t="s">
        <v>43</v>
      </c>
      <c r="W194" s="1" t="s">
        <v>384</v>
      </c>
      <c r="X194" s="1" t="s">
        <v>46</v>
      </c>
      <c r="Y194" s="1" t="s">
        <v>40</v>
      </c>
      <c r="Z194" s="1" t="s">
        <v>46</v>
      </c>
      <c r="AA194" s="1" t="s">
        <v>52</v>
      </c>
      <c r="AB194" s="1" t="s">
        <v>40</v>
      </c>
      <c r="AC194" s="1" t="s">
        <v>226</v>
      </c>
      <c r="AD194" s="1" t="s">
        <v>43</v>
      </c>
      <c r="AE194" s="8">
        <f>IF(L194&lt;&gt;"",L194*E194,0)</f>
      </c>
    </row>
    <row r="195" spans="1:31" x14ac:dyDescent="0.25">
      <c r="A195" s="4">
        <v>190</v>
      </c>
      <c r="B195" s="1" t="s">
        <v>510</v>
      </c>
      <c r="C195" s="5">
        <f>HYPERLINK("https://client.unique.diamonds/dna/11241-239","DNA")</f>
      </c>
      <c r="D195" s="1" t="s">
        <v>36</v>
      </c>
      <c r="E195" s="6">
        <v>1.5</v>
      </c>
      <c r="F195" s="1" t="s">
        <v>162</v>
      </c>
      <c r="G195" s="1" t="s">
        <v>420</v>
      </c>
      <c r="H195" s="1" t="s">
        <v>39</v>
      </c>
      <c r="I195" s="1" t="s">
        <v>39</v>
      </c>
      <c r="J195" s="1" t="s">
        <v>39</v>
      </c>
      <c r="K195" s="1" t="s">
        <v>40</v>
      </c>
      <c r="L195" s="4">
        <v>9400</v>
      </c>
      <c r="M195" s="6">
        <v>-43</v>
      </c>
      <c r="N195" s="7">
        <f>IF(AND(L195 &lt;&gt; "-", M195 &lt;&gt; "-"),L195*( 1 + M195%),0)</f>
      </c>
      <c r="O195" s="7">
        <f>( N195 * E195 )</f>
      </c>
      <c r="P195" s="1" t="s">
        <v>511</v>
      </c>
      <c r="Q195" s="6">
        <v>1</v>
      </c>
      <c r="R195" s="6">
        <v>61.4</v>
      </c>
      <c r="S195" s="4">
        <v>59</v>
      </c>
      <c r="T195" s="1" t="s">
        <v>42</v>
      </c>
      <c r="U195" s="5">
        <f>HYPERLINK("https://www.gia.edu/report-check?reportno=1445754517","1445754517")</f>
      </c>
      <c r="V195" s="1" t="s">
        <v>43</v>
      </c>
      <c r="W195" s="1" t="s">
        <v>67</v>
      </c>
      <c r="X195" s="1" t="s">
        <v>46</v>
      </c>
      <c r="Y195" s="1" t="s">
        <v>40</v>
      </c>
      <c r="Z195" s="1" t="s">
        <v>59</v>
      </c>
      <c r="AA195" s="1" t="s">
        <v>47</v>
      </c>
      <c r="AB195" s="1" t="s">
        <v>73</v>
      </c>
      <c r="AC195" s="1" t="s">
        <v>48</v>
      </c>
      <c r="AD195" s="1" t="s">
        <v>43</v>
      </c>
      <c r="AE195" s="8">
        <f>IF(L195&lt;&gt;"",L195*E195,0)</f>
      </c>
    </row>
    <row r="196" spans="1:31" x14ac:dyDescent="0.25">
      <c r="A196" s="4">
        <v>191</v>
      </c>
      <c r="B196" s="1" t="s">
        <v>512</v>
      </c>
      <c r="C196" s="5">
        <f>HYPERLINK("https://client.unique.diamonds/dna/21087-5","DNA")</f>
      </c>
      <c r="D196" s="1" t="s">
        <v>36</v>
      </c>
      <c r="E196" s="6">
        <v>1.5</v>
      </c>
      <c r="F196" s="1" t="s">
        <v>162</v>
      </c>
      <c r="G196" s="1" t="s">
        <v>420</v>
      </c>
      <c r="H196" s="1" t="s">
        <v>39</v>
      </c>
      <c r="I196" s="1" t="s">
        <v>39</v>
      </c>
      <c r="J196" s="1" t="s">
        <v>39</v>
      </c>
      <c r="K196" s="1" t="s">
        <v>90</v>
      </c>
      <c r="L196" s="4">
        <v>9400</v>
      </c>
      <c r="M196" s="6">
        <v>-39</v>
      </c>
      <c r="N196" s="7">
        <f>IF(AND(L196 &lt;&gt; "-", M196 &lt;&gt; "-"),L196*( 1 + M196%),0)</f>
      </c>
      <c r="O196" s="7">
        <f>( N196 * E196 )</f>
      </c>
      <c r="P196" s="1" t="s">
        <v>513</v>
      </c>
      <c r="Q196" s="6">
        <v>1</v>
      </c>
      <c r="R196" s="6">
        <v>62.3</v>
      </c>
      <c r="S196" s="4">
        <v>58</v>
      </c>
      <c r="T196" s="1" t="s">
        <v>42</v>
      </c>
      <c r="U196" s="5">
        <f>HYPERLINK("https://www.gia.edu/report-check?reportno=6462203748","6462203748")</f>
      </c>
      <c r="V196" s="1" t="s">
        <v>43</v>
      </c>
      <c r="W196" s="1" t="s">
        <v>96</v>
      </c>
      <c r="X196" s="1" t="s">
        <v>59</v>
      </c>
      <c r="Y196" s="1" t="s">
        <v>40</v>
      </c>
      <c r="Z196" s="1" t="s">
        <v>59</v>
      </c>
      <c r="AA196" s="1" t="s">
        <v>47</v>
      </c>
      <c r="AB196" s="1" t="s">
        <v>47</v>
      </c>
      <c r="AC196" s="1" t="s">
        <v>48</v>
      </c>
      <c r="AD196" s="1" t="s">
        <v>43</v>
      </c>
      <c r="AE196" s="8">
        <f>IF(L196&lt;&gt;"",L196*E196,0)</f>
      </c>
    </row>
    <row r="197" spans="1:31" x14ac:dyDescent="0.25">
      <c r="A197" s="4">
        <v>192</v>
      </c>
      <c r="B197" s="1" t="s">
        <v>514</v>
      </c>
      <c r="C197" s="5">
        <f>HYPERLINK("https://client.unique.diamonds/dna/21055-32","DNA")</f>
      </c>
      <c r="D197" s="1" t="s">
        <v>36</v>
      </c>
      <c r="E197" s="6">
        <v>1.52</v>
      </c>
      <c r="F197" s="1" t="s">
        <v>162</v>
      </c>
      <c r="G197" s="1" t="s">
        <v>420</v>
      </c>
      <c r="H197" s="1" t="s">
        <v>39</v>
      </c>
      <c r="I197" s="1" t="s">
        <v>39</v>
      </c>
      <c r="J197" s="1" t="s">
        <v>39</v>
      </c>
      <c r="K197" s="1" t="s">
        <v>90</v>
      </c>
      <c r="L197" s="4">
        <v>9400</v>
      </c>
      <c r="M197" s="6">
        <v>-36</v>
      </c>
      <c r="N197" s="7">
        <f>IF(AND(L197 &lt;&gt; "-", M197 &lt;&gt; "-"),L197*( 1 + M197%),0)</f>
      </c>
      <c r="O197" s="7">
        <f>( N197 * E197 )</f>
      </c>
      <c r="P197" s="1" t="s">
        <v>515</v>
      </c>
      <c r="Q197" s="6">
        <v>1.01</v>
      </c>
      <c r="R197" s="6">
        <v>62.7</v>
      </c>
      <c r="S197" s="4">
        <v>58</v>
      </c>
      <c r="T197" s="1" t="s">
        <v>42</v>
      </c>
      <c r="U197" s="5">
        <f>HYPERLINK("https://www.gia.edu/report-check?reportno=3465056141","3465056141")</f>
      </c>
      <c r="V197" s="1" t="s">
        <v>43</v>
      </c>
      <c r="W197" s="1" t="s">
        <v>96</v>
      </c>
      <c r="X197" s="1" t="s">
        <v>59</v>
      </c>
      <c r="Y197" s="1" t="s">
        <v>40</v>
      </c>
      <c r="Z197" s="1" t="s">
        <v>59</v>
      </c>
      <c r="AA197" s="1" t="s">
        <v>47</v>
      </c>
      <c r="AB197" s="1" t="s">
        <v>47</v>
      </c>
      <c r="AC197" s="1" t="s">
        <v>48</v>
      </c>
      <c r="AD197" s="1" t="s">
        <v>43</v>
      </c>
      <c r="AE197" s="8">
        <f>IF(L197&lt;&gt;"",L197*E197,0)</f>
      </c>
    </row>
    <row r="198" spans="1:31" x14ac:dyDescent="0.25">
      <c r="A198" s="4">
        <v>193</v>
      </c>
      <c r="B198" s="1" t="s">
        <v>516</v>
      </c>
      <c r="C198" s="5">
        <f>HYPERLINK("https://client.unique.diamonds/dna/11088-75","DNA")</f>
      </c>
      <c r="D198" s="1" t="s">
        <v>36</v>
      </c>
      <c r="E198" s="6">
        <v>1.52</v>
      </c>
      <c r="F198" s="1" t="s">
        <v>162</v>
      </c>
      <c r="G198" s="1" t="s">
        <v>420</v>
      </c>
      <c r="H198" s="1" t="s">
        <v>39</v>
      </c>
      <c r="I198" s="1" t="s">
        <v>39</v>
      </c>
      <c r="J198" s="1" t="s">
        <v>39</v>
      </c>
      <c r="K198" s="1" t="s">
        <v>40</v>
      </c>
      <c r="L198" s="4">
        <v>9400</v>
      </c>
      <c r="M198" s="6">
        <v>-45.5</v>
      </c>
      <c r="N198" s="7">
        <f>IF(AND(L198 &lt;&gt; "-", M198 &lt;&gt; "-"),L198*( 1 + M198%),0)</f>
      </c>
      <c r="O198" s="7">
        <f>( N198 * E198 )</f>
      </c>
      <c r="P198" s="1" t="s">
        <v>287</v>
      </c>
      <c r="Q198" s="6">
        <v>1.01</v>
      </c>
      <c r="R198" s="6">
        <v>62.5</v>
      </c>
      <c r="S198" s="4">
        <v>59</v>
      </c>
      <c r="T198" s="1" t="s">
        <v>42</v>
      </c>
      <c r="U198" s="5">
        <f>HYPERLINK("https://www.gia.edu/report-check?reportno=6421848960","6421848960")</f>
      </c>
      <c r="V198" s="1" t="s">
        <v>43</v>
      </c>
      <c r="W198" s="1" t="s">
        <v>396</v>
      </c>
      <c r="X198" s="1" t="s">
        <v>46</v>
      </c>
      <c r="Y198" s="1" t="s">
        <v>40</v>
      </c>
      <c r="Z198" s="1" t="s">
        <v>45</v>
      </c>
      <c r="AA198" s="1" t="s">
        <v>47</v>
      </c>
      <c r="AB198" s="1" t="s">
        <v>40</v>
      </c>
      <c r="AC198" s="1" t="s">
        <v>226</v>
      </c>
      <c r="AD198" s="1" t="s">
        <v>43</v>
      </c>
      <c r="AE198" s="8">
        <f>IF(L198&lt;&gt;"",L198*E198,0)</f>
      </c>
    </row>
    <row r="199" spans="1:31" x14ac:dyDescent="0.25">
      <c r="A199" s="4">
        <v>194</v>
      </c>
      <c r="B199" s="1" t="s">
        <v>517</v>
      </c>
      <c r="C199" s="5">
        <f>HYPERLINK("https://client.unique.diamonds/dna/163-8","DNA")</f>
      </c>
      <c r="D199" s="1" t="s">
        <v>36</v>
      </c>
      <c r="E199" s="6">
        <v>1.53</v>
      </c>
      <c r="F199" s="1" t="s">
        <v>162</v>
      </c>
      <c r="G199" s="1" t="s">
        <v>420</v>
      </c>
      <c r="H199" s="1" t="s">
        <v>39</v>
      </c>
      <c r="I199" s="1" t="s">
        <v>39</v>
      </c>
      <c r="J199" s="1" t="s">
        <v>39</v>
      </c>
      <c r="K199" s="1" t="s">
        <v>40</v>
      </c>
      <c r="L199" s="4">
        <v>9400</v>
      </c>
      <c r="M199" s="6">
        <v>-43.83</v>
      </c>
      <c r="N199" s="7">
        <f>IF(AND(L199 &lt;&gt; "-", M199 &lt;&gt; "-"),L199*( 1 + M199%),0)</f>
      </c>
      <c r="O199" s="7">
        <f>( N199 * E199 )</f>
      </c>
      <c r="P199" s="1" t="s">
        <v>518</v>
      </c>
      <c r="Q199" s="6">
        <v>1</v>
      </c>
      <c r="R199" s="6">
        <v>62.4</v>
      </c>
      <c r="S199" s="4">
        <v>56</v>
      </c>
      <c r="T199" s="1" t="s">
        <v>42</v>
      </c>
      <c r="U199" s="5">
        <f>HYPERLINK("https://www.gia.edu/report-check?reportno=2446159230","2446159230")</f>
      </c>
      <c r="V199" s="1" t="s">
        <v>43</v>
      </c>
      <c r="W199" s="1" t="s">
        <v>67</v>
      </c>
      <c r="X199" s="1" t="s">
        <v>59</v>
      </c>
      <c r="Y199" s="1" t="s">
        <v>40</v>
      </c>
      <c r="Z199" s="1" t="s">
        <v>46</v>
      </c>
      <c r="AA199" s="1" t="s">
        <v>47</v>
      </c>
      <c r="AB199" s="1" t="s">
        <v>47</v>
      </c>
      <c r="AC199" s="1" t="s">
        <v>48</v>
      </c>
      <c r="AD199" s="1" t="s">
        <v>43</v>
      </c>
      <c r="AE199" s="8">
        <f>IF(L199&lt;&gt;"",L199*E199,0)</f>
      </c>
    </row>
    <row r="200" spans="1:31" x14ac:dyDescent="0.25">
      <c r="A200" s="4">
        <v>195</v>
      </c>
      <c r="B200" s="1" t="s">
        <v>519</v>
      </c>
      <c r="C200" s="5">
        <f>HYPERLINK("https://client.unique.diamonds/dna/21111-11","DNA")</f>
      </c>
      <c r="D200" s="1" t="s">
        <v>36</v>
      </c>
      <c r="E200" s="6">
        <v>1.63</v>
      </c>
      <c r="F200" s="1" t="s">
        <v>162</v>
      </c>
      <c r="G200" s="1" t="s">
        <v>420</v>
      </c>
      <c r="H200" s="1" t="s">
        <v>39</v>
      </c>
      <c r="I200" s="1" t="s">
        <v>39</v>
      </c>
      <c r="J200" s="1" t="s">
        <v>39</v>
      </c>
      <c r="K200" s="1" t="s">
        <v>40</v>
      </c>
      <c r="L200" s="4">
        <v>9400</v>
      </c>
      <c r="M200" s="6">
        <v>-38</v>
      </c>
      <c r="N200" s="7">
        <f>IF(AND(L200 &lt;&gt; "-", M200 &lt;&gt; "-"),L200*( 1 + M200%),0)</f>
      </c>
      <c r="O200" s="7">
        <f>( N200 * E200 )</f>
      </c>
      <c r="P200" s="1" t="s">
        <v>520</v>
      </c>
      <c r="Q200" s="6">
        <v>1.01</v>
      </c>
      <c r="R200" s="6">
        <v>62.5</v>
      </c>
      <c r="S200" s="4">
        <v>58</v>
      </c>
      <c r="T200" s="1" t="s">
        <v>42</v>
      </c>
      <c r="U200" s="5">
        <f>HYPERLINK("https://www.gia.edu/report-check?reportno=1463460842","1463460842")</f>
      </c>
      <c r="V200" s="1" t="s">
        <v>43</v>
      </c>
      <c r="W200" s="1" t="s">
        <v>193</v>
      </c>
      <c r="X200" s="1" t="s">
        <v>59</v>
      </c>
      <c r="Y200" s="1" t="s">
        <v>40</v>
      </c>
      <c r="Z200" s="1" t="s">
        <v>59</v>
      </c>
      <c r="AA200" s="1" t="s">
        <v>47</v>
      </c>
      <c r="AB200" s="1" t="s">
        <v>47</v>
      </c>
      <c r="AC200" s="1" t="s">
        <v>48</v>
      </c>
      <c r="AD200" s="1" t="s">
        <v>43</v>
      </c>
      <c r="AE200" s="8">
        <f>IF(L200&lt;&gt;"",L200*E200,0)</f>
      </c>
    </row>
    <row r="201" spans="1:31" x14ac:dyDescent="0.25">
      <c r="A201" s="4">
        <v>196</v>
      </c>
      <c r="B201" s="1" t="s">
        <v>521</v>
      </c>
      <c r="C201" s="5">
        <f>HYPERLINK("https://client.unique.diamonds/dna/11057-57","DNA")</f>
      </c>
      <c r="D201" s="1" t="s">
        <v>36</v>
      </c>
      <c r="E201" s="6">
        <v>1.7</v>
      </c>
      <c r="F201" s="1" t="s">
        <v>162</v>
      </c>
      <c r="G201" s="1" t="s">
        <v>420</v>
      </c>
      <c r="H201" s="1" t="s">
        <v>39</v>
      </c>
      <c r="I201" s="1" t="s">
        <v>39</v>
      </c>
      <c r="J201" s="1" t="s">
        <v>39</v>
      </c>
      <c r="K201" s="1" t="s">
        <v>90</v>
      </c>
      <c r="L201" s="4">
        <v>9400</v>
      </c>
      <c r="M201" s="6">
        <v>-36.71</v>
      </c>
      <c r="N201" s="7">
        <f>IF(AND(L201 &lt;&gt; "-", M201 &lt;&gt; "-"),L201*( 1 + M201%),0)</f>
      </c>
      <c r="O201" s="7">
        <f>( N201 * E201 )</f>
      </c>
      <c r="P201" s="1" t="s">
        <v>522</v>
      </c>
      <c r="Q201" s="6">
        <v>1.01</v>
      </c>
      <c r="R201" s="6">
        <v>61.4</v>
      </c>
      <c r="S201" s="4">
        <v>62</v>
      </c>
      <c r="T201" s="1" t="s">
        <v>42</v>
      </c>
      <c r="U201" s="5">
        <f>HYPERLINK("https://www.gia.edu/report-check?reportno=7428510192","7428510192")</f>
      </c>
      <c r="V201" s="1" t="s">
        <v>43</v>
      </c>
      <c r="W201" s="1" t="s">
        <v>523</v>
      </c>
      <c r="X201" s="1" t="s">
        <v>59</v>
      </c>
      <c r="Y201" s="1" t="s">
        <v>40</v>
      </c>
      <c r="Z201" s="1" t="s">
        <v>357</v>
      </c>
      <c r="AA201" s="1" t="s">
        <v>52</v>
      </c>
      <c r="AB201" s="1" t="s">
        <v>40</v>
      </c>
      <c r="AC201" s="1" t="s">
        <v>48</v>
      </c>
      <c r="AD201" s="1" t="s">
        <v>43</v>
      </c>
      <c r="AE201" s="8">
        <f>IF(L201&lt;&gt;"",L201*E201,0)</f>
      </c>
    </row>
    <row r="202" spans="1:31" x14ac:dyDescent="0.25">
      <c r="A202" s="4">
        <v>197</v>
      </c>
      <c r="B202" s="1" t="s">
        <v>524</v>
      </c>
      <c r="C202" s="5">
        <f>HYPERLINK("https://client.unique.diamonds/dna/11147-21","DNA")</f>
      </c>
      <c r="D202" s="1" t="s">
        <v>36</v>
      </c>
      <c r="E202" s="6">
        <v>1.8</v>
      </c>
      <c r="F202" s="1" t="s">
        <v>162</v>
      </c>
      <c r="G202" s="1" t="s">
        <v>420</v>
      </c>
      <c r="H202" s="1" t="s">
        <v>39</v>
      </c>
      <c r="I202" s="1" t="s">
        <v>39</v>
      </c>
      <c r="J202" s="1" t="s">
        <v>39</v>
      </c>
      <c r="K202" s="1" t="s">
        <v>40</v>
      </c>
      <c r="L202" s="4">
        <v>9400</v>
      </c>
      <c r="M202" s="6">
        <v>-32.5</v>
      </c>
      <c r="N202" s="7">
        <f>IF(AND(L202 &lt;&gt; "-", M202 &lt;&gt; "-"),L202*( 1 + M202%),0)</f>
      </c>
      <c r="O202" s="7">
        <f>( N202 * E202 )</f>
      </c>
      <c r="P202" s="1" t="s">
        <v>525</v>
      </c>
      <c r="Q202" s="6">
        <v>1.01</v>
      </c>
      <c r="R202" s="6">
        <v>60.6</v>
      </c>
      <c r="S202" s="4">
        <v>58</v>
      </c>
      <c r="T202" s="1" t="s">
        <v>42</v>
      </c>
      <c r="U202" s="5">
        <f>HYPERLINK("https://www.gia.edu/report-check?reportno=5433565144","5433565144")</f>
      </c>
      <c r="V202" s="1" t="s">
        <v>43</v>
      </c>
      <c r="W202" s="1" t="s">
        <v>67</v>
      </c>
      <c r="X202" s="1" t="s">
        <v>59</v>
      </c>
      <c r="Y202" s="1" t="s">
        <v>40</v>
      </c>
      <c r="Z202" s="1" t="s">
        <v>59</v>
      </c>
      <c r="AA202" s="1" t="s">
        <v>47</v>
      </c>
      <c r="AB202" s="1" t="s">
        <v>40</v>
      </c>
      <c r="AC202" s="1" t="s">
        <v>48</v>
      </c>
      <c r="AD202" s="1" t="s">
        <v>43</v>
      </c>
      <c r="AE202" s="8">
        <f>IF(L202&lt;&gt;"",L202*E202,0)</f>
      </c>
    </row>
    <row r="203" spans="1:31" x14ac:dyDescent="0.25">
      <c r="A203" s="4">
        <v>198</v>
      </c>
      <c r="B203" s="1" t="s">
        <v>526</v>
      </c>
      <c r="C203" s="5">
        <f>HYPERLINK("https://client.unique.diamonds/dna/11262-8","DNA")</f>
      </c>
      <c r="D203" s="1" t="s">
        <v>36</v>
      </c>
      <c r="E203" s="6">
        <v>2.01</v>
      </c>
      <c r="F203" s="1" t="s">
        <v>162</v>
      </c>
      <c r="G203" s="1" t="s">
        <v>420</v>
      </c>
      <c r="H203" s="1" t="s">
        <v>39</v>
      </c>
      <c r="I203" s="1" t="s">
        <v>39</v>
      </c>
      <c r="J203" s="1" t="s">
        <v>39</v>
      </c>
      <c r="K203" s="1" t="s">
        <v>90</v>
      </c>
      <c r="L203" s="4">
        <v>12600</v>
      </c>
      <c r="M203" s="6">
        <v>-47</v>
      </c>
      <c r="N203" s="7">
        <f>IF(AND(L203 &lt;&gt; "-", M203 &lt;&gt; "-"),L203*( 1 + M203%),0)</f>
      </c>
      <c r="O203" s="7">
        <f>( N203 * E203 )</f>
      </c>
      <c r="P203" s="1" t="s">
        <v>527</v>
      </c>
      <c r="Q203" s="6">
        <v>1.01</v>
      </c>
      <c r="R203" s="6">
        <v>62.3</v>
      </c>
      <c r="S203" s="4">
        <v>59</v>
      </c>
      <c r="T203" s="1" t="s">
        <v>42</v>
      </c>
      <c r="U203" s="5">
        <f>HYPERLINK("https://www.gia.edu/report-check?reportno=7441737059","7441737059")</f>
      </c>
      <c r="V203" s="1" t="s">
        <v>43</v>
      </c>
      <c r="W203" s="1" t="s">
        <v>67</v>
      </c>
      <c r="X203" s="1" t="s">
        <v>45</v>
      </c>
      <c r="Y203" s="1" t="s">
        <v>40</v>
      </c>
      <c r="Z203" s="1" t="s">
        <v>46</v>
      </c>
      <c r="AA203" s="1" t="s">
        <v>367</v>
      </c>
      <c r="AB203" s="1" t="s">
        <v>73</v>
      </c>
      <c r="AC203" s="1" t="s">
        <v>48</v>
      </c>
      <c r="AD203" s="1" t="s">
        <v>43</v>
      </c>
      <c r="AE203" s="8">
        <f>IF(L203&lt;&gt;"",L203*E203,0)</f>
      </c>
    </row>
    <row r="204" spans="1:31" x14ac:dyDescent="0.25">
      <c r="A204" s="4">
        <v>199</v>
      </c>
      <c r="B204" s="1" t="s">
        <v>528</v>
      </c>
      <c r="C204" s="5">
        <f>HYPERLINK("https://client.unique.diamonds/dna/21072-14","DNA")</f>
      </c>
      <c r="D204" s="1" t="s">
        <v>36</v>
      </c>
      <c r="E204" s="6">
        <v>2.01</v>
      </c>
      <c r="F204" s="1" t="s">
        <v>162</v>
      </c>
      <c r="G204" s="1" t="s">
        <v>420</v>
      </c>
      <c r="H204" s="1" t="s">
        <v>39</v>
      </c>
      <c r="I204" s="1" t="s">
        <v>39</v>
      </c>
      <c r="J204" s="1" t="s">
        <v>39</v>
      </c>
      <c r="K204" s="1" t="s">
        <v>40</v>
      </c>
      <c r="L204" s="4">
        <v>12600</v>
      </c>
      <c r="M204" s="6">
        <v>-39</v>
      </c>
      <c r="N204" s="7">
        <f>IF(AND(L204 &lt;&gt; "-", M204 &lt;&gt; "-"),L204*( 1 + M204%),0)</f>
      </c>
      <c r="O204" s="7">
        <f>( N204 * E204 )</f>
      </c>
      <c r="P204" s="1" t="s">
        <v>529</v>
      </c>
      <c r="Q204" s="6">
        <v>1</v>
      </c>
      <c r="R204" s="6">
        <v>60.3</v>
      </c>
      <c r="S204" s="4">
        <v>59</v>
      </c>
      <c r="T204" s="1" t="s">
        <v>42</v>
      </c>
      <c r="U204" s="5">
        <f>HYPERLINK("https://www.gia.edu/report-check?reportno=1469304159","1469304159")</f>
      </c>
      <c r="V204" s="1" t="s">
        <v>43</v>
      </c>
      <c r="W204" s="1" t="s">
        <v>530</v>
      </c>
      <c r="X204" s="1" t="s">
        <v>46</v>
      </c>
      <c r="Y204" s="1" t="s">
        <v>40</v>
      </c>
      <c r="Z204" s="1" t="s">
        <v>46</v>
      </c>
      <c r="AA204" s="1" t="s">
        <v>47</v>
      </c>
      <c r="AB204" s="1" t="s">
        <v>40</v>
      </c>
      <c r="AC204" s="1" t="s">
        <v>329</v>
      </c>
      <c r="AD204" s="1" t="s">
        <v>43</v>
      </c>
      <c r="AE204" s="8">
        <f>IF(L204&lt;&gt;"",L204*E204,0)</f>
      </c>
    </row>
    <row r="205" spans="1:31" x14ac:dyDescent="0.25">
      <c r="A205" s="4">
        <v>200</v>
      </c>
      <c r="B205" s="1" t="s">
        <v>531</v>
      </c>
      <c r="C205" s="5">
        <f>HYPERLINK("https://client.unique.diamonds/dna/11260-4","DNA")</f>
      </c>
      <c r="D205" s="1" t="s">
        <v>36</v>
      </c>
      <c r="E205" s="6">
        <v>2.01</v>
      </c>
      <c r="F205" s="1" t="s">
        <v>162</v>
      </c>
      <c r="G205" s="1" t="s">
        <v>420</v>
      </c>
      <c r="H205" s="1" t="s">
        <v>39</v>
      </c>
      <c r="I205" s="1" t="s">
        <v>39</v>
      </c>
      <c r="J205" s="1" t="s">
        <v>39</v>
      </c>
      <c r="K205" s="1" t="s">
        <v>40</v>
      </c>
      <c r="L205" s="4">
        <v>12600</v>
      </c>
      <c r="M205" s="6">
        <v>-42</v>
      </c>
      <c r="N205" s="7">
        <f>IF(AND(L205 &lt;&gt; "-", M205 &lt;&gt; "-"),L205*( 1 + M205%),0)</f>
      </c>
      <c r="O205" s="7">
        <f>( N205 * E205 )</f>
      </c>
      <c r="P205" s="1" t="s">
        <v>532</v>
      </c>
      <c r="Q205" s="6">
        <v>1.01</v>
      </c>
      <c r="R205" s="6">
        <v>62.7</v>
      </c>
      <c r="S205" s="4">
        <v>59</v>
      </c>
      <c r="T205" s="1" t="s">
        <v>42</v>
      </c>
      <c r="U205" s="5">
        <f>HYPERLINK("https://www.gia.edu/report-check?reportno=5443637915","5443637915")</f>
      </c>
      <c r="V205" s="1" t="s">
        <v>43</v>
      </c>
      <c r="W205" s="1" t="s">
        <v>218</v>
      </c>
      <c r="X205" s="1" t="s">
        <v>45</v>
      </c>
      <c r="Y205" s="1" t="s">
        <v>40</v>
      </c>
      <c r="Z205" s="1" t="s">
        <v>46</v>
      </c>
      <c r="AA205" s="1" t="s">
        <v>47</v>
      </c>
      <c r="AB205" s="1" t="s">
        <v>47</v>
      </c>
      <c r="AC205" s="1" t="s">
        <v>48</v>
      </c>
      <c r="AD205" s="1" t="s">
        <v>43</v>
      </c>
      <c r="AE205" s="8">
        <f>IF(L205&lt;&gt;"",L205*E205,0)</f>
      </c>
    </row>
    <row r="206" spans="1:31" x14ac:dyDescent="0.25">
      <c r="A206" s="4">
        <v>201</v>
      </c>
      <c r="B206" s="1" t="s">
        <v>533</v>
      </c>
      <c r="C206" s="5">
        <f>HYPERLINK("https://client.unique.diamonds/dna/11174-39","DNA")</f>
      </c>
      <c r="D206" s="1" t="s">
        <v>36</v>
      </c>
      <c r="E206" s="6">
        <v>2.01</v>
      </c>
      <c r="F206" s="1" t="s">
        <v>162</v>
      </c>
      <c r="G206" s="1" t="s">
        <v>420</v>
      </c>
      <c r="H206" s="1" t="s">
        <v>39</v>
      </c>
      <c r="I206" s="1" t="s">
        <v>39</v>
      </c>
      <c r="J206" s="1" t="s">
        <v>39</v>
      </c>
      <c r="K206" s="1" t="s">
        <v>40</v>
      </c>
      <c r="L206" s="4">
        <v>12600</v>
      </c>
      <c r="M206" s="6">
        <v>-46</v>
      </c>
      <c r="N206" s="7">
        <f>IF(AND(L206 &lt;&gt; "-", M206 &lt;&gt; "-"),L206*( 1 + M206%),0)</f>
      </c>
      <c r="O206" s="7">
        <f>( N206 * E206 )</f>
      </c>
      <c r="P206" s="1" t="s">
        <v>197</v>
      </c>
      <c r="Q206" s="6">
        <v>1</v>
      </c>
      <c r="R206" s="6">
        <v>61.5</v>
      </c>
      <c r="S206" s="4">
        <v>58</v>
      </c>
      <c r="T206" s="1" t="s">
        <v>42</v>
      </c>
      <c r="U206" s="5">
        <f>HYPERLINK("https://www.gia.edu/report-check?reportno=7431990056","7431990056")</f>
      </c>
      <c r="V206" s="1" t="s">
        <v>43</v>
      </c>
      <c r="W206" s="1" t="s">
        <v>278</v>
      </c>
      <c r="X206" s="1" t="s">
        <v>45</v>
      </c>
      <c r="Y206" s="1" t="s">
        <v>40</v>
      </c>
      <c r="Z206" s="1" t="s">
        <v>357</v>
      </c>
      <c r="AA206" s="1" t="s">
        <v>47</v>
      </c>
      <c r="AB206" s="1" t="s">
        <v>47</v>
      </c>
      <c r="AC206" s="1" t="s">
        <v>226</v>
      </c>
      <c r="AD206" s="1" t="s">
        <v>43</v>
      </c>
      <c r="AE206" s="8">
        <f>IF(L206&lt;&gt;"",L206*E206,0)</f>
      </c>
    </row>
    <row r="207" spans="1:31" x14ac:dyDescent="0.25">
      <c r="A207" s="4">
        <v>202</v>
      </c>
      <c r="B207" s="1" t="s">
        <v>534</v>
      </c>
      <c r="C207" s="5">
        <f>HYPERLINK("https://client.unique.diamonds/dna/11291-5","DNA")</f>
      </c>
      <c r="D207" s="1" t="s">
        <v>36</v>
      </c>
      <c r="E207" s="6">
        <v>2.01</v>
      </c>
      <c r="F207" s="1" t="s">
        <v>162</v>
      </c>
      <c r="G207" s="1" t="s">
        <v>420</v>
      </c>
      <c r="H207" s="1" t="s">
        <v>39</v>
      </c>
      <c r="I207" s="1" t="s">
        <v>39</v>
      </c>
      <c r="J207" s="1" t="s">
        <v>39</v>
      </c>
      <c r="K207" s="1" t="s">
        <v>40</v>
      </c>
      <c r="L207" s="4">
        <v>12600</v>
      </c>
      <c r="M207" s="6">
        <v>-43.07</v>
      </c>
      <c r="N207" s="7">
        <f>IF(AND(L207 &lt;&gt; "-", M207 &lt;&gt; "-"),L207*( 1 + M207%),0)</f>
      </c>
      <c r="O207" s="7">
        <f>( N207 * E207 )</f>
      </c>
      <c r="P207" s="1" t="s">
        <v>91</v>
      </c>
      <c r="Q207" s="6">
        <v>1.01</v>
      </c>
      <c r="R207" s="6">
        <v>62.5</v>
      </c>
      <c r="S207" s="4">
        <v>59</v>
      </c>
      <c r="T207" s="1" t="s">
        <v>42</v>
      </c>
      <c r="U207" s="5">
        <f>HYPERLINK("https://www.gia.edu/report-check?reportno=7458179243","7458179243")</f>
      </c>
      <c r="V207" s="1" t="s">
        <v>43</v>
      </c>
      <c r="W207" s="1" t="s">
        <v>128</v>
      </c>
      <c r="X207" s="1" t="s">
        <v>45</v>
      </c>
      <c r="Y207" s="1" t="s">
        <v>40</v>
      </c>
      <c r="Z207" s="1" t="s">
        <v>46</v>
      </c>
      <c r="AA207" s="1" t="s">
        <v>47</v>
      </c>
      <c r="AB207" s="1" t="s">
        <v>40</v>
      </c>
      <c r="AC207" s="1" t="s">
        <v>48</v>
      </c>
      <c r="AD207" s="1" t="s">
        <v>43</v>
      </c>
      <c r="AE207" s="8">
        <f>IF(L207&lt;&gt;"",L207*E207,0)</f>
      </c>
    </row>
    <row r="208" spans="1:31" x14ac:dyDescent="0.25">
      <c r="A208" s="4">
        <v>203</v>
      </c>
      <c r="B208" s="1" t="s">
        <v>535</v>
      </c>
      <c r="C208" s="5">
        <f>HYPERLINK("https://client.unique.diamonds/dna/U-1196","DNA")</f>
      </c>
      <c r="D208" s="1" t="s">
        <v>36</v>
      </c>
      <c r="E208" s="6">
        <v>2.01</v>
      </c>
      <c r="F208" s="1" t="s">
        <v>162</v>
      </c>
      <c r="G208" s="1" t="s">
        <v>420</v>
      </c>
      <c r="H208" s="1" t="s">
        <v>39</v>
      </c>
      <c r="I208" s="1" t="s">
        <v>39</v>
      </c>
      <c r="J208" s="1" t="s">
        <v>39</v>
      </c>
      <c r="K208" s="1" t="s">
        <v>40</v>
      </c>
      <c r="L208" s="4">
        <v>12600</v>
      </c>
      <c r="M208" s="6">
        <v>-39.5</v>
      </c>
      <c r="N208" s="7">
        <f>IF(AND(L208 &lt;&gt; "-", M208 &lt;&gt; "-"),L208*( 1 + M208%),0)</f>
      </c>
      <c r="O208" s="7">
        <f>( N208 * E208 )</f>
      </c>
      <c r="P208" s="1" t="s">
        <v>536</v>
      </c>
      <c r="Q208" s="6">
        <v>1.01</v>
      </c>
      <c r="R208" s="6">
        <v>62.4</v>
      </c>
      <c r="S208" s="4">
        <v>57</v>
      </c>
      <c r="T208" s="1" t="s">
        <v>42</v>
      </c>
      <c r="U208" s="5">
        <f>HYPERLINK("https://www.gia.edu/report-check?reportno=6415042434","6415042434")</f>
      </c>
      <c r="V208" s="1" t="s">
        <v>43</v>
      </c>
      <c r="W208" s="1" t="s">
        <v>537</v>
      </c>
      <c r="X208" s="1" t="s">
        <v>46</v>
      </c>
      <c r="Y208" s="1" t="s">
        <v>40</v>
      </c>
      <c r="Z208" s="1" t="s">
        <v>46</v>
      </c>
      <c r="AA208" s="1" t="s">
        <v>52</v>
      </c>
      <c r="AB208" s="1" t="s">
        <v>47</v>
      </c>
      <c r="AC208" s="1" t="s">
        <v>226</v>
      </c>
      <c r="AD208" s="1" t="s">
        <v>43</v>
      </c>
      <c r="AE208" s="8">
        <f>IF(L208&lt;&gt;"",L208*E208,0)</f>
      </c>
    </row>
    <row r="209" spans="1:31" x14ac:dyDescent="0.25">
      <c r="A209" s="4">
        <v>204</v>
      </c>
      <c r="B209" s="1" t="s">
        <v>538</v>
      </c>
      <c r="C209" s="5">
        <f>HYPERLINK("https://client.unique.diamonds/dna/11260-6","DNA")</f>
      </c>
      <c r="D209" s="1" t="s">
        <v>36</v>
      </c>
      <c r="E209" s="6">
        <v>2.02</v>
      </c>
      <c r="F209" s="1" t="s">
        <v>162</v>
      </c>
      <c r="G209" s="1" t="s">
        <v>420</v>
      </c>
      <c r="H209" s="1" t="s">
        <v>39</v>
      </c>
      <c r="I209" s="1" t="s">
        <v>39</v>
      </c>
      <c r="J209" s="1" t="s">
        <v>39</v>
      </c>
      <c r="K209" s="1" t="s">
        <v>40</v>
      </c>
      <c r="L209" s="4">
        <v>12600</v>
      </c>
      <c r="M209" s="6">
        <v>-39.01</v>
      </c>
      <c r="N209" s="7">
        <f>IF(AND(L209 &lt;&gt; "-", M209 &lt;&gt; "-"),L209*( 1 + M209%),0)</f>
      </c>
      <c r="O209" s="7">
        <f>( N209 * E209 )</f>
      </c>
      <c r="P209" s="1" t="s">
        <v>539</v>
      </c>
      <c r="Q209" s="6">
        <v>1</v>
      </c>
      <c r="R209" s="6">
        <v>61.2</v>
      </c>
      <c r="S209" s="4">
        <v>59</v>
      </c>
      <c r="T209" s="1" t="s">
        <v>42</v>
      </c>
      <c r="U209" s="5">
        <f>HYPERLINK("https://www.gia.edu/report-check?reportno=5443637937","5443637937")</f>
      </c>
      <c r="V209" s="1" t="s">
        <v>43</v>
      </c>
      <c r="W209" s="1" t="s">
        <v>67</v>
      </c>
      <c r="X209" s="1" t="s">
        <v>46</v>
      </c>
      <c r="Y209" s="1" t="s">
        <v>40</v>
      </c>
      <c r="Z209" s="1" t="s">
        <v>46</v>
      </c>
      <c r="AA209" s="1" t="s">
        <v>52</v>
      </c>
      <c r="AB209" s="1" t="s">
        <v>40</v>
      </c>
      <c r="AC209" s="1" t="s">
        <v>226</v>
      </c>
      <c r="AD209" s="1" t="s">
        <v>43</v>
      </c>
      <c r="AE209" s="8">
        <f>IF(L209&lt;&gt;"",L209*E209,0)</f>
      </c>
    </row>
    <row r="210" spans="1:31" x14ac:dyDescent="0.25">
      <c r="A210" s="4">
        <v>205</v>
      </c>
      <c r="B210" s="1" t="s">
        <v>540</v>
      </c>
      <c r="C210" s="5">
        <f>HYPERLINK("https://client.unique.diamonds/dna/11162-41","DNA")</f>
      </c>
      <c r="D210" s="1" t="s">
        <v>36</v>
      </c>
      <c r="E210" s="6">
        <v>2.03</v>
      </c>
      <c r="F210" s="1" t="s">
        <v>162</v>
      </c>
      <c r="G210" s="1" t="s">
        <v>420</v>
      </c>
      <c r="H210" s="1" t="s">
        <v>39</v>
      </c>
      <c r="I210" s="1" t="s">
        <v>39</v>
      </c>
      <c r="J210" s="1" t="s">
        <v>39</v>
      </c>
      <c r="K210" s="1" t="s">
        <v>40</v>
      </c>
      <c r="L210" s="4">
        <v>12600</v>
      </c>
      <c r="M210" s="6">
        <v>-41</v>
      </c>
      <c r="N210" s="7">
        <f>IF(AND(L210 &lt;&gt; "-", M210 &lt;&gt; "-"),L210*( 1 + M210%),0)</f>
      </c>
      <c r="O210" s="7">
        <f>( N210 * E210 )</f>
      </c>
      <c r="P210" s="1" t="s">
        <v>541</v>
      </c>
      <c r="Q210" s="6">
        <v>1.01</v>
      </c>
      <c r="R210" s="6">
        <v>62.4</v>
      </c>
      <c r="S210" s="4">
        <v>58</v>
      </c>
      <c r="T210" s="1" t="s">
        <v>42</v>
      </c>
      <c r="U210" s="5">
        <f>HYPERLINK("https://www.gia.edu/report-check?reportno=2436858249","2436858249")</f>
      </c>
      <c r="V210" s="1" t="s">
        <v>43</v>
      </c>
      <c r="W210" s="1" t="s">
        <v>218</v>
      </c>
      <c r="X210" s="1" t="s">
        <v>45</v>
      </c>
      <c r="Y210" s="1" t="s">
        <v>40</v>
      </c>
      <c r="Z210" s="1" t="s">
        <v>45</v>
      </c>
      <c r="AA210" s="1" t="s">
        <v>52</v>
      </c>
      <c r="AB210" s="1" t="s">
        <v>73</v>
      </c>
      <c r="AC210" s="1" t="s">
        <v>48</v>
      </c>
      <c r="AD210" s="1" t="s">
        <v>43</v>
      </c>
      <c r="AE210" s="8">
        <f>IF(L210&lt;&gt;"",L210*E210,0)</f>
      </c>
    </row>
    <row r="211" spans="1:31" x14ac:dyDescent="0.25">
      <c r="A211" s="4">
        <v>206</v>
      </c>
      <c r="B211" s="1" t="s">
        <v>542</v>
      </c>
      <c r="C211" s="5">
        <f>HYPERLINK("https://client.unique.diamonds/dna/11060-40","DNA")</f>
      </c>
      <c r="D211" s="1" t="s">
        <v>36</v>
      </c>
      <c r="E211" s="6">
        <v>2.04</v>
      </c>
      <c r="F211" s="1" t="s">
        <v>162</v>
      </c>
      <c r="G211" s="1" t="s">
        <v>420</v>
      </c>
      <c r="H211" s="1" t="s">
        <v>39</v>
      </c>
      <c r="I211" s="1" t="s">
        <v>39</v>
      </c>
      <c r="J211" s="1" t="s">
        <v>39</v>
      </c>
      <c r="K211" s="1" t="s">
        <v>40</v>
      </c>
      <c r="L211" s="4">
        <v>12600</v>
      </c>
      <c r="M211" s="6">
        <v>-43</v>
      </c>
      <c r="N211" s="7">
        <f>IF(AND(L211 &lt;&gt; "-", M211 &lt;&gt; "-"),L211*( 1 + M211%),0)</f>
      </c>
      <c r="O211" s="7">
        <f>( N211 * E211 )</f>
      </c>
      <c r="P211" s="1" t="s">
        <v>543</v>
      </c>
      <c r="Q211" s="6">
        <v>1.01</v>
      </c>
      <c r="R211" s="6">
        <v>61.1</v>
      </c>
      <c r="S211" s="4">
        <v>57</v>
      </c>
      <c r="T211" s="1" t="s">
        <v>42</v>
      </c>
      <c r="U211" s="5">
        <f>HYPERLINK("https://www.gia.edu/report-check?reportno=2426804526","2426804526")</f>
      </c>
      <c r="V211" s="1" t="s">
        <v>43</v>
      </c>
      <c r="W211" s="1" t="s">
        <v>544</v>
      </c>
      <c r="X211" s="1" t="s">
        <v>46</v>
      </c>
      <c r="Y211" s="1" t="s">
        <v>40</v>
      </c>
      <c r="Z211" s="1" t="s">
        <v>46</v>
      </c>
      <c r="AA211" s="1" t="s">
        <v>47</v>
      </c>
      <c r="AB211" s="1" t="s">
        <v>47</v>
      </c>
      <c r="AC211" s="1" t="s">
        <v>48</v>
      </c>
      <c r="AD211" s="1" t="s">
        <v>43</v>
      </c>
      <c r="AE211" s="8">
        <f>IF(L211&lt;&gt;"",L211*E211,0)</f>
      </c>
    </row>
    <row r="212" spans="1:31" x14ac:dyDescent="0.25">
      <c r="A212" s="4">
        <v>207</v>
      </c>
      <c r="B212" s="1" t="s">
        <v>545</v>
      </c>
      <c r="C212" s="5">
        <f>HYPERLINK("https://client.unique.diamonds/dna/11136-135","DNA")</f>
      </c>
      <c r="D212" s="1" t="s">
        <v>36</v>
      </c>
      <c r="E212" s="6">
        <v>2.2</v>
      </c>
      <c r="F212" s="1" t="s">
        <v>162</v>
      </c>
      <c r="G212" s="1" t="s">
        <v>420</v>
      </c>
      <c r="H212" s="1" t="s">
        <v>39</v>
      </c>
      <c r="I212" s="1" t="s">
        <v>39</v>
      </c>
      <c r="J212" s="1" t="s">
        <v>39</v>
      </c>
      <c r="K212" s="1" t="s">
        <v>40</v>
      </c>
      <c r="L212" s="4">
        <v>12600</v>
      </c>
      <c r="M212" s="6">
        <v>-37.99</v>
      </c>
      <c r="N212" s="7">
        <f>IF(AND(L212 &lt;&gt; "-", M212 &lt;&gt; "-"),L212*( 1 + M212%),0)</f>
      </c>
      <c r="O212" s="7">
        <f>( N212 * E212 )</f>
      </c>
      <c r="P212" s="1" t="s">
        <v>546</v>
      </c>
      <c r="Q212" s="6">
        <v>1</v>
      </c>
      <c r="R212" s="6">
        <v>62.6</v>
      </c>
      <c r="S212" s="4">
        <v>56</v>
      </c>
      <c r="T212" s="1" t="s">
        <v>42</v>
      </c>
      <c r="U212" s="5">
        <f>HYPERLINK("https://www.gia.edu/report-check?reportno=2436565227","2436565227")</f>
      </c>
      <c r="V212" s="1" t="s">
        <v>43</v>
      </c>
      <c r="W212" s="1" t="s">
        <v>218</v>
      </c>
      <c r="X212" s="1" t="s">
        <v>59</v>
      </c>
      <c r="Y212" s="1" t="s">
        <v>40</v>
      </c>
      <c r="Z212" s="1" t="s">
        <v>45</v>
      </c>
      <c r="AA212" s="1" t="s">
        <v>52</v>
      </c>
      <c r="AB212" s="1" t="s">
        <v>73</v>
      </c>
      <c r="AC212" s="1" t="s">
        <v>48</v>
      </c>
      <c r="AD212" s="1" t="s">
        <v>43</v>
      </c>
      <c r="AE212" s="8">
        <f>IF(L212&lt;&gt;"",L212*E212,0)</f>
      </c>
    </row>
    <row r="213" spans="1:31" x14ac:dyDescent="0.25">
      <c r="A213" s="4">
        <v>208</v>
      </c>
      <c r="B213" s="1" t="s">
        <v>547</v>
      </c>
      <c r="C213" s="5">
        <f>HYPERLINK("https://client.unique.diamonds/dna/11235-28","DNA")</f>
      </c>
      <c r="D213" s="1" t="s">
        <v>36</v>
      </c>
      <c r="E213" s="6">
        <v>3.03</v>
      </c>
      <c r="F213" s="1" t="s">
        <v>162</v>
      </c>
      <c r="G213" s="1" t="s">
        <v>420</v>
      </c>
      <c r="H213" s="1" t="s">
        <v>39</v>
      </c>
      <c r="I213" s="1" t="s">
        <v>39</v>
      </c>
      <c r="J213" s="1" t="s">
        <v>39</v>
      </c>
      <c r="K213" s="1" t="s">
        <v>40</v>
      </c>
      <c r="L213" s="4">
        <v>17900</v>
      </c>
      <c r="M213" s="6">
        <v>-41</v>
      </c>
      <c r="N213" s="7">
        <f>IF(AND(L213 &lt;&gt; "-", M213 &lt;&gt; "-"),L213*( 1 + M213%),0)</f>
      </c>
      <c r="O213" s="7">
        <f>( N213 * E213 )</f>
      </c>
      <c r="P213" s="1" t="s">
        <v>548</v>
      </c>
      <c r="Q213" s="6">
        <v>1</v>
      </c>
      <c r="R213" s="6">
        <v>60</v>
      </c>
      <c r="S213" s="4">
        <v>59</v>
      </c>
      <c r="T213" s="1" t="s">
        <v>42</v>
      </c>
      <c r="U213" s="5">
        <f>HYPERLINK("https://www.gia.edu/report-check?reportno=2444609259","2444609259")</f>
      </c>
      <c r="V213" s="1" t="s">
        <v>43</v>
      </c>
      <c r="W213" s="1" t="s">
        <v>128</v>
      </c>
      <c r="X213" s="1" t="s">
        <v>45</v>
      </c>
      <c r="Y213" s="1" t="s">
        <v>40</v>
      </c>
      <c r="Z213" s="1" t="s">
        <v>46</v>
      </c>
      <c r="AA213" s="1" t="s">
        <v>47</v>
      </c>
      <c r="AB213" s="1" t="s">
        <v>47</v>
      </c>
      <c r="AC213" s="1" t="s">
        <v>226</v>
      </c>
      <c r="AD213" s="1" t="s">
        <v>43</v>
      </c>
      <c r="AE213" s="8">
        <f>IF(L213&lt;&gt;"",L213*E213,0)</f>
      </c>
    </row>
    <row r="214" spans="1:31" x14ac:dyDescent="0.25">
      <c r="A214" s="4">
        <v>209</v>
      </c>
      <c r="B214" s="1" t="s">
        <v>549</v>
      </c>
      <c r="C214" s="5">
        <f>HYPERLINK("https://client.unique.diamonds/dna/21040-16","DNA")</f>
      </c>
      <c r="D214" s="1" t="s">
        <v>36</v>
      </c>
      <c r="E214" s="6">
        <v>3.71</v>
      </c>
      <c r="F214" s="1" t="s">
        <v>162</v>
      </c>
      <c r="G214" s="1" t="s">
        <v>420</v>
      </c>
      <c r="H214" s="1" t="s">
        <v>39</v>
      </c>
      <c r="I214" s="1" t="s">
        <v>39</v>
      </c>
      <c r="J214" s="1" t="s">
        <v>39</v>
      </c>
      <c r="K214" s="1" t="s">
        <v>40</v>
      </c>
      <c r="L214" s="4">
        <v>17900</v>
      </c>
      <c r="M214" s="6">
        <v>-21.5</v>
      </c>
      <c r="N214" s="7">
        <f>IF(AND(L214 &lt;&gt; "-", M214 &lt;&gt; "-"),L214*( 1 + M214%),0)</f>
      </c>
      <c r="O214" s="7">
        <f>( N214 * E214 )</f>
      </c>
      <c r="P214" s="1" t="s">
        <v>550</v>
      </c>
      <c r="Q214" s="6">
        <v>1.01</v>
      </c>
      <c r="R214" s="6">
        <v>62.5</v>
      </c>
      <c r="S214" s="4">
        <v>57</v>
      </c>
      <c r="T214" s="1" t="s">
        <v>42</v>
      </c>
      <c r="U214" s="5">
        <f>HYPERLINK("https://www.gia.edu/report-check?reportno=6452814531","6452814531")</f>
      </c>
      <c r="V214" s="1" t="s">
        <v>43</v>
      </c>
      <c r="W214" s="1" t="s">
        <v>291</v>
      </c>
      <c r="X214" s="1" t="s">
        <v>46</v>
      </c>
      <c r="Y214" s="1" t="s">
        <v>40</v>
      </c>
      <c r="Z214" s="1" t="s">
        <v>46</v>
      </c>
      <c r="AA214" s="1" t="s">
        <v>47</v>
      </c>
      <c r="AB214" s="1" t="s">
        <v>40</v>
      </c>
      <c r="AC214" s="1" t="s">
        <v>48</v>
      </c>
      <c r="AD214" s="1" t="s">
        <v>43</v>
      </c>
      <c r="AE214" s="8">
        <f>IF(L214&lt;&gt;"",L214*E214,0)</f>
      </c>
    </row>
    <row r="215" spans="1:31" x14ac:dyDescent="0.25">
      <c r="A215" s="4">
        <v>210</v>
      </c>
      <c r="B215" s="1" t="s">
        <v>551</v>
      </c>
      <c r="C215" s="5">
        <f>HYPERLINK("https://client.unique.diamonds/dna/162-38","DNA")</f>
      </c>
      <c r="D215" s="1" t="s">
        <v>36</v>
      </c>
      <c r="E215" s="6">
        <v>1.5</v>
      </c>
      <c r="F215" s="1" t="s">
        <v>176</v>
      </c>
      <c r="G215" s="1" t="s">
        <v>420</v>
      </c>
      <c r="H215" s="1" t="s">
        <v>39</v>
      </c>
      <c r="I215" s="1" t="s">
        <v>39</v>
      </c>
      <c r="J215" s="1" t="s">
        <v>39</v>
      </c>
      <c r="K215" s="1" t="s">
        <v>40</v>
      </c>
      <c r="L215" s="4">
        <v>8100</v>
      </c>
      <c r="M215" s="6">
        <v>-41.64</v>
      </c>
      <c r="N215" s="7">
        <f>IF(AND(L215 &lt;&gt; "-", M215 &lt;&gt; "-"),L215*( 1 + M215%),0)</f>
      </c>
      <c r="O215" s="7">
        <f>( N215 * E215 )</f>
      </c>
      <c r="P215" s="1" t="s">
        <v>552</v>
      </c>
      <c r="Q215" s="6">
        <v>1</v>
      </c>
      <c r="R215" s="6">
        <v>60.2</v>
      </c>
      <c r="S215" s="4">
        <v>59</v>
      </c>
      <c r="T215" s="1" t="s">
        <v>42</v>
      </c>
      <c r="U215" s="5">
        <f>HYPERLINK("https://www.gia.edu/report-check?reportno=6442042686","6442042686")</f>
      </c>
      <c r="V215" s="1" t="s">
        <v>43</v>
      </c>
      <c r="W215" s="1" t="s">
        <v>553</v>
      </c>
      <c r="X215" s="1" t="s">
        <v>45</v>
      </c>
      <c r="Y215" s="1" t="s">
        <v>40</v>
      </c>
      <c r="Z215" s="1" t="s">
        <v>46</v>
      </c>
      <c r="AA215" s="1" t="s">
        <v>40</v>
      </c>
      <c r="AB215" s="1" t="s">
        <v>40</v>
      </c>
      <c r="AC215" s="1" t="s">
        <v>48</v>
      </c>
      <c r="AD215" s="1" t="s">
        <v>43</v>
      </c>
      <c r="AE215" s="8">
        <f>IF(L215&lt;&gt;"",L215*E215,0)</f>
      </c>
    </row>
    <row r="216" spans="1:31" x14ac:dyDescent="0.25">
      <c r="A216" s="4">
        <v>211</v>
      </c>
      <c r="B216" s="1" t="s">
        <v>554</v>
      </c>
      <c r="C216" s="5">
        <f>HYPERLINK("https://client.unique.diamonds/dna/11193-76","DNA")</f>
      </c>
      <c r="D216" s="1" t="s">
        <v>36</v>
      </c>
      <c r="E216" s="6">
        <v>1.5</v>
      </c>
      <c r="F216" s="1" t="s">
        <v>176</v>
      </c>
      <c r="G216" s="1" t="s">
        <v>420</v>
      </c>
      <c r="H216" s="1" t="s">
        <v>39</v>
      </c>
      <c r="I216" s="1" t="s">
        <v>39</v>
      </c>
      <c r="J216" s="1" t="s">
        <v>39</v>
      </c>
      <c r="K216" s="1" t="s">
        <v>40</v>
      </c>
      <c r="L216" s="4">
        <v>8100</v>
      </c>
      <c r="M216" s="6">
        <v>-42.66</v>
      </c>
      <c r="N216" s="7">
        <f>IF(AND(L216 &lt;&gt; "-", M216 &lt;&gt; "-"),L216*( 1 + M216%),0)</f>
      </c>
      <c r="O216" s="7">
        <f>( N216 * E216 )</f>
      </c>
      <c r="P216" s="1" t="s">
        <v>361</v>
      </c>
      <c r="Q216" s="6">
        <v>1.01</v>
      </c>
      <c r="R216" s="6">
        <v>62.3</v>
      </c>
      <c r="S216" s="4">
        <v>59</v>
      </c>
      <c r="T216" s="1" t="s">
        <v>42</v>
      </c>
      <c r="U216" s="5">
        <f>HYPERLINK("https://www.gia.edu/report-check?reportno=6441169577","6441169577")</f>
      </c>
      <c r="V216" s="1" t="s">
        <v>43</v>
      </c>
      <c r="W216" s="1" t="s">
        <v>88</v>
      </c>
      <c r="X216" s="1" t="s">
        <v>46</v>
      </c>
      <c r="Y216" s="1" t="s">
        <v>40</v>
      </c>
      <c r="Z216" s="1" t="s">
        <v>46</v>
      </c>
      <c r="AA216" s="1" t="s">
        <v>47</v>
      </c>
      <c r="AB216" s="1" t="s">
        <v>47</v>
      </c>
      <c r="AC216" s="1" t="s">
        <v>329</v>
      </c>
      <c r="AD216" s="1" t="s">
        <v>43</v>
      </c>
      <c r="AE216" s="8">
        <f>IF(L216&lt;&gt;"",L216*E216,0)</f>
      </c>
    </row>
    <row r="217" spans="1:31" x14ac:dyDescent="0.25">
      <c r="A217" s="4">
        <v>212</v>
      </c>
      <c r="B217" s="1" t="s">
        <v>555</v>
      </c>
      <c r="C217" s="5">
        <f>HYPERLINK("https://client.unique.diamonds/dna/21093-2","DNA")</f>
      </c>
      <c r="D217" s="1" t="s">
        <v>36</v>
      </c>
      <c r="E217" s="6">
        <v>1.5</v>
      </c>
      <c r="F217" s="1" t="s">
        <v>176</v>
      </c>
      <c r="G217" s="1" t="s">
        <v>420</v>
      </c>
      <c r="H217" s="1" t="s">
        <v>39</v>
      </c>
      <c r="I217" s="1" t="s">
        <v>39</v>
      </c>
      <c r="J217" s="1" t="s">
        <v>39</v>
      </c>
      <c r="K217" s="1" t="s">
        <v>40</v>
      </c>
      <c r="L217" s="4">
        <v>8100</v>
      </c>
      <c r="M217" s="6">
        <v>-41</v>
      </c>
      <c r="N217" s="7">
        <f>IF(AND(L217 &lt;&gt; "-", M217 &lt;&gt; "-"),L217*( 1 + M217%),0)</f>
      </c>
      <c r="O217" s="7">
        <f>( N217 * E217 )</f>
      </c>
      <c r="P217" s="1" t="s">
        <v>556</v>
      </c>
      <c r="Q217" s="6">
        <v>1.01</v>
      </c>
      <c r="R217" s="6">
        <v>62.9</v>
      </c>
      <c r="S217" s="4">
        <v>56</v>
      </c>
      <c r="T217" s="1" t="s">
        <v>42</v>
      </c>
      <c r="U217" s="5">
        <f>HYPERLINK("https://www.gia.edu/report-check?reportno=7468321916","7468321916")</f>
      </c>
      <c r="V217" s="1" t="s">
        <v>43</v>
      </c>
      <c r="W217" s="1" t="s">
        <v>557</v>
      </c>
      <c r="X217" s="1" t="s">
        <v>45</v>
      </c>
      <c r="Y217" s="1" t="s">
        <v>40</v>
      </c>
      <c r="Z217" s="1" t="s">
        <v>46</v>
      </c>
      <c r="AA217" s="1" t="s">
        <v>47</v>
      </c>
      <c r="AB217" s="1" t="s">
        <v>73</v>
      </c>
      <c r="AC217" s="1" t="s">
        <v>48</v>
      </c>
      <c r="AD217" s="1" t="s">
        <v>43</v>
      </c>
      <c r="AE217" s="8">
        <f>IF(L217&lt;&gt;"",L217*E217,0)</f>
      </c>
    </row>
    <row r="218" spans="1:31" x14ac:dyDescent="0.25">
      <c r="A218" s="4">
        <v>213</v>
      </c>
      <c r="B218" s="1" t="s">
        <v>558</v>
      </c>
      <c r="C218" s="5">
        <f>HYPERLINK("https://client.unique.diamonds/dna/12044-122","DNA")</f>
      </c>
      <c r="D218" s="1" t="s">
        <v>36</v>
      </c>
      <c r="E218" s="6">
        <v>1.5</v>
      </c>
      <c r="F218" s="1" t="s">
        <v>176</v>
      </c>
      <c r="G218" s="1" t="s">
        <v>420</v>
      </c>
      <c r="H218" s="1" t="s">
        <v>39</v>
      </c>
      <c r="I218" s="1" t="s">
        <v>39</v>
      </c>
      <c r="J218" s="1" t="s">
        <v>39</v>
      </c>
      <c r="K218" s="1" t="s">
        <v>40</v>
      </c>
      <c r="L218" s="4">
        <v>8100</v>
      </c>
      <c r="M218" s="6">
        <v>-40.62</v>
      </c>
      <c r="N218" s="7">
        <f>IF(AND(L218 &lt;&gt; "-", M218 &lt;&gt; "-"),L218*( 1 + M218%),0)</f>
      </c>
      <c r="O218" s="7">
        <f>( N218 * E218 )</f>
      </c>
      <c r="P218" s="1" t="s">
        <v>559</v>
      </c>
      <c r="Q218" s="6">
        <v>1</v>
      </c>
      <c r="R218" s="6">
        <v>61.7</v>
      </c>
      <c r="S218" s="4">
        <v>58</v>
      </c>
      <c r="T218" s="1" t="s">
        <v>42</v>
      </c>
      <c r="U218" s="5">
        <f>HYPERLINK("https://www.gia.edu/report-check?reportno=2436377872","2436377872")</f>
      </c>
      <c r="V218" s="1" t="s">
        <v>43</v>
      </c>
      <c r="W218" s="1" t="s">
        <v>484</v>
      </c>
      <c r="X218" s="1" t="s">
        <v>59</v>
      </c>
      <c r="Y218" s="1" t="s">
        <v>40</v>
      </c>
      <c r="Z218" s="1" t="s">
        <v>46</v>
      </c>
      <c r="AA218" s="1" t="s">
        <v>52</v>
      </c>
      <c r="AB218" s="1" t="s">
        <v>47</v>
      </c>
      <c r="AC218" s="1" t="s">
        <v>48</v>
      </c>
      <c r="AD218" s="1" t="s">
        <v>43</v>
      </c>
      <c r="AE218" s="8">
        <f>IF(L218&lt;&gt;"",L218*E218,0)</f>
      </c>
    </row>
    <row r="219" spans="1:31" x14ac:dyDescent="0.25">
      <c r="A219" s="4">
        <v>214</v>
      </c>
      <c r="B219" s="1" t="s">
        <v>560</v>
      </c>
      <c r="C219" s="5">
        <f>HYPERLINK("https://client.unique.diamonds/dna/11211-5","DNA")</f>
      </c>
      <c r="D219" s="1" t="s">
        <v>36</v>
      </c>
      <c r="E219" s="6">
        <v>1.51</v>
      </c>
      <c r="F219" s="1" t="s">
        <v>176</v>
      </c>
      <c r="G219" s="1" t="s">
        <v>420</v>
      </c>
      <c r="H219" s="1" t="s">
        <v>39</v>
      </c>
      <c r="I219" s="1" t="s">
        <v>39</v>
      </c>
      <c r="J219" s="1" t="s">
        <v>39</v>
      </c>
      <c r="K219" s="1" t="s">
        <v>40</v>
      </c>
      <c r="L219" s="4">
        <v>8100</v>
      </c>
      <c r="M219" s="6">
        <v>-43</v>
      </c>
      <c r="N219" s="7">
        <f>IF(AND(L219 &lt;&gt; "-", M219 &lt;&gt; "-"),L219*( 1 + M219%),0)</f>
      </c>
      <c r="O219" s="7">
        <f>( N219 * E219 )</f>
      </c>
      <c r="P219" s="1" t="s">
        <v>561</v>
      </c>
      <c r="Q219" s="6">
        <v>1</v>
      </c>
      <c r="R219" s="6">
        <v>60.2</v>
      </c>
      <c r="S219" s="4">
        <v>57</v>
      </c>
      <c r="T219" s="1" t="s">
        <v>42</v>
      </c>
      <c r="U219" s="5">
        <f>HYPERLINK("https://www.gia.edu/report-check?reportno=5443251681","5443251681")</f>
      </c>
      <c r="V219" s="1" t="s">
        <v>43</v>
      </c>
      <c r="W219" s="1" t="s">
        <v>396</v>
      </c>
      <c r="X219" s="1" t="s">
        <v>45</v>
      </c>
      <c r="Y219" s="1" t="s">
        <v>40</v>
      </c>
      <c r="Z219" s="1" t="s">
        <v>46</v>
      </c>
      <c r="AA219" s="1" t="s">
        <v>47</v>
      </c>
      <c r="AB219" s="1" t="s">
        <v>47</v>
      </c>
      <c r="AC219" s="1" t="s">
        <v>48</v>
      </c>
      <c r="AD219" s="1" t="s">
        <v>43</v>
      </c>
      <c r="AE219" s="8">
        <f>IF(L219&lt;&gt;"",L219*E219,0)</f>
      </c>
    </row>
    <row r="220" spans="1:31" x14ac:dyDescent="0.25">
      <c r="A220" s="4">
        <v>215</v>
      </c>
      <c r="B220" s="1" t="s">
        <v>562</v>
      </c>
      <c r="C220" s="5">
        <f>HYPERLINK("https://client.unique.diamonds/dna/11136-1","DNA")</f>
      </c>
      <c r="D220" s="1" t="s">
        <v>36</v>
      </c>
      <c r="E220" s="6">
        <v>1.51</v>
      </c>
      <c r="F220" s="1" t="s">
        <v>176</v>
      </c>
      <c r="G220" s="1" t="s">
        <v>420</v>
      </c>
      <c r="H220" s="1" t="s">
        <v>39</v>
      </c>
      <c r="I220" s="1" t="s">
        <v>39</v>
      </c>
      <c r="J220" s="1" t="s">
        <v>39</v>
      </c>
      <c r="K220" s="1" t="s">
        <v>90</v>
      </c>
      <c r="L220" s="4">
        <v>8100</v>
      </c>
      <c r="M220" s="6">
        <v>-41.5</v>
      </c>
      <c r="N220" s="7">
        <f>IF(AND(L220 &lt;&gt; "-", M220 &lt;&gt; "-"),L220*( 1 + M220%),0)</f>
      </c>
      <c r="O220" s="7">
        <f>( N220 * E220 )</f>
      </c>
      <c r="P220" s="1" t="s">
        <v>563</v>
      </c>
      <c r="Q220" s="6">
        <v>1.01</v>
      </c>
      <c r="R220" s="6">
        <v>62.3</v>
      </c>
      <c r="S220" s="4">
        <v>58</v>
      </c>
      <c r="T220" s="1" t="s">
        <v>42</v>
      </c>
      <c r="U220" s="5">
        <f>HYPERLINK("https://www.gia.edu/report-check?reportno=7438126642","7438126642")</f>
      </c>
      <c r="V220" s="1" t="s">
        <v>43</v>
      </c>
      <c r="W220" s="1" t="s">
        <v>297</v>
      </c>
      <c r="X220" s="1" t="s">
        <v>46</v>
      </c>
      <c r="Y220" s="1" t="s">
        <v>40</v>
      </c>
      <c r="Z220" s="1" t="s">
        <v>59</v>
      </c>
      <c r="AA220" s="1" t="s">
        <v>40</v>
      </c>
      <c r="AB220" s="1" t="s">
        <v>40</v>
      </c>
      <c r="AC220" s="1" t="s">
        <v>329</v>
      </c>
      <c r="AD220" s="1" t="s">
        <v>43</v>
      </c>
      <c r="AE220" s="8">
        <f>IF(L220&lt;&gt;"",L220*E220,0)</f>
      </c>
    </row>
    <row r="221" spans="1:31" x14ac:dyDescent="0.25">
      <c r="A221" s="4">
        <v>216</v>
      </c>
      <c r="B221" s="1" t="s">
        <v>564</v>
      </c>
      <c r="C221" s="5">
        <f>HYPERLINK("https://client.unique.diamonds/dna/12055-50","DNA")</f>
      </c>
      <c r="D221" s="1" t="s">
        <v>36</v>
      </c>
      <c r="E221" s="6">
        <v>1.52</v>
      </c>
      <c r="F221" s="1" t="s">
        <v>176</v>
      </c>
      <c r="G221" s="1" t="s">
        <v>420</v>
      </c>
      <c r="H221" s="1" t="s">
        <v>39</v>
      </c>
      <c r="I221" s="1" t="s">
        <v>39</v>
      </c>
      <c r="J221" s="1" t="s">
        <v>39</v>
      </c>
      <c r="K221" s="1" t="s">
        <v>40</v>
      </c>
      <c r="L221" s="4">
        <v>8100</v>
      </c>
      <c r="M221" s="6">
        <v>-45.46</v>
      </c>
      <c r="N221" s="7">
        <f>IF(AND(L221 &lt;&gt; "-", M221 &lt;&gt; "-"),L221*( 1 + M221%),0)</f>
      </c>
      <c r="O221" s="7">
        <f>( N221 * E221 )</f>
      </c>
      <c r="P221" s="1" t="s">
        <v>565</v>
      </c>
      <c r="Q221" s="6">
        <v>1.01</v>
      </c>
      <c r="R221" s="6">
        <v>62.5</v>
      </c>
      <c r="S221" s="4">
        <v>56</v>
      </c>
      <c r="T221" s="1" t="s">
        <v>42</v>
      </c>
      <c r="U221" s="5">
        <f>HYPERLINK("https://www.gia.edu/report-check?reportno=7433687601","7433687601")</f>
      </c>
      <c r="V221" s="1" t="s">
        <v>43</v>
      </c>
      <c r="W221" s="1" t="s">
        <v>566</v>
      </c>
      <c r="X221" s="1" t="s">
        <v>46</v>
      </c>
      <c r="Y221" s="1" t="s">
        <v>40</v>
      </c>
      <c r="Z221" s="1" t="s">
        <v>59</v>
      </c>
      <c r="AA221" s="1" t="s">
        <v>47</v>
      </c>
      <c r="AB221" s="1" t="s">
        <v>47</v>
      </c>
      <c r="AC221" s="1" t="s">
        <v>48</v>
      </c>
      <c r="AD221" s="1" t="s">
        <v>43</v>
      </c>
      <c r="AE221" s="8">
        <f>IF(L221&lt;&gt;"",L221*E221,0)</f>
      </c>
    </row>
    <row r="222" spans="1:31" x14ac:dyDescent="0.25">
      <c r="A222" s="4">
        <v>217</v>
      </c>
      <c r="B222" s="1" t="s">
        <v>567</v>
      </c>
      <c r="C222" s="5">
        <f>HYPERLINK("https://client.unique.diamonds/dna/11108-61","DNA")</f>
      </c>
      <c r="D222" s="1" t="s">
        <v>36</v>
      </c>
      <c r="E222" s="6">
        <v>1.56</v>
      </c>
      <c r="F222" s="1" t="s">
        <v>176</v>
      </c>
      <c r="G222" s="1" t="s">
        <v>420</v>
      </c>
      <c r="H222" s="1" t="s">
        <v>39</v>
      </c>
      <c r="I222" s="1" t="s">
        <v>39</v>
      </c>
      <c r="J222" s="1" t="s">
        <v>39</v>
      </c>
      <c r="K222" s="1" t="s">
        <v>94</v>
      </c>
      <c r="L222" s="4">
        <v>8100</v>
      </c>
      <c r="M222" s="6">
        <v>-48.51</v>
      </c>
      <c r="N222" s="7">
        <f>IF(AND(L222 &lt;&gt; "-", M222 &lt;&gt; "-"),L222*( 1 + M222%),0)</f>
      </c>
      <c r="O222" s="7">
        <f>( N222 * E222 )</f>
      </c>
      <c r="P222" s="1" t="s">
        <v>568</v>
      </c>
      <c r="Q222" s="6">
        <v>1.01</v>
      </c>
      <c r="R222" s="6">
        <v>62.6</v>
      </c>
      <c r="S222" s="4">
        <v>57</v>
      </c>
      <c r="T222" s="1" t="s">
        <v>42</v>
      </c>
      <c r="U222" s="5">
        <f>HYPERLINK("https://www.gia.edu/report-check?reportno=6425969004","6425969004")</f>
      </c>
      <c r="V222" s="1" t="s">
        <v>43</v>
      </c>
      <c r="W222" s="1" t="s">
        <v>569</v>
      </c>
      <c r="X222" s="1" t="s">
        <v>45</v>
      </c>
      <c r="Y222" s="1" t="s">
        <v>40</v>
      </c>
      <c r="Z222" s="1" t="s">
        <v>45</v>
      </c>
      <c r="AA222" s="1" t="s">
        <v>40</v>
      </c>
      <c r="AB222" s="1" t="s">
        <v>73</v>
      </c>
      <c r="AC222" s="1" t="s">
        <v>48</v>
      </c>
      <c r="AD222" s="1" t="s">
        <v>43</v>
      </c>
      <c r="AE222" s="8">
        <f>IF(L222&lt;&gt;"",L222*E222,0)</f>
      </c>
    </row>
    <row r="223" spans="1:31" x14ac:dyDescent="0.25">
      <c r="A223" s="4">
        <v>218</v>
      </c>
      <c r="B223" s="1" t="s">
        <v>570</v>
      </c>
      <c r="C223" s="5">
        <f>HYPERLINK("https://client.unique.diamonds/dna/163-21","DNA")</f>
      </c>
      <c r="D223" s="1" t="s">
        <v>36</v>
      </c>
      <c r="E223" s="6">
        <v>1.6</v>
      </c>
      <c r="F223" s="1" t="s">
        <v>176</v>
      </c>
      <c r="G223" s="1" t="s">
        <v>420</v>
      </c>
      <c r="H223" s="1" t="s">
        <v>39</v>
      </c>
      <c r="I223" s="1" t="s">
        <v>39</v>
      </c>
      <c r="J223" s="1" t="s">
        <v>39</v>
      </c>
      <c r="K223" s="1" t="s">
        <v>40</v>
      </c>
      <c r="L223" s="4">
        <v>8100</v>
      </c>
      <c r="M223" s="6">
        <v>-42.15</v>
      </c>
      <c r="N223" s="7">
        <f>IF(AND(L223 &lt;&gt; "-", M223 &lt;&gt; "-"),L223*( 1 + M223%),0)</f>
      </c>
      <c r="O223" s="7">
        <f>( N223 * E223 )</f>
      </c>
      <c r="P223" s="1" t="s">
        <v>571</v>
      </c>
      <c r="Q223" s="6">
        <v>1</v>
      </c>
      <c r="R223" s="6">
        <v>62</v>
      </c>
      <c r="S223" s="4">
        <v>58</v>
      </c>
      <c r="T223" s="1" t="s">
        <v>42</v>
      </c>
      <c r="U223" s="5">
        <f>HYPERLINK("https://www.gia.edu/report-check?reportno=2448316723","2448316723")</f>
      </c>
      <c r="V223" s="1" t="s">
        <v>43</v>
      </c>
      <c r="W223" s="1" t="s">
        <v>572</v>
      </c>
      <c r="X223" s="1" t="s">
        <v>45</v>
      </c>
      <c r="Y223" s="1" t="s">
        <v>40</v>
      </c>
      <c r="Z223" s="1" t="s">
        <v>46</v>
      </c>
      <c r="AA223" s="1" t="s">
        <v>52</v>
      </c>
      <c r="AB223" s="1" t="s">
        <v>73</v>
      </c>
      <c r="AC223" s="1" t="s">
        <v>48</v>
      </c>
      <c r="AD223" s="1" t="s">
        <v>43</v>
      </c>
      <c r="AE223" s="8">
        <f>IF(L223&lt;&gt;"",L223*E223,0)</f>
      </c>
    </row>
    <row r="224" spans="1:31" x14ac:dyDescent="0.25">
      <c r="A224" s="4">
        <v>219</v>
      </c>
      <c r="B224" s="1" t="s">
        <v>573</v>
      </c>
      <c r="C224" s="5">
        <f>HYPERLINK("https://client.unique.diamonds/dna/11162-59","DNA")</f>
      </c>
      <c r="D224" s="1" t="s">
        <v>36</v>
      </c>
      <c r="E224" s="6">
        <v>1.62</v>
      </c>
      <c r="F224" s="1" t="s">
        <v>176</v>
      </c>
      <c r="G224" s="1" t="s">
        <v>420</v>
      </c>
      <c r="H224" s="1" t="s">
        <v>39</v>
      </c>
      <c r="I224" s="1" t="s">
        <v>39</v>
      </c>
      <c r="J224" s="1" t="s">
        <v>39</v>
      </c>
      <c r="K224" s="1" t="s">
        <v>90</v>
      </c>
      <c r="L224" s="4">
        <v>8100</v>
      </c>
      <c r="M224" s="6">
        <v>-41.25</v>
      </c>
      <c r="N224" s="7">
        <f>IF(AND(L224 &lt;&gt; "-", M224 &lt;&gt; "-"),L224*( 1 + M224%),0)</f>
      </c>
      <c r="O224" s="7">
        <f>( N224 * E224 )</f>
      </c>
      <c r="P224" s="1" t="s">
        <v>574</v>
      </c>
      <c r="Q224" s="6">
        <v>1.01</v>
      </c>
      <c r="R224" s="6">
        <v>62.6</v>
      </c>
      <c r="S224" s="4">
        <v>58</v>
      </c>
      <c r="T224" s="1" t="s">
        <v>42</v>
      </c>
      <c r="U224" s="5">
        <f>HYPERLINK("https://www.gia.edu/report-check?reportno=6432888248","6432888248")</f>
      </c>
      <c r="V224" s="1" t="s">
        <v>43</v>
      </c>
      <c r="W224" s="1" t="s">
        <v>575</v>
      </c>
      <c r="X224" s="1" t="s">
        <v>45</v>
      </c>
      <c r="Y224" s="1" t="s">
        <v>40</v>
      </c>
      <c r="Z224" s="1" t="s">
        <v>46</v>
      </c>
      <c r="AA224" s="1" t="s">
        <v>47</v>
      </c>
      <c r="AB224" s="1" t="s">
        <v>47</v>
      </c>
      <c r="AC224" s="1" t="s">
        <v>48</v>
      </c>
      <c r="AD224" s="1" t="s">
        <v>43</v>
      </c>
      <c r="AE224" s="8">
        <f>IF(L224&lt;&gt;"",L224*E224,0)</f>
      </c>
    </row>
    <row r="225" spans="1:31" x14ac:dyDescent="0.25">
      <c r="A225" s="4">
        <v>220</v>
      </c>
      <c r="B225" s="1" t="s">
        <v>576</v>
      </c>
      <c r="C225" s="5">
        <f>HYPERLINK("https://client.unique.diamonds/dna/162-13","DNA")</f>
      </c>
      <c r="D225" s="1" t="s">
        <v>36</v>
      </c>
      <c r="E225" s="6">
        <v>1.7</v>
      </c>
      <c r="F225" s="1" t="s">
        <v>176</v>
      </c>
      <c r="G225" s="1" t="s">
        <v>420</v>
      </c>
      <c r="H225" s="1" t="s">
        <v>39</v>
      </c>
      <c r="I225" s="1" t="s">
        <v>39</v>
      </c>
      <c r="J225" s="1" t="s">
        <v>39</v>
      </c>
      <c r="K225" s="1" t="s">
        <v>94</v>
      </c>
      <c r="L225" s="4">
        <v>8100</v>
      </c>
      <c r="M225" s="6">
        <v>-41.64</v>
      </c>
      <c r="N225" s="7">
        <f>IF(AND(L225 &lt;&gt; "-", M225 &lt;&gt; "-"),L225*( 1 + M225%),0)</f>
      </c>
      <c r="O225" s="7">
        <f>( N225 * E225 )</f>
      </c>
      <c r="P225" s="1" t="s">
        <v>577</v>
      </c>
      <c r="Q225" s="6">
        <v>1.01</v>
      </c>
      <c r="R225" s="6">
        <v>61.3</v>
      </c>
      <c r="S225" s="4">
        <v>60</v>
      </c>
      <c r="T225" s="1" t="s">
        <v>42</v>
      </c>
      <c r="U225" s="5">
        <f>HYPERLINK("https://www.gia.edu/report-check?reportno=6432498773","6432498773")</f>
      </c>
      <c r="V225" s="1" t="s">
        <v>43</v>
      </c>
      <c r="W225" s="1" t="s">
        <v>578</v>
      </c>
      <c r="X225" s="1" t="s">
        <v>46</v>
      </c>
      <c r="Y225" s="1" t="s">
        <v>40</v>
      </c>
      <c r="Z225" s="1" t="s">
        <v>40</v>
      </c>
      <c r="AA225" s="1" t="s">
        <v>40</v>
      </c>
      <c r="AB225" s="1" t="s">
        <v>40</v>
      </c>
      <c r="AC225" s="1" t="s">
        <v>48</v>
      </c>
      <c r="AD225" s="1" t="s">
        <v>43</v>
      </c>
      <c r="AE225" s="8">
        <f>IF(L225&lt;&gt;"",L225*E225,0)</f>
      </c>
    </row>
    <row r="226" spans="1:31" x14ac:dyDescent="0.25">
      <c r="A226" s="4">
        <v>221</v>
      </c>
      <c r="B226" s="1" t="s">
        <v>579</v>
      </c>
      <c r="C226" s="5">
        <f>HYPERLINK("https://client.unique.diamonds/dna/21031-9","DNA")</f>
      </c>
      <c r="D226" s="1" t="s">
        <v>36</v>
      </c>
      <c r="E226" s="6">
        <v>1.7</v>
      </c>
      <c r="F226" s="1" t="s">
        <v>176</v>
      </c>
      <c r="G226" s="1" t="s">
        <v>420</v>
      </c>
      <c r="H226" s="1" t="s">
        <v>39</v>
      </c>
      <c r="I226" s="1" t="s">
        <v>39</v>
      </c>
      <c r="J226" s="1" t="s">
        <v>39</v>
      </c>
      <c r="K226" s="1" t="s">
        <v>40</v>
      </c>
      <c r="L226" s="4">
        <v>8100</v>
      </c>
      <c r="M226" s="6">
        <v>-32.73</v>
      </c>
      <c r="N226" s="7">
        <f>IF(AND(L226 &lt;&gt; "-", M226 &lt;&gt; "-"),L226*( 1 + M226%),0)</f>
      </c>
      <c r="O226" s="7">
        <f>( N226 * E226 )</f>
      </c>
      <c r="P226" s="1" t="s">
        <v>580</v>
      </c>
      <c r="Q226" s="6">
        <v>1.01</v>
      </c>
      <c r="R226" s="6">
        <v>62.5</v>
      </c>
      <c r="S226" s="4">
        <v>55</v>
      </c>
      <c r="T226" s="1" t="s">
        <v>42</v>
      </c>
      <c r="U226" s="5">
        <f>HYPERLINK("https://www.gia.edu/report-check?reportno=2458696152","2458696152")</f>
      </c>
      <c r="V226" s="1" t="s">
        <v>43</v>
      </c>
      <c r="W226" s="1" t="s">
        <v>128</v>
      </c>
      <c r="X226" s="1" t="s">
        <v>45</v>
      </c>
      <c r="Y226" s="1" t="s">
        <v>40</v>
      </c>
      <c r="Z226" s="1" t="s">
        <v>46</v>
      </c>
      <c r="AA226" s="1" t="s">
        <v>47</v>
      </c>
      <c r="AB226" s="1" t="s">
        <v>73</v>
      </c>
      <c r="AC226" s="1" t="s">
        <v>48</v>
      </c>
      <c r="AD226" s="1" t="s">
        <v>43</v>
      </c>
      <c r="AE226" s="8">
        <f>IF(L226&lt;&gt;"",L226*E226,0)</f>
      </c>
    </row>
    <row r="227" spans="1:31" x14ac:dyDescent="0.25">
      <c r="A227" s="4">
        <v>222</v>
      </c>
      <c r="B227" s="1" t="s">
        <v>581</v>
      </c>
      <c r="C227" s="5">
        <f>HYPERLINK("https://client.unique.diamonds/dna/22001-11","DNA")</f>
      </c>
      <c r="D227" s="1" t="s">
        <v>36</v>
      </c>
      <c r="E227" s="6">
        <v>1.7</v>
      </c>
      <c r="F227" s="1" t="s">
        <v>176</v>
      </c>
      <c r="G227" s="1" t="s">
        <v>420</v>
      </c>
      <c r="H227" s="1" t="s">
        <v>39</v>
      </c>
      <c r="I227" s="1" t="s">
        <v>39</v>
      </c>
      <c r="J227" s="1" t="s">
        <v>39</v>
      </c>
      <c r="K227" s="1" t="s">
        <v>94</v>
      </c>
      <c r="L227" s="4">
        <v>8100</v>
      </c>
      <c r="M227" s="6">
        <v>-40.88</v>
      </c>
      <c r="N227" s="7">
        <f>IF(AND(L227 &lt;&gt; "-", M227 &lt;&gt; "-"),L227*( 1 + M227%),0)</f>
      </c>
      <c r="O227" s="7">
        <f>( N227 * E227 )</f>
      </c>
      <c r="P227" s="1" t="s">
        <v>582</v>
      </c>
      <c r="Q227" s="6">
        <v>1.01</v>
      </c>
      <c r="R227" s="6">
        <v>62.5</v>
      </c>
      <c r="S227" s="4">
        <v>58</v>
      </c>
      <c r="T227" s="1" t="s">
        <v>42</v>
      </c>
      <c r="U227" s="5">
        <f>HYPERLINK("https://www.gia.edu/report-check?reportno=6452483371","6452483371")</f>
      </c>
      <c r="V227" s="1" t="s">
        <v>43</v>
      </c>
      <c r="W227" s="1" t="s">
        <v>583</v>
      </c>
      <c r="X227" s="1" t="s">
        <v>59</v>
      </c>
      <c r="Y227" s="1" t="s">
        <v>40</v>
      </c>
      <c r="Z227" s="1" t="s">
        <v>59</v>
      </c>
      <c r="AA227" s="1" t="s">
        <v>47</v>
      </c>
      <c r="AB227" s="1" t="s">
        <v>47</v>
      </c>
      <c r="AC227" s="1" t="s">
        <v>48</v>
      </c>
      <c r="AD227" s="1" t="s">
        <v>43</v>
      </c>
      <c r="AE227" s="8">
        <f>IF(L227&lt;&gt;"",L227*E227,0)</f>
      </c>
    </row>
    <row r="228" spans="1:31" x14ac:dyDescent="0.25">
      <c r="A228" s="4">
        <v>223</v>
      </c>
      <c r="B228" s="1" t="s">
        <v>584</v>
      </c>
      <c r="C228" s="5">
        <f>HYPERLINK("https://client.unique.diamonds/dna/11118-41","DNA")</f>
      </c>
      <c r="D228" s="1" t="s">
        <v>36</v>
      </c>
      <c r="E228" s="6">
        <v>1.7</v>
      </c>
      <c r="F228" s="1" t="s">
        <v>176</v>
      </c>
      <c r="G228" s="1" t="s">
        <v>420</v>
      </c>
      <c r="H228" s="1" t="s">
        <v>39</v>
      </c>
      <c r="I228" s="1" t="s">
        <v>39</v>
      </c>
      <c r="J228" s="1" t="s">
        <v>39</v>
      </c>
      <c r="K228" s="1" t="s">
        <v>40</v>
      </c>
      <c r="L228" s="4">
        <v>8100</v>
      </c>
      <c r="M228" s="6">
        <v>-35</v>
      </c>
      <c r="N228" s="7">
        <f>IF(AND(L228 &lt;&gt; "-", M228 &lt;&gt; "-"),L228*( 1 + M228%),0)</f>
      </c>
      <c r="O228" s="7">
        <f>( N228 * E228 )</f>
      </c>
      <c r="P228" s="1" t="s">
        <v>585</v>
      </c>
      <c r="Q228" s="6">
        <v>1.01</v>
      </c>
      <c r="R228" s="6">
        <v>62.1</v>
      </c>
      <c r="S228" s="4">
        <v>57</v>
      </c>
      <c r="T228" s="1" t="s">
        <v>42</v>
      </c>
      <c r="U228" s="5">
        <f>HYPERLINK("https://www.gia.edu/report-check?reportno=7438200680","7438200680")</f>
      </c>
      <c r="V228" s="1" t="s">
        <v>43</v>
      </c>
      <c r="W228" s="1" t="s">
        <v>67</v>
      </c>
      <c r="X228" s="1" t="s">
        <v>46</v>
      </c>
      <c r="Y228" s="1" t="s">
        <v>40</v>
      </c>
      <c r="Z228" s="1" t="s">
        <v>59</v>
      </c>
      <c r="AA228" s="1" t="s">
        <v>52</v>
      </c>
      <c r="AB228" s="1" t="s">
        <v>40</v>
      </c>
      <c r="AC228" s="1" t="s">
        <v>329</v>
      </c>
      <c r="AD228" s="1" t="s">
        <v>43</v>
      </c>
      <c r="AE228" s="8">
        <f>IF(L228&lt;&gt;"",L228*E228,0)</f>
      </c>
    </row>
    <row r="229" spans="1:31" x14ac:dyDescent="0.25">
      <c r="A229" s="4">
        <v>224</v>
      </c>
      <c r="B229" s="1" t="s">
        <v>586</v>
      </c>
      <c r="C229" s="5">
        <f>HYPERLINK("https://client.unique.diamonds/dna/162-111","DNA")</f>
      </c>
      <c r="D229" s="1" t="s">
        <v>36</v>
      </c>
      <c r="E229" s="6">
        <v>1.93</v>
      </c>
      <c r="F229" s="1" t="s">
        <v>176</v>
      </c>
      <c r="G229" s="1" t="s">
        <v>420</v>
      </c>
      <c r="H229" s="1" t="s">
        <v>39</v>
      </c>
      <c r="I229" s="1" t="s">
        <v>39</v>
      </c>
      <c r="J229" s="1" t="s">
        <v>39</v>
      </c>
      <c r="K229" s="1" t="s">
        <v>90</v>
      </c>
      <c r="L229" s="4">
        <v>8100</v>
      </c>
      <c r="M229" s="6">
        <v>-25.61</v>
      </c>
      <c r="N229" s="7">
        <f>IF(AND(L229 &lt;&gt; "-", M229 &lt;&gt; "-"),L229*( 1 + M229%),0)</f>
      </c>
      <c r="O229" s="7">
        <f>( N229 * E229 )</f>
      </c>
      <c r="P229" s="1" t="s">
        <v>587</v>
      </c>
      <c r="Q229" s="6">
        <v>1.01</v>
      </c>
      <c r="R229" s="6">
        <v>61.6</v>
      </c>
      <c r="S229" s="4">
        <v>60</v>
      </c>
      <c r="T229" s="1" t="s">
        <v>42</v>
      </c>
      <c r="U229" s="5">
        <f>HYPERLINK("https://www.gia.edu/report-check?reportno=2447898279","2447898279")</f>
      </c>
      <c r="V229" s="1" t="s">
        <v>43</v>
      </c>
      <c r="W229" s="1" t="s">
        <v>588</v>
      </c>
      <c r="X229" s="1" t="s">
        <v>45</v>
      </c>
      <c r="Y229" s="1" t="s">
        <v>40</v>
      </c>
      <c r="Z229" s="1" t="s">
        <v>45</v>
      </c>
      <c r="AA229" s="1" t="s">
        <v>47</v>
      </c>
      <c r="AB229" s="1" t="s">
        <v>47</v>
      </c>
      <c r="AC229" s="1" t="s">
        <v>48</v>
      </c>
      <c r="AD229" s="1" t="s">
        <v>43</v>
      </c>
      <c r="AE229" s="8">
        <f>IF(L229&lt;&gt;"",L229*E229,0)</f>
      </c>
    </row>
    <row r="230" spans="1:31" x14ac:dyDescent="0.25">
      <c r="A230" s="4">
        <v>225</v>
      </c>
      <c r="B230" s="1" t="s">
        <v>589</v>
      </c>
      <c r="C230" s="5">
        <f>HYPERLINK("https://client.unique.diamonds/dna/UH-17","DNA")</f>
      </c>
      <c r="D230" s="1" t="s">
        <v>36</v>
      </c>
      <c r="E230" s="6">
        <v>1.94</v>
      </c>
      <c r="F230" s="1" t="s">
        <v>176</v>
      </c>
      <c r="G230" s="1" t="s">
        <v>420</v>
      </c>
      <c r="H230" s="1" t="s">
        <v>39</v>
      </c>
      <c r="I230" s="1" t="s">
        <v>39</v>
      </c>
      <c r="J230" s="1" t="s">
        <v>39</v>
      </c>
      <c r="K230" s="1" t="s">
        <v>40</v>
      </c>
      <c r="L230" s="4">
        <v>8100</v>
      </c>
      <c r="M230" s="6">
        <v>-26.37</v>
      </c>
      <c r="N230" s="7">
        <f>IF(AND(L230 &lt;&gt; "-", M230 &lt;&gt; "-"),L230*( 1 + M230%),0)</f>
      </c>
      <c r="O230" s="7">
        <f>( N230 * E230 )</f>
      </c>
      <c r="P230" s="1" t="s">
        <v>590</v>
      </c>
      <c r="Q230" s="6">
        <v>1.01</v>
      </c>
      <c r="R230" s="6">
        <v>60.5</v>
      </c>
      <c r="S230" s="4">
        <v>61</v>
      </c>
      <c r="T230" s="1" t="s">
        <v>42</v>
      </c>
      <c r="U230" s="5">
        <f>HYPERLINK("https://www.gia.edu/report-check?reportno=1423800310","1423800310")</f>
      </c>
      <c r="V230" s="1" t="s">
        <v>43</v>
      </c>
      <c r="W230" s="1" t="s">
        <v>591</v>
      </c>
      <c r="X230" s="1" t="s">
        <v>418</v>
      </c>
      <c r="Y230" s="1" t="s">
        <v>40</v>
      </c>
      <c r="Z230" s="1" t="s">
        <v>59</v>
      </c>
      <c r="AA230" s="1" t="s">
        <v>40</v>
      </c>
      <c r="AB230" s="1" t="s">
        <v>40</v>
      </c>
      <c r="AC230" s="1" t="s">
        <v>48</v>
      </c>
      <c r="AD230" s="1" t="s">
        <v>43</v>
      </c>
      <c r="AE230" s="8">
        <f>IF(L230&lt;&gt;"",L230*E230,0)</f>
      </c>
    </row>
    <row r="231" spans="1:31" x14ac:dyDescent="0.25">
      <c r="A231" s="4">
        <v>226</v>
      </c>
      <c r="B231" s="1" t="s">
        <v>592</v>
      </c>
      <c r="C231" s="5">
        <f>HYPERLINK("https://client.unique.diamonds/dna/161-47","DNA")</f>
      </c>
      <c r="D231" s="1" t="s">
        <v>36</v>
      </c>
      <c r="E231" s="6">
        <v>2</v>
      </c>
      <c r="F231" s="1" t="s">
        <v>176</v>
      </c>
      <c r="G231" s="1" t="s">
        <v>420</v>
      </c>
      <c r="H231" s="1" t="s">
        <v>39</v>
      </c>
      <c r="I231" s="1" t="s">
        <v>39</v>
      </c>
      <c r="J231" s="1" t="s">
        <v>39</v>
      </c>
      <c r="K231" s="1" t="s">
        <v>90</v>
      </c>
      <c r="L231" s="4">
        <v>10900</v>
      </c>
      <c r="M231" s="6">
        <v>-45.98</v>
      </c>
      <c r="N231" s="7">
        <f>IF(AND(L231 &lt;&gt; "-", M231 &lt;&gt; "-"),L231*( 1 + M231%),0)</f>
      </c>
      <c r="O231" s="7">
        <f>( N231 * E231 )</f>
      </c>
      <c r="P231" s="1" t="s">
        <v>593</v>
      </c>
      <c r="Q231" s="6">
        <v>1</v>
      </c>
      <c r="R231" s="6">
        <v>61.7</v>
      </c>
      <c r="S231" s="4">
        <v>60</v>
      </c>
      <c r="T231" s="1" t="s">
        <v>42</v>
      </c>
      <c r="U231" s="5">
        <f>HYPERLINK("https://www.gia.edu/report-check?reportno=2437165689","2437165689")</f>
      </c>
      <c r="V231" s="1" t="s">
        <v>43</v>
      </c>
      <c r="W231" s="1" t="s">
        <v>67</v>
      </c>
      <c r="X231" s="1" t="s">
        <v>59</v>
      </c>
      <c r="Y231" s="1" t="s">
        <v>40</v>
      </c>
      <c r="Z231" s="1" t="s">
        <v>46</v>
      </c>
      <c r="AA231" s="1" t="s">
        <v>367</v>
      </c>
      <c r="AB231" s="1" t="s">
        <v>40</v>
      </c>
      <c r="AC231" s="1" t="s">
        <v>48</v>
      </c>
      <c r="AD231" s="1" t="s">
        <v>43</v>
      </c>
      <c r="AE231" s="8">
        <f>IF(L231&lt;&gt;"",L231*E231,0)</f>
      </c>
    </row>
    <row r="232" spans="1:31" x14ac:dyDescent="0.25">
      <c r="A232" s="4">
        <v>227</v>
      </c>
      <c r="B232" s="1" t="s">
        <v>594</v>
      </c>
      <c r="C232" s="5">
        <f>HYPERLINK("https://client.unique.diamonds/dna/11136-43","DNA")</f>
      </c>
      <c r="D232" s="1" t="s">
        <v>36</v>
      </c>
      <c r="E232" s="6">
        <v>2.01</v>
      </c>
      <c r="F232" s="1" t="s">
        <v>176</v>
      </c>
      <c r="G232" s="1" t="s">
        <v>420</v>
      </c>
      <c r="H232" s="1" t="s">
        <v>39</v>
      </c>
      <c r="I232" s="1" t="s">
        <v>39</v>
      </c>
      <c r="J232" s="1" t="s">
        <v>39</v>
      </c>
      <c r="K232" s="1" t="s">
        <v>40</v>
      </c>
      <c r="L232" s="4">
        <v>10900</v>
      </c>
      <c r="M232" s="6">
        <v>-44.5</v>
      </c>
      <c r="N232" s="7">
        <f>IF(AND(L232 &lt;&gt; "-", M232 &lt;&gt; "-"),L232*( 1 + M232%),0)</f>
      </c>
      <c r="O232" s="7">
        <f>( N232 * E232 )</f>
      </c>
      <c r="P232" s="1" t="s">
        <v>595</v>
      </c>
      <c r="Q232" s="6">
        <v>1.01</v>
      </c>
      <c r="R232" s="6">
        <v>62.8</v>
      </c>
      <c r="S232" s="4">
        <v>59</v>
      </c>
      <c r="T232" s="1" t="s">
        <v>42</v>
      </c>
      <c r="U232" s="5">
        <f>HYPERLINK("https://www.gia.edu/report-check?reportno=6435372860","6435372860")</f>
      </c>
      <c r="V232" s="1" t="s">
        <v>43</v>
      </c>
      <c r="W232" s="1" t="s">
        <v>596</v>
      </c>
      <c r="X232" s="1" t="s">
        <v>45</v>
      </c>
      <c r="Y232" s="1" t="s">
        <v>40</v>
      </c>
      <c r="Z232" s="1" t="s">
        <v>45</v>
      </c>
      <c r="AA232" s="1" t="s">
        <v>47</v>
      </c>
      <c r="AB232" s="1" t="s">
        <v>47</v>
      </c>
      <c r="AC232" s="1" t="s">
        <v>48</v>
      </c>
      <c r="AD232" s="1" t="s">
        <v>43</v>
      </c>
      <c r="AE232" s="8">
        <f>IF(L232&lt;&gt;"",L232*E232,0)</f>
      </c>
    </row>
    <row r="233" spans="1:31" x14ac:dyDescent="0.25">
      <c r="A233" s="4">
        <v>228</v>
      </c>
      <c r="B233" s="1" t="s">
        <v>597</v>
      </c>
      <c r="C233" s="5">
        <f>HYPERLINK("https://client.unique.diamonds/dna/11275-83","DNA")</f>
      </c>
      <c r="D233" s="1" t="s">
        <v>36</v>
      </c>
      <c r="E233" s="6">
        <v>2.01</v>
      </c>
      <c r="F233" s="1" t="s">
        <v>176</v>
      </c>
      <c r="G233" s="1" t="s">
        <v>420</v>
      </c>
      <c r="H233" s="1" t="s">
        <v>39</v>
      </c>
      <c r="I233" s="1" t="s">
        <v>39</v>
      </c>
      <c r="J233" s="1" t="s">
        <v>39</v>
      </c>
      <c r="K233" s="1" t="s">
        <v>40</v>
      </c>
      <c r="L233" s="4">
        <v>10900</v>
      </c>
      <c r="M233" s="6">
        <v>-42.92</v>
      </c>
      <c r="N233" s="7">
        <f>IF(AND(L233 &lt;&gt; "-", M233 &lt;&gt; "-"),L233*( 1 + M233%),0)</f>
      </c>
      <c r="O233" s="7">
        <f>( N233 * E233 )</f>
      </c>
      <c r="P233" s="1" t="s">
        <v>598</v>
      </c>
      <c r="Q233" s="6">
        <v>1.01</v>
      </c>
      <c r="R233" s="6">
        <v>61.9</v>
      </c>
      <c r="S233" s="4">
        <v>61</v>
      </c>
      <c r="T233" s="1" t="s">
        <v>42</v>
      </c>
      <c r="U233" s="5">
        <f>HYPERLINK("https://www.gia.edu/report-check?reportno=6455036957","6455036957")</f>
      </c>
      <c r="V233" s="1" t="s">
        <v>43</v>
      </c>
      <c r="W233" s="1" t="s">
        <v>456</v>
      </c>
      <c r="X233" s="1" t="s">
        <v>59</v>
      </c>
      <c r="Y233" s="1" t="s">
        <v>40</v>
      </c>
      <c r="Z233" s="1" t="s">
        <v>46</v>
      </c>
      <c r="AA233" s="1" t="s">
        <v>47</v>
      </c>
      <c r="AB233" s="1" t="s">
        <v>73</v>
      </c>
      <c r="AC233" s="1" t="s">
        <v>48</v>
      </c>
      <c r="AD233" s="1" t="s">
        <v>43</v>
      </c>
      <c r="AE233" s="8">
        <f>IF(L233&lt;&gt;"",L233*E233,0)</f>
      </c>
    </row>
    <row r="234" spans="1:31" x14ac:dyDescent="0.25">
      <c r="A234" s="4">
        <v>229</v>
      </c>
      <c r="B234" s="1" t="s">
        <v>599</v>
      </c>
      <c r="C234" s="5">
        <f>HYPERLINK("https://client.unique.diamonds/dna/12037-19","DNA")</f>
      </c>
      <c r="D234" s="1" t="s">
        <v>36</v>
      </c>
      <c r="E234" s="6">
        <v>2.01</v>
      </c>
      <c r="F234" s="1" t="s">
        <v>176</v>
      </c>
      <c r="G234" s="1" t="s">
        <v>420</v>
      </c>
      <c r="H234" s="1" t="s">
        <v>39</v>
      </c>
      <c r="I234" s="1" t="s">
        <v>39</v>
      </c>
      <c r="J234" s="1" t="s">
        <v>39</v>
      </c>
      <c r="K234" s="1" t="s">
        <v>40</v>
      </c>
      <c r="L234" s="4">
        <v>10900</v>
      </c>
      <c r="M234" s="6">
        <v>-42.5</v>
      </c>
      <c r="N234" s="7">
        <f>IF(AND(L234 &lt;&gt; "-", M234 &lt;&gt; "-"),L234*( 1 + M234%),0)</f>
      </c>
      <c r="O234" s="7">
        <f>( N234 * E234 )</f>
      </c>
      <c r="P234" s="1" t="s">
        <v>600</v>
      </c>
      <c r="Q234" s="6">
        <v>1</v>
      </c>
      <c r="R234" s="6">
        <v>61.2</v>
      </c>
      <c r="S234" s="4">
        <v>57</v>
      </c>
      <c r="T234" s="1" t="s">
        <v>42</v>
      </c>
      <c r="U234" s="5">
        <f>HYPERLINK("https://www.gia.edu/report-check?reportno=1439269429","1439269429")</f>
      </c>
      <c r="V234" s="1" t="s">
        <v>43</v>
      </c>
      <c r="W234" s="1" t="s">
        <v>297</v>
      </c>
      <c r="X234" s="1" t="s">
        <v>46</v>
      </c>
      <c r="Y234" s="1" t="s">
        <v>40</v>
      </c>
      <c r="Z234" s="1" t="s">
        <v>357</v>
      </c>
      <c r="AA234" s="1" t="s">
        <v>47</v>
      </c>
      <c r="AB234" s="1" t="s">
        <v>47</v>
      </c>
      <c r="AC234" s="1" t="s">
        <v>226</v>
      </c>
      <c r="AD234" s="1" t="s">
        <v>43</v>
      </c>
      <c r="AE234" s="8">
        <f>IF(L234&lt;&gt;"",L234*E234,0)</f>
      </c>
    </row>
    <row r="235" spans="1:31" x14ac:dyDescent="0.25">
      <c r="A235" s="4">
        <v>230</v>
      </c>
      <c r="B235" s="1" t="s">
        <v>601</v>
      </c>
      <c r="C235" s="5">
        <f>HYPERLINK("https://client.unique.diamonds/dna/162-51","DNA")</f>
      </c>
      <c r="D235" s="1" t="s">
        <v>36</v>
      </c>
      <c r="E235" s="6">
        <v>2.02</v>
      </c>
      <c r="F235" s="1" t="s">
        <v>176</v>
      </c>
      <c r="G235" s="1" t="s">
        <v>420</v>
      </c>
      <c r="H235" s="1" t="s">
        <v>39</v>
      </c>
      <c r="I235" s="1" t="s">
        <v>39</v>
      </c>
      <c r="J235" s="1" t="s">
        <v>39</v>
      </c>
      <c r="K235" s="1" t="s">
        <v>40</v>
      </c>
      <c r="L235" s="4">
        <v>10900</v>
      </c>
      <c r="M235" s="6">
        <v>-41.14</v>
      </c>
      <c r="N235" s="7">
        <f>IF(AND(L235 &lt;&gt; "-", M235 &lt;&gt; "-"),L235*( 1 + M235%),0)</f>
      </c>
      <c r="O235" s="7">
        <f>( N235 * E235 )</f>
      </c>
      <c r="P235" s="1" t="s">
        <v>602</v>
      </c>
      <c r="Q235" s="6">
        <v>1</v>
      </c>
      <c r="R235" s="6">
        <v>61.5</v>
      </c>
      <c r="S235" s="4">
        <v>58</v>
      </c>
      <c r="T235" s="1" t="s">
        <v>42</v>
      </c>
      <c r="U235" s="5">
        <f>HYPERLINK("https://www.gia.edu/report-check?reportno=2436165851","2436165851")</f>
      </c>
      <c r="V235" s="1" t="s">
        <v>43</v>
      </c>
      <c r="W235" s="1" t="s">
        <v>314</v>
      </c>
      <c r="X235" s="1" t="s">
        <v>40</v>
      </c>
      <c r="Y235" s="1" t="s">
        <v>40</v>
      </c>
      <c r="Z235" s="1" t="s">
        <v>46</v>
      </c>
      <c r="AA235" s="1" t="s">
        <v>47</v>
      </c>
      <c r="AB235" s="1" t="s">
        <v>73</v>
      </c>
      <c r="AC235" s="1" t="s">
        <v>48</v>
      </c>
      <c r="AD235" s="1" t="s">
        <v>43</v>
      </c>
      <c r="AE235" s="8">
        <f>IF(L235&lt;&gt;"",L235*E235,0)</f>
      </c>
    </row>
    <row r="236" spans="1:31" x14ac:dyDescent="0.25">
      <c r="A236" s="4">
        <v>231</v>
      </c>
      <c r="B236" s="1" t="s">
        <v>603</v>
      </c>
      <c r="C236" s="5">
        <f>HYPERLINK("https://client.unique.diamonds/dna/21078-10","DNA")</f>
      </c>
      <c r="D236" s="1" t="s">
        <v>36</v>
      </c>
      <c r="E236" s="6">
        <v>2.06</v>
      </c>
      <c r="F236" s="1" t="s">
        <v>176</v>
      </c>
      <c r="G236" s="1" t="s">
        <v>420</v>
      </c>
      <c r="H236" s="1" t="s">
        <v>39</v>
      </c>
      <c r="I236" s="1" t="s">
        <v>39</v>
      </c>
      <c r="J236" s="1" t="s">
        <v>39</v>
      </c>
      <c r="K236" s="1" t="s">
        <v>40</v>
      </c>
      <c r="L236" s="4">
        <v>10900</v>
      </c>
      <c r="M236" s="6">
        <v>-40</v>
      </c>
      <c r="N236" s="7">
        <f>IF(AND(L236 &lt;&gt; "-", M236 &lt;&gt; "-"),L236*( 1 + M236%),0)</f>
      </c>
      <c r="O236" s="7">
        <f>( N236 * E236 )</f>
      </c>
      <c r="P236" s="1" t="s">
        <v>604</v>
      </c>
      <c r="Q236" s="6">
        <v>1.01</v>
      </c>
      <c r="R236" s="6">
        <v>62.5</v>
      </c>
      <c r="S236" s="4">
        <v>57</v>
      </c>
      <c r="T236" s="1" t="s">
        <v>42</v>
      </c>
      <c r="U236" s="5">
        <f>HYPERLINK("https://www.gia.edu/report-check?reportno=2466180421","2466180421")</f>
      </c>
      <c r="V236" s="1" t="s">
        <v>43</v>
      </c>
      <c r="W236" s="1" t="s">
        <v>128</v>
      </c>
      <c r="X236" s="1" t="s">
        <v>59</v>
      </c>
      <c r="Y236" s="1" t="s">
        <v>40</v>
      </c>
      <c r="Z236" s="1" t="s">
        <v>46</v>
      </c>
      <c r="AA236" s="1" t="s">
        <v>367</v>
      </c>
      <c r="AB236" s="1" t="s">
        <v>40</v>
      </c>
      <c r="AC236" s="1" t="s">
        <v>48</v>
      </c>
      <c r="AD236" s="1" t="s">
        <v>43</v>
      </c>
      <c r="AE236" s="8">
        <f>IF(L236&lt;&gt;"",L236*E236,0)</f>
      </c>
    </row>
    <row r="237" spans="1:31" x14ac:dyDescent="0.25">
      <c r="A237" s="4">
        <v>232</v>
      </c>
      <c r="B237" s="1" t="s">
        <v>605</v>
      </c>
      <c r="C237" s="5">
        <f>HYPERLINK("https://client.unique.diamonds/dna/11193-103","DNA")</f>
      </c>
      <c r="D237" s="1" t="s">
        <v>36</v>
      </c>
      <c r="E237" s="6">
        <v>2.51</v>
      </c>
      <c r="F237" s="1" t="s">
        <v>176</v>
      </c>
      <c r="G237" s="1" t="s">
        <v>420</v>
      </c>
      <c r="H237" s="1" t="s">
        <v>39</v>
      </c>
      <c r="I237" s="1" t="s">
        <v>39</v>
      </c>
      <c r="J237" s="1" t="s">
        <v>39</v>
      </c>
      <c r="K237" s="1" t="s">
        <v>90</v>
      </c>
      <c r="L237" s="4">
        <v>10900</v>
      </c>
      <c r="M237" s="6">
        <v>-32</v>
      </c>
      <c r="N237" s="7">
        <f>IF(AND(L237 &lt;&gt; "-", M237 &lt;&gt; "-"),L237*( 1 + M237%),0)</f>
      </c>
      <c r="O237" s="7">
        <f>( N237 * E237 )</f>
      </c>
      <c r="P237" s="1" t="s">
        <v>606</v>
      </c>
      <c r="Q237" s="6">
        <v>1.01</v>
      </c>
      <c r="R237" s="6">
        <v>62.6</v>
      </c>
      <c r="S237" s="4">
        <v>59</v>
      </c>
      <c r="T237" s="1" t="s">
        <v>42</v>
      </c>
      <c r="U237" s="5">
        <f>HYPERLINK("https://www.gia.edu/report-check?reportno=1447243014","1447243014")</f>
      </c>
      <c r="V237" s="1" t="s">
        <v>43</v>
      </c>
      <c r="W237" s="1" t="s">
        <v>128</v>
      </c>
      <c r="X237" s="1" t="s">
        <v>59</v>
      </c>
      <c r="Y237" s="1" t="s">
        <v>40</v>
      </c>
      <c r="Z237" s="1" t="s">
        <v>46</v>
      </c>
      <c r="AA237" s="1" t="s">
        <v>47</v>
      </c>
      <c r="AB237" s="1" t="s">
        <v>40</v>
      </c>
      <c r="AC237" s="1" t="s">
        <v>48</v>
      </c>
      <c r="AD237" s="1" t="s">
        <v>43</v>
      </c>
      <c r="AE237" s="8">
        <f>IF(L237&lt;&gt;"",L237*E237,0)</f>
      </c>
    </row>
    <row r="238" spans="1:31" x14ac:dyDescent="0.25">
      <c r="A238" s="4">
        <v>233</v>
      </c>
      <c r="B238" s="1" t="s">
        <v>607</v>
      </c>
      <c r="C238" s="5">
        <f>HYPERLINK("https://client.unique.diamonds/dna/162-37","DNA")</f>
      </c>
      <c r="D238" s="1" t="s">
        <v>36</v>
      </c>
      <c r="E238" s="6">
        <v>3</v>
      </c>
      <c r="F238" s="1" t="s">
        <v>176</v>
      </c>
      <c r="G238" s="1" t="s">
        <v>420</v>
      </c>
      <c r="H238" s="1" t="s">
        <v>39</v>
      </c>
      <c r="I238" s="1" t="s">
        <v>39</v>
      </c>
      <c r="J238" s="1" t="s">
        <v>39</v>
      </c>
      <c r="K238" s="1" t="s">
        <v>40</v>
      </c>
      <c r="L238" s="4">
        <v>16000</v>
      </c>
      <c r="M238" s="6">
        <v>-39.25</v>
      </c>
      <c r="N238" s="7">
        <f>IF(AND(L238 &lt;&gt; "-", M238 &lt;&gt; "-"),L238*( 1 + M238%),0)</f>
      </c>
      <c r="O238" s="7">
        <f>( N238 * E238 )</f>
      </c>
      <c r="P238" s="1" t="s">
        <v>608</v>
      </c>
      <c r="Q238" s="6">
        <v>1</v>
      </c>
      <c r="R238" s="6">
        <v>62.4</v>
      </c>
      <c r="S238" s="4">
        <v>57</v>
      </c>
      <c r="T238" s="1" t="s">
        <v>42</v>
      </c>
      <c r="U238" s="5">
        <f>HYPERLINK("https://www.gia.edu/report-check?reportno=3435568449","3435568449")</f>
      </c>
      <c r="V238" s="1" t="s">
        <v>43</v>
      </c>
      <c r="W238" s="1" t="s">
        <v>314</v>
      </c>
      <c r="X238" s="1" t="s">
        <v>45</v>
      </c>
      <c r="Y238" s="1" t="s">
        <v>40</v>
      </c>
      <c r="Z238" s="1" t="s">
        <v>46</v>
      </c>
      <c r="AA238" s="1" t="s">
        <v>47</v>
      </c>
      <c r="AB238" s="1" t="s">
        <v>40</v>
      </c>
      <c r="AC238" s="1" t="s">
        <v>48</v>
      </c>
      <c r="AD238" s="1" t="s">
        <v>43</v>
      </c>
      <c r="AE238" s="8">
        <f>IF(L238&lt;&gt;"",L238*E238,0)</f>
      </c>
    </row>
    <row r="239" spans="1:31" x14ac:dyDescent="0.25">
      <c r="A239" s="4">
        <v>234</v>
      </c>
      <c r="B239" s="1" t="s">
        <v>609</v>
      </c>
      <c r="C239" s="5">
        <f>HYPERLINK("https://client.unique.diamonds/dna/11147-86","DNA")</f>
      </c>
      <c r="D239" s="1" t="s">
        <v>36</v>
      </c>
      <c r="E239" s="6">
        <v>3.01</v>
      </c>
      <c r="F239" s="1" t="s">
        <v>176</v>
      </c>
      <c r="G239" s="1" t="s">
        <v>420</v>
      </c>
      <c r="H239" s="1" t="s">
        <v>39</v>
      </c>
      <c r="I239" s="1" t="s">
        <v>39</v>
      </c>
      <c r="J239" s="1" t="s">
        <v>39</v>
      </c>
      <c r="K239" s="1" t="s">
        <v>40</v>
      </c>
      <c r="L239" s="4">
        <v>16000</v>
      </c>
      <c r="M239" s="6">
        <v>-46</v>
      </c>
      <c r="N239" s="7">
        <f>IF(AND(L239 &lt;&gt; "-", M239 &lt;&gt; "-"),L239*( 1 + M239%),0)</f>
      </c>
      <c r="O239" s="7">
        <f>( N239 * E239 )</f>
      </c>
      <c r="P239" s="1" t="s">
        <v>610</v>
      </c>
      <c r="Q239" s="6">
        <v>1</v>
      </c>
      <c r="R239" s="6">
        <v>61.5</v>
      </c>
      <c r="S239" s="4">
        <v>59</v>
      </c>
      <c r="T239" s="1" t="s">
        <v>42</v>
      </c>
      <c r="U239" s="5">
        <f>HYPERLINK("https://www.gia.edu/report-check?reportno=6435741817","6435741817")</f>
      </c>
      <c r="V239" s="1" t="s">
        <v>43</v>
      </c>
      <c r="W239" s="1" t="s">
        <v>67</v>
      </c>
      <c r="X239" s="1" t="s">
        <v>46</v>
      </c>
      <c r="Y239" s="1" t="s">
        <v>40</v>
      </c>
      <c r="Z239" s="1" t="s">
        <v>46</v>
      </c>
      <c r="AA239" s="1" t="s">
        <v>367</v>
      </c>
      <c r="AB239" s="1" t="s">
        <v>47</v>
      </c>
      <c r="AC239" s="1" t="s">
        <v>226</v>
      </c>
      <c r="AD239" s="1" t="s">
        <v>43</v>
      </c>
      <c r="AE239" s="8">
        <f>IF(L239&lt;&gt;"",L239*E239,0)</f>
      </c>
    </row>
    <row r="240" spans="1:31" x14ac:dyDescent="0.25">
      <c r="A240" s="4">
        <v>235</v>
      </c>
      <c r="B240" s="1" t="s">
        <v>611</v>
      </c>
      <c r="C240" s="5">
        <f>HYPERLINK("https://client.unique.diamonds/dna/141445-21","DNA")</f>
      </c>
      <c r="D240" s="1" t="s">
        <v>36</v>
      </c>
      <c r="E240" s="6">
        <v>1.5</v>
      </c>
      <c r="F240" s="1" t="s">
        <v>208</v>
      </c>
      <c r="G240" s="1" t="s">
        <v>420</v>
      </c>
      <c r="H240" s="1" t="s">
        <v>39</v>
      </c>
      <c r="I240" s="1" t="s">
        <v>39</v>
      </c>
      <c r="J240" s="1" t="s">
        <v>39</v>
      </c>
      <c r="K240" s="1" t="s">
        <v>40</v>
      </c>
      <c r="L240" s="4">
        <v>6900</v>
      </c>
      <c r="M240" s="6">
        <v>-44.5</v>
      </c>
      <c r="N240" s="7">
        <f>IF(AND(L240 &lt;&gt; "-", M240 &lt;&gt; "-"),L240*( 1 + M240%),0)</f>
      </c>
      <c r="O240" s="7">
        <f>( N240 * E240 )</f>
      </c>
      <c r="P240" s="1" t="s">
        <v>612</v>
      </c>
      <c r="Q240" s="6">
        <v>1.01</v>
      </c>
      <c r="R240" s="6">
        <v>60</v>
      </c>
      <c r="S240" s="4">
        <v>62</v>
      </c>
      <c r="T240" s="1" t="s">
        <v>42</v>
      </c>
      <c r="U240" s="5">
        <f>HYPERLINK("https://www.gia.edu/report-check?reportno=6412916242","6412916242")</f>
      </c>
      <c r="V240" s="1" t="s">
        <v>43</v>
      </c>
      <c r="W240" s="1" t="s">
        <v>67</v>
      </c>
      <c r="X240" s="1" t="s">
        <v>46</v>
      </c>
      <c r="Y240" s="1" t="s">
        <v>40</v>
      </c>
      <c r="Z240" s="1" t="s">
        <v>46</v>
      </c>
      <c r="AA240" s="1" t="s">
        <v>47</v>
      </c>
      <c r="AB240" s="1" t="s">
        <v>40</v>
      </c>
      <c r="AC240" s="1" t="s">
        <v>48</v>
      </c>
      <c r="AD240" s="1" t="s">
        <v>43</v>
      </c>
      <c r="AE240" s="8">
        <f>IF(L240&lt;&gt;"",L240*E240,0)</f>
      </c>
    </row>
    <row r="241" spans="1:31" x14ac:dyDescent="0.25">
      <c r="A241" s="4">
        <v>236</v>
      </c>
      <c r="B241" s="1" t="s">
        <v>613</v>
      </c>
      <c r="C241" s="5">
        <f>HYPERLINK("https://client.unique.diamonds/dna/11041-21","DNA")</f>
      </c>
      <c r="D241" s="1" t="s">
        <v>36</v>
      </c>
      <c r="E241" s="6">
        <v>1.5</v>
      </c>
      <c r="F241" s="1" t="s">
        <v>208</v>
      </c>
      <c r="G241" s="1" t="s">
        <v>420</v>
      </c>
      <c r="H241" s="1" t="s">
        <v>39</v>
      </c>
      <c r="I241" s="1" t="s">
        <v>39</v>
      </c>
      <c r="J241" s="1" t="s">
        <v>39</v>
      </c>
      <c r="K241" s="1" t="s">
        <v>40</v>
      </c>
      <c r="L241" s="4">
        <v>6900</v>
      </c>
      <c r="M241" s="6">
        <v>-40.75</v>
      </c>
      <c r="N241" s="7">
        <f>IF(AND(L241 &lt;&gt; "-", M241 &lt;&gt; "-"),L241*( 1 + M241%),0)</f>
      </c>
      <c r="O241" s="7">
        <f>( N241 * E241 )</f>
      </c>
      <c r="P241" s="1" t="s">
        <v>614</v>
      </c>
      <c r="Q241" s="6">
        <v>1</v>
      </c>
      <c r="R241" s="6">
        <v>61.2</v>
      </c>
      <c r="S241" s="4">
        <v>61</v>
      </c>
      <c r="T241" s="1" t="s">
        <v>42</v>
      </c>
      <c r="U241" s="5">
        <f>HYPERLINK("https://www.gia.edu/report-check?reportno=2426327306","2426327306")</f>
      </c>
      <c r="V241" s="1" t="s">
        <v>43</v>
      </c>
      <c r="W241" s="1" t="s">
        <v>294</v>
      </c>
      <c r="X241" s="1" t="s">
        <v>45</v>
      </c>
      <c r="Y241" s="1" t="s">
        <v>40</v>
      </c>
      <c r="Z241" s="1" t="s">
        <v>46</v>
      </c>
      <c r="AA241" s="1" t="s">
        <v>47</v>
      </c>
      <c r="AB241" s="1" t="s">
        <v>40</v>
      </c>
      <c r="AC241" s="1" t="s">
        <v>48</v>
      </c>
      <c r="AD241" s="1" t="s">
        <v>43</v>
      </c>
      <c r="AE241" s="8">
        <f>IF(L241&lt;&gt;"",L241*E241,0)</f>
      </c>
    </row>
    <row r="242" spans="1:31" x14ac:dyDescent="0.25">
      <c r="A242" s="4">
        <v>237</v>
      </c>
      <c r="B242" s="1" t="s">
        <v>615</v>
      </c>
      <c r="C242" s="5">
        <f>HYPERLINK("https://client.unique.diamonds/dna/11129-10","DNA")</f>
      </c>
      <c r="D242" s="1" t="s">
        <v>36</v>
      </c>
      <c r="E242" s="6">
        <v>1.5</v>
      </c>
      <c r="F242" s="1" t="s">
        <v>208</v>
      </c>
      <c r="G242" s="1" t="s">
        <v>420</v>
      </c>
      <c r="H242" s="1" t="s">
        <v>39</v>
      </c>
      <c r="I242" s="1" t="s">
        <v>39</v>
      </c>
      <c r="J242" s="1" t="s">
        <v>39</v>
      </c>
      <c r="K242" s="1" t="s">
        <v>90</v>
      </c>
      <c r="L242" s="4">
        <v>6900</v>
      </c>
      <c r="M242" s="6">
        <v>-44.25</v>
      </c>
      <c r="N242" s="7">
        <f>IF(AND(L242 &lt;&gt; "-", M242 &lt;&gt; "-"),L242*( 1 + M242%),0)</f>
      </c>
      <c r="O242" s="7">
        <f>( N242 * E242 )</f>
      </c>
      <c r="P242" s="1" t="s">
        <v>616</v>
      </c>
      <c r="Q242" s="6">
        <v>1.01</v>
      </c>
      <c r="R242" s="6">
        <v>61.7</v>
      </c>
      <c r="S242" s="4">
        <v>60</v>
      </c>
      <c r="T242" s="1" t="s">
        <v>42</v>
      </c>
      <c r="U242" s="5">
        <f>HYPERLINK("https://www.gia.edu/report-check?reportno=2437258897","2437258897")</f>
      </c>
      <c r="V242" s="1" t="s">
        <v>43</v>
      </c>
      <c r="W242" s="1" t="s">
        <v>617</v>
      </c>
      <c r="X242" s="1" t="s">
        <v>46</v>
      </c>
      <c r="Y242" s="1" t="s">
        <v>40</v>
      </c>
      <c r="Z242" s="1" t="s">
        <v>46</v>
      </c>
      <c r="AA242" s="1" t="s">
        <v>47</v>
      </c>
      <c r="AB242" s="1" t="s">
        <v>47</v>
      </c>
      <c r="AC242" s="1" t="s">
        <v>329</v>
      </c>
      <c r="AD242" s="1" t="s">
        <v>43</v>
      </c>
      <c r="AE242" s="8">
        <f>IF(L242&lt;&gt;"",L242*E242,0)</f>
      </c>
    </row>
    <row r="243" spans="1:31" x14ac:dyDescent="0.25">
      <c r="A243" s="4">
        <v>238</v>
      </c>
      <c r="B243" s="1" t="s">
        <v>618</v>
      </c>
      <c r="C243" s="5">
        <f>HYPERLINK("https://client.unique.diamonds/dna/11163-175","DNA")</f>
      </c>
      <c r="D243" s="1" t="s">
        <v>36</v>
      </c>
      <c r="E243" s="6">
        <v>1.5</v>
      </c>
      <c r="F243" s="1" t="s">
        <v>208</v>
      </c>
      <c r="G243" s="1" t="s">
        <v>420</v>
      </c>
      <c r="H243" s="1" t="s">
        <v>39</v>
      </c>
      <c r="I243" s="1" t="s">
        <v>39</v>
      </c>
      <c r="J243" s="1" t="s">
        <v>39</v>
      </c>
      <c r="K243" s="1" t="s">
        <v>40</v>
      </c>
      <c r="L243" s="4">
        <v>6900</v>
      </c>
      <c r="M243" s="6">
        <v>-40</v>
      </c>
      <c r="N243" s="7">
        <f>IF(AND(L243 &lt;&gt; "-", M243 &lt;&gt; "-"),L243*( 1 + M243%),0)</f>
      </c>
      <c r="O243" s="7">
        <f>( N243 * E243 )</f>
      </c>
      <c r="P243" s="1" t="s">
        <v>619</v>
      </c>
      <c r="Q243" s="6">
        <v>1.01</v>
      </c>
      <c r="R243" s="6">
        <v>62.5</v>
      </c>
      <c r="S243" s="4">
        <v>59</v>
      </c>
      <c r="T243" s="1" t="s">
        <v>42</v>
      </c>
      <c r="U243" s="5">
        <f>HYPERLINK("https://www.gia.edu/report-check?reportno=2436987677","2436987677")</f>
      </c>
      <c r="V243" s="1" t="s">
        <v>43</v>
      </c>
      <c r="W243" s="1" t="s">
        <v>566</v>
      </c>
      <c r="X243" s="1" t="s">
        <v>46</v>
      </c>
      <c r="Y243" s="1" t="s">
        <v>40</v>
      </c>
      <c r="Z243" s="1" t="s">
        <v>418</v>
      </c>
      <c r="AA243" s="1" t="s">
        <v>40</v>
      </c>
      <c r="AB243" s="1" t="s">
        <v>73</v>
      </c>
      <c r="AC243" s="1" t="s">
        <v>48</v>
      </c>
      <c r="AD243" s="1" t="s">
        <v>43</v>
      </c>
      <c r="AE243" s="8">
        <f>IF(L243&lt;&gt;"",L243*E243,0)</f>
      </c>
    </row>
    <row r="244" spans="1:31" x14ac:dyDescent="0.25">
      <c r="A244" s="4">
        <v>239</v>
      </c>
      <c r="B244" s="1" t="s">
        <v>620</v>
      </c>
      <c r="C244" s="5">
        <f>HYPERLINK("https://client.unique.diamonds/dna/21072-30","DNA")</f>
      </c>
      <c r="D244" s="1" t="s">
        <v>36</v>
      </c>
      <c r="E244" s="6">
        <v>1.5</v>
      </c>
      <c r="F244" s="1" t="s">
        <v>208</v>
      </c>
      <c r="G244" s="1" t="s">
        <v>420</v>
      </c>
      <c r="H244" s="1" t="s">
        <v>39</v>
      </c>
      <c r="I244" s="1" t="s">
        <v>39</v>
      </c>
      <c r="J244" s="1" t="s">
        <v>39</v>
      </c>
      <c r="K244" s="1" t="s">
        <v>40</v>
      </c>
      <c r="L244" s="4">
        <v>6900</v>
      </c>
      <c r="M244" s="6">
        <v>-33</v>
      </c>
      <c r="N244" s="7">
        <f>IF(AND(L244 &lt;&gt; "-", M244 &lt;&gt; "-"),L244*( 1 + M244%),0)</f>
      </c>
      <c r="O244" s="7">
        <f>( N244 * E244 )</f>
      </c>
      <c r="P244" s="1" t="s">
        <v>621</v>
      </c>
      <c r="Q244" s="6">
        <v>1.01</v>
      </c>
      <c r="R244" s="6">
        <v>62.1</v>
      </c>
      <c r="S244" s="4">
        <v>58</v>
      </c>
      <c r="T244" s="1" t="s">
        <v>42</v>
      </c>
      <c r="U244" s="5">
        <f>HYPERLINK("https://www.gia.edu/report-check?reportno=5221929876","5221929876")</f>
      </c>
      <c r="V244" s="1" t="s">
        <v>43</v>
      </c>
      <c r="W244" s="1" t="s">
        <v>384</v>
      </c>
      <c r="X244" s="1" t="s">
        <v>46</v>
      </c>
      <c r="Y244" s="1" t="s">
        <v>40</v>
      </c>
      <c r="Z244" s="1" t="s">
        <v>64</v>
      </c>
      <c r="AA244" s="1" t="s">
        <v>52</v>
      </c>
      <c r="AB244" s="1" t="s">
        <v>40</v>
      </c>
      <c r="AC244" s="1" t="s">
        <v>48</v>
      </c>
      <c r="AD244" s="1" t="s">
        <v>43</v>
      </c>
      <c r="AE244" s="8">
        <f>IF(L244&lt;&gt;"",L244*E244,0)</f>
      </c>
    </row>
    <row r="245" spans="1:31" x14ac:dyDescent="0.25">
      <c r="A245" s="4">
        <v>240</v>
      </c>
      <c r="B245" s="1" t="s">
        <v>622</v>
      </c>
      <c r="C245" s="5">
        <f>HYPERLINK("https://client.unique.diamonds/dna/11241-246","DNA")</f>
      </c>
      <c r="D245" s="1" t="s">
        <v>36</v>
      </c>
      <c r="E245" s="6">
        <v>1.51</v>
      </c>
      <c r="F245" s="1" t="s">
        <v>208</v>
      </c>
      <c r="G245" s="1" t="s">
        <v>420</v>
      </c>
      <c r="H245" s="1" t="s">
        <v>39</v>
      </c>
      <c r="I245" s="1" t="s">
        <v>39</v>
      </c>
      <c r="J245" s="1" t="s">
        <v>39</v>
      </c>
      <c r="K245" s="1" t="s">
        <v>94</v>
      </c>
      <c r="L245" s="4">
        <v>6900</v>
      </c>
      <c r="M245" s="6">
        <v>-44.67</v>
      </c>
      <c r="N245" s="7">
        <f>IF(AND(L245 &lt;&gt; "-", M245 &lt;&gt; "-"),L245*( 1 + M245%),0)</f>
      </c>
      <c r="O245" s="7">
        <f>( N245 * E245 )</f>
      </c>
      <c r="P245" s="1" t="s">
        <v>623</v>
      </c>
      <c r="Q245" s="6">
        <v>1.01</v>
      </c>
      <c r="R245" s="6">
        <v>62.4</v>
      </c>
      <c r="S245" s="4">
        <v>59</v>
      </c>
      <c r="T245" s="1" t="s">
        <v>42</v>
      </c>
      <c r="U245" s="5">
        <f>HYPERLINK("https://www.gia.edu/report-check?reportno=6441778865","6441778865")</f>
      </c>
      <c r="V245" s="1" t="s">
        <v>43</v>
      </c>
      <c r="W245" s="1" t="s">
        <v>88</v>
      </c>
      <c r="X245" s="1" t="s">
        <v>59</v>
      </c>
      <c r="Y245" s="1" t="s">
        <v>40</v>
      </c>
      <c r="Z245" s="1" t="s">
        <v>59</v>
      </c>
      <c r="AA245" s="1" t="s">
        <v>47</v>
      </c>
      <c r="AB245" s="1" t="s">
        <v>73</v>
      </c>
      <c r="AC245" s="1" t="s">
        <v>48</v>
      </c>
      <c r="AD245" s="1" t="s">
        <v>43</v>
      </c>
      <c r="AE245" s="8">
        <f>IF(L245&lt;&gt;"",L245*E245,0)</f>
      </c>
    </row>
    <row r="246" spans="1:31" x14ac:dyDescent="0.25">
      <c r="A246" s="4">
        <v>241</v>
      </c>
      <c r="B246" s="1" t="s">
        <v>624</v>
      </c>
      <c r="C246" s="5">
        <f>HYPERLINK("https://client.unique.diamonds/dna/162-39","DNA")</f>
      </c>
      <c r="D246" s="1" t="s">
        <v>36</v>
      </c>
      <c r="E246" s="6">
        <v>1.51</v>
      </c>
      <c r="F246" s="1" t="s">
        <v>208</v>
      </c>
      <c r="G246" s="1" t="s">
        <v>420</v>
      </c>
      <c r="H246" s="1" t="s">
        <v>39</v>
      </c>
      <c r="I246" s="1" t="s">
        <v>39</v>
      </c>
      <c r="J246" s="1" t="s">
        <v>39</v>
      </c>
      <c r="K246" s="1" t="s">
        <v>40</v>
      </c>
      <c r="L246" s="4">
        <v>6900</v>
      </c>
      <c r="M246" s="6">
        <v>-39.85</v>
      </c>
      <c r="N246" s="7">
        <f>IF(AND(L246 &lt;&gt; "-", M246 &lt;&gt; "-"),L246*( 1 + M246%),0)</f>
      </c>
      <c r="O246" s="7">
        <f>( N246 * E246 )</f>
      </c>
      <c r="P246" s="1" t="s">
        <v>625</v>
      </c>
      <c r="Q246" s="6">
        <v>1.01</v>
      </c>
      <c r="R246" s="6">
        <v>62.7</v>
      </c>
      <c r="S246" s="4">
        <v>58</v>
      </c>
      <c r="T246" s="1" t="s">
        <v>42</v>
      </c>
      <c r="U246" s="5">
        <f>HYPERLINK("https://www.gia.edu/report-check?reportno=6432429280","6432429280")</f>
      </c>
      <c r="V246" s="1" t="s">
        <v>43</v>
      </c>
      <c r="W246" s="1" t="s">
        <v>341</v>
      </c>
      <c r="X246" s="1" t="s">
        <v>45</v>
      </c>
      <c r="Y246" s="1" t="s">
        <v>40</v>
      </c>
      <c r="Z246" s="1" t="s">
        <v>45</v>
      </c>
      <c r="AA246" s="1" t="s">
        <v>47</v>
      </c>
      <c r="AB246" s="1" t="s">
        <v>73</v>
      </c>
      <c r="AC246" s="1" t="s">
        <v>48</v>
      </c>
      <c r="AD246" s="1" t="s">
        <v>43</v>
      </c>
      <c r="AE246" s="8">
        <f>IF(L246&lt;&gt;"",L246*E246,0)</f>
      </c>
    </row>
    <row r="247" spans="1:31" x14ac:dyDescent="0.25">
      <c r="A247" s="4">
        <v>242</v>
      </c>
      <c r="B247" s="1" t="s">
        <v>626</v>
      </c>
      <c r="C247" s="5">
        <f>HYPERLINK("https://client.unique.diamonds/dna/11225-29","DNA")</f>
      </c>
      <c r="D247" s="1" t="s">
        <v>36</v>
      </c>
      <c r="E247" s="6">
        <v>1.51</v>
      </c>
      <c r="F247" s="1" t="s">
        <v>208</v>
      </c>
      <c r="G247" s="1" t="s">
        <v>420</v>
      </c>
      <c r="H247" s="1" t="s">
        <v>39</v>
      </c>
      <c r="I247" s="1" t="s">
        <v>39</v>
      </c>
      <c r="J247" s="1" t="s">
        <v>39</v>
      </c>
      <c r="K247" s="1" t="s">
        <v>40</v>
      </c>
      <c r="L247" s="4">
        <v>6900</v>
      </c>
      <c r="M247" s="6">
        <v>-43</v>
      </c>
      <c r="N247" s="7">
        <f>IF(AND(L247 &lt;&gt; "-", M247 &lt;&gt; "-"),L247*( 1 + M247%),0)</f>
      </c>
      <c r="O247" s="7">
        <f>( N247 * E247 )</f>
      </c>
      <c r="P247" s="1" t="s">
        <v>627</v>
      </c>
      <c r="Q247" s="6">
        <v>1.01</v>
      </c>
      <c r="R247" s="6">
        <v>60.2</v>
      </c>
      <c r="S247" s="4">
        <v>58</v>
      </c>
      <c r="T247" s="1" t="s">
        <v>42</v>
      </c>
      <c r="U247" s="5">
        <f>HYPERLINK("https://www.gia.edu/report-check?reportno=2446428079","2446428079")</f>
      </c>
      <c r="V247" s="1" t="s">
        <v>43</v>
      </c>
      <c r="W247" s="1" t="s">
        <v>67</v>
      </c>
      <c r="X247" s="1" t="s">
        <v>45</v>
      </c>
      <c r="Y247" s="1" t="s">
        <v>40</v>
      </c>
      <c r="Z247" s="1" t="s">
        <v>46</v>
      </c>
      <c r="AA247" s="1" t="s">
        <v>367</v>
      </c>
      <c r="AB247" s="1" t="s">
        <v>40</v>
      </c>
      <c r="AC247" s="1" t="s">
        <v>48</v>
      </c>
      <c r="AD247" s="1" t="s">
        <v>43</v>
      </c>
      <c r="AE247" s="8">
        <f>IF(L247&lt;&gt;"",L247*E247,0)</f>
      </c>
    </row>
    <row r="248" spans="1:31" x14ac:dyDescent="0.25">
      <c r="A248" s="4">
        <v>243</v>
      </c>
      <c r="B248" s="1" t="s">
        <v>628</v>
      </c>
      <c r="C248" s="5">
        <f>HYPERLINK("https://client.unique.diamonds/dna/21134-13","DNA")</f>
      </c>
      <c r="D248" s="1" t="s">
        <v>36</v>
      </c>
      <c r="E248" s="6">
        <v>1.53</v>
      </c>
      <c r="F248" s="1" t="s">
        <v>208</v>
      </c>
      <c r="G248" s="1" t="s">
        <v>420</v>
      </c>
      <c r="H248" s="1" t="s">
        <v>39</v>
      </c>
      <c r="I248" s="1" t="s">
        <v>39</v>
      </c>
      <c r="J248" s="1" t="s">
        <v>39</v>
      </c>
      <c r="K248" s="1" t="s">
        <v>40</v>
      </c>
      <c r="L248" s="4">
        <v>6900</v>
      </c>
      <c r="M248" s="6">
        <v>-40.5</v>
      </c>
      <c r="N248" s="7">
        <f>IF(AND(L248 &lt;&gt; "-", M248 &lt;&gt; "-"),L248*( 1 + M248%),0)</f>
      </c>
      <c r="O248" s="7">
        <f>( N248 * E248 )</f>
      </c>
      <c r="P248" s="1" t="s">
        <v>629</v>
      </c>
      <c r="Q248" s="6">
        <v>1.01</v>
      </c>
      <c r="R248" s="6">
        <v>62.3</v>
      </c>
      <c r="S248" s="4">
        <v>57</v>
      </c>
      <c r="T248" s="1" t="s">
        <v>42</v>
      </c>
      <c r="U248" s="5">
        <f>HYPERLINK("https://www.gia.edu/report-check?reportno=6462709027","6462709027")</f>
      </c>
      <c r="V248" s="1" t="s">
        <v>43</v>
      </c>
      <c r="W248" s="1" t="s">
        <v>67</v>
      </c>
      <c r="X248" s="1" t="s">
        <v>59</v>
      </c>
      <c r="Y248" s="1" t="s">
        <v>40</v>
      </c>
      <c r="Z248" s="1" t="s">
        <v>59</v>
      </c>
      <c r="AA248" s="1" t="s">
        <v>47</v>
      </c>
      <c r="AB248" s="1" t="s">
        <v>73</v>
      </c>
      <c r="AC248" s="1" t="s">
        <v>48</v>
      </c>
      <c r="AD248" s="1" t="s">
        <v>43</v>
      </c>
      <c r="AE248" s="8">
        <f>IF(L248&lt;&gt;"",L248*E248,0)</f>
      </c>
    </row>
    <row r="249" spans="1:31" x14ac:dyDescent="0.25">
      <c r="A249" s="4">
        <v>244</v>
      </c>
      <c r="B249" s="1" t="s">
        <v>630</v>
      </c>
      <c r="C249" s="5">
        <f>HYPERLINK("https://client.unique.diamonds/dna/21051-5","DNA")</f>
      </c>
      <c r="D249" s="1" t="s">
        <v>36</v>
      </c>
      <c r="E249" s="6">
        <v>1.59</v>
      </c>
      <c r="F249" s="1" t="s">
        <v>208</v>
      </c>
      <c r="G249" s="1" t="s">
        <v>420</v>
      </c>
      <c r="H249" s="1" t="s">
        <v>39</v>
      </c>
      <c r="I249" s="1" t="s">
        <v>39</v>
      </c>
      <c r="J249" s="1" t="s">
        <v>39</v>
      </c>
      <c r="K249" s="1" t="s">
        <v>94</v>
      </c>
      <c r="L249" s="4">
        <v>6900</v>
      </c>
      <c r="M249" s="6">
        <v>-47.2</v>
      </c>
      <c r="N249" s="7">
        <f>IF(AND(L249 &lt;&gt; "-", M249 &lt;&gt; "-"),L249*( 1 + M249%),0)</f>
      </c>
      <c r="O249" s="7">
        <f>( N249 * E249 )</f>
      </c>
      <c r="P249" s="1" t="s">
        <v>631</v>
      </c>
      <c r="Q249" s="6">
        <v>1.01</v>
      </c>
      <c r="R249" s="6">
        <v>62.7</v>
      </c>
      <c r="S249" s="4">
        <v>58</v>
      </c>
      <c r="T249" s="1" t="s">
        <v>42</v>
      </c>
      <c r="U249" s="5">
        <f>HYPERLINK("https://www.gia.edu/report-check?reportno=2458941400","2458941400")</f>
      </c>
      <c r="V249" s="1" t="s">
        <v>43</v>
      </c>
      <c r="W249" s="1" t="s">
        <v>178</v>
      </c>
      <c r="X249" s="1" t="s">
        <v>59</v>
      </c>
      <c r="Y249" s="1" t="s">
        <v>40</v>
      </c>
      <c r="Z249" s="1" t="s">
        <v>40</v>
      </c>
      <c r="AA249" s="1" t="s">
        <v>47</v>
      </c>
      <c r="AB249" s="1" t="s">
        <v>73</v>
      </c>
      <c r="AC249" s="1" t="s">
        <v>48</v>
      </c>
      <c r="AD249" s="1" t="s">
        <v>43</v>
      </c>
      <c r="AE249" s="8">
        <f>IF(L249&lt;&gt;"",L249*E249,0)</f>
      </c>
    </row>
    <row r="250" spans="1:31" x14ac:dyDescent="0.25">
      <c r="A250" s="4">
        <v>245</v>
      </c>
      <c r="B250" s="1" t="s">
        <v>632</v>
      </c>
      <c r="C250" s="5">
        <f>HYPERLINK("https://client.unique.diamonds/dna/11130-23","DNA")</f>
      </c>
      <c r="D250" s="1" t="s">
        <v>36</v>
      </c>
      <c r="E250" s="6">
        <v>1.6</v>
      </c>
      <c r="F250" s="1" t="s">
        <v>208</v>
      </c>
      <c r="G250" s="1" t="s">
        <v>420</v>
      </c>
      <c r="H250" s="1" t="s">
        <v>39</v>
      </c>
      <c r="I250" s="1" t="s">
        <v>39</v>
      </c>
      <c r="J250" s="1" t="s">
        <v>39</v>
      </c>
      <c r="K250" s="1" t="s">
        <v>40</v>
      </c>
      <c r="L250" s="4">
        <v>6900</v>
      </c>
      <c r="M250" s="6">
        <v>-46.5</v>
      </c>
      <c r="N250" s="7">
        <f>IF(AND(L250 &lt;&gt; "-", M250 &lt;&gt; "-"),L250*( 1 + M250%),0)</f>
      </c>
      <c r="O250" s="7">
        <f>( N250 * E250 )</f>
      </c>
      <c r="P250" s="1" t="s">
        <v>633</v>
      </c>
      <c r="Q250" s="6">
        <v>1.01</v>
      </c>
      <c r="R250" s="6">
        <v>62.7</v>
      </c>
      <c r="S250" s="4">
        <v>58</v>
      </c>
      <c r="T250" s="1" t="s">
        <v>42</v>
      </c>
      <c r="U250" s="5">
        <f>HYPERLINK("https://www.gia.edu/report-check?reportno=2436258926","2436258926")</f>
      </c>
      <c r="V250" s="1" t="s">
        <v>43</v>
      </c>
      <c r="W250" s="1" t="s">
        <v>67</v>
      </c>
      <c r="X250" s="1" t="s">
        <v>46</v>
      </c>
      <c r="Y250" s="1" t="s">
        <v>40</v>
      </c>
      <c r="Z250" s="1" t="s">
        <v>46</v>
      </c>
      <c r="AA250" s="1" t="s">
        <v>367</v>
      </c>
      <c r="AB250" s="1" t="s">
        <v>40</v>
      </c>
      <c r="AC250" s="1" t="s">
        <v>48</v>
      </c>
      <c r="AD250" s="1" t="s">
        <v>43</v>
      </c>
      <c r="AE250" s="8">
        <f>IF(L250&lt;&gt;"",L250*E250,0)</f>
      </c>
    </row>
    <row r="251" spans="1:31" x14ac:dyDescent="0.25">
      <c r="A251" s="4">
        <v>246</v>
      </c>
      <c r="B251" s="1" t="s">
        <v>634</v>
      </c>
      <c r="C251" s="5">
        <f>HYPERLINK("https://client.unique.diamonds/dna/21055-60","DNA")</f>
      </c>
      <c r="D251" s="1" t="s">
        <v>36</v>
      </c>
      <c r="E251" s="6">
        <v>1.71</v>
      </c>
      <c r="F251" s="1" t="s">
        <v>208</v>
      </c>
      <c r="G251" s="1" t="s">
        <v>420</v>
      </c>
      <c r="H251" s="1" t="s">
        <v>39</v>
      </c>
      <c r="I251" s="1" t="s">
        <v>39</v>
      </c>
      <c r="J251" s="1" t="s">
        <v>39</v>
      </c>
      <c r="K251" s="1" t="s">
        <v>90</v>
      </c>
      <c r="L251" s="4">
        <v>6900</v>
      </c>
      <c r="M251" s="6">
        <v>-33</v>
      </c>
      <c r="N251" s="7">
        <f>IF(AND(L251 &lt;&gt; "-", M251 &lt;&gt; "-"),L251*( 1 + M251%),0)</f>
      </c>
      <c r="O251" s="7">
        <f>( N251 * E251 )</f>
      </c>
      <c r="P251" s="1" t="s">
        <v>635</v>
      </c>
      <c r="Q251" s="6">
        <v>1.01</v>
      </c>
      <c r="R251" s="6">
        <v>61.4</v>
      </c>
      <c r="S251" s="4">
        <v>59</v>
      </c>
      <c r="T251" s="1" t="s">
        <v>42</v>
      </c>
      <c r="U251" s="5">
        <f>HYPERLINK("https://www.gia.edu/report-check?reportno=1463148685","1463148685")</f>
      </c>
      <c r="V251" s="1" t="s">
        <v>43</v>
      </c>
      <c r="W251" s="1" t="s">
        <v>297</v>
      </c>
      <c r="X251" s="1" t="s">
        <v>46</v>
      </c>
      <c r="Y251" s="1" t="s">
        <v>40</v>
      </c>
      <c r="Z251" s="1" t="s">
        <v>46</v>
      </c>
      <c r="AA251" s="1" t="s">
        <v>47</v>
      </c>
      <c r="AB251" s="1" t="s">
        <v>47</v>
      </c>
      <c r="AC251" s="1" t="s">
        <v>226</v>
      </c>
      <c r="AD251" s="1" t="s">
        <v>43</v>
      </c>
      <c r="AE251" s="8">
        <f>IF(L251&lt;&gt;"",L251*E251,0)</f>
      </c>
    </row>
    <row r="252" spans="1:31" x14ac:dyDescent="0.25">
      <c r="A252" s="4">
        <v>247</v>
      </c>
      <c r="B252" s="1" t="s">
        <v>636</v>
      </c>
      <c r="C252" s="5">
        <f>HYPERLINK("https://client.unique.diamonds/dna/21072-18","DNA")</f>
      </c>
      <c r="D252" s="1" t="s">
        <v>36</v>
      </c>
      <c r="E252" s="6">
        <v>1.8</v>
      </c>
      <c r="F252" s="1" t="s">
        <v>208</v>
      </c>
      <c r="G252" s="1" t="s">
        <v>420</v>
      </c>
      <c r="H252" s="1" t="s">
        <v>39</v>
      </c>
      <c r="I252" s="1" t="s">
        <v>39</v>
      </c>
      <c r="J252" s="1" t="s">
        <v>39</v>
      </c>
      <c r="K252" s="1" t="s">
        <v>40</v>
      </c>
      <c r="L252" s="4">
        <v>6900</v>
      </c>
      <c r="M252" s="6">
        <v>-31</v>
      </c>
      <c r="N252" s="7">
        <f>IF(AND(L252 &lt;&gt; "-", M252 &lt;&gt; "-"),L252*( 1 + M252%),0)</f>
      </c>
      <c r="O252" s="7">
        <f>( N252 * E252 )</f>
      </c>
      <c r="P252" s="1" t="s">
        <v>637</v>
      </c>
      <c r="Q252" s="6">
        <v>1.01</v>
      </c>
      <c r="R252" s="6">
        <v>62.5</v>
      </c>
      <c r="S252" s="4">
        <v>58</v>
      </c>
      <c r="T252" s="1" t="s">
        <v>42</v>
      </c>
      <c r="U252" s="5">
        <f>HYPERLINK("https://www.gia.edu/report-check?reportno=6462360945","6462360945")</f>
      </c>
      <c r="V252" s="1" t="s">
        <v>43</v>
      </c>
      <c r="W252" s="1" t="s">
        <v>88</v>
      </c>
      <c r="X252" s="1" t="s">
        <v>46</v>
      </c>
      <c r="Y252" s="1" t="s">
        <v>40</v>
      </c>
      <c r="Z252" s="1" t="s">
        <v>40</v>
      </c>
      <c r="AA252" s="1" t="s">
        <v>47</v>
      </c>
      <c r="AB252" s="1" t="s">
        <v>40</v>
      </c>
      <c r="AC252" s="1" t="s">
        <v>226</v>
      </c>
      <c r="AD252" s="1" t="s">
        <v>43</v>
      </c>
      <c r="AE252" s="8">
        <f>IF(L252&lt;&gt;"",L252*E252,0)</f>
      </c>
    </row>
    <row r="253" spans="1:31" x14ac:dyDescent="0.25">
      <c r="A253" s="4">
        <v>248</v>
      </c>
      <c r="B253" s="1" t="s">
        <v>638</v>
      </c>
      <c r="C253" s="5">
        <f>HYPERLINK("https://client.unique.diamonds/dna/U-1477","DNA")</f>
      </c>
      <c r="D253" s="1" t="s">
        <v>36</v>
      </c>
      <c r="E253" s="6">
        <v>2</v>
      </c>
      <c r="F253" s="1" t="s">
        <v>208</v>
      </c>
      <c r="G253" s="1" t="s">
        <v>420</v>
      </c>
      <c r="H253" s="1" t="s">
        <v>39</v>
      </c>
      <c r="I253" s="1" t="s">
        <v>39</v>
      </c>
      <c r="J253" s="1" t="s">
        <v>39</v>
      </c>
      <c r="K253" s="1" t="s">
        <v>40</v>
      </c>
      <c r="L253" s="4">
        <v>9300</v>
      </c>
      <c r="M253" s="6">
        <v>-37.97</v>
      </c>
      <c r="N253" s="7">
        <f>IF(AND(L253 &lt;&gt; "-", M253 &lt;&gt; "-"),L253*( 1 + M253%),0)</f>
      </c>
      <c r="O253" s="7">
        <f>( N253 * E253 )</f>
      </c>
      <c r="P253" s="1" t="s">
        <v>639</v>
      </c>
      <c r="Q253" s="6">
        <v>1.01</v>
      </c>
      <c r="R253" s="6">
        <v>63</v>
      </c>
      <c r="S253" s="4">
        <v>55</v>
      </c>
      <c r="T253" s="1" t="s">
        <v>42</v>
      </c>
      <c r="U253" s="5">
        <f>HYPERLINK("https://www.gia.edu/report-check?reportno=6435609832","6435609832")</f>
      </c>
      <c r="V253" s="1" t="s">
        <v>43</v>
      </c>
      <c r="W253" s="1" t="s">
        <v>204</v>
      </c>
      <c r="X253" s="1" t="s">
        <v>46</v>
      </c>
      <c r="Y253" s="1" t="s">
        <v>40</v>
      </c>
      <c r="Z253" s="1" t="s">
        <v>46</v>
      </c>
      <c r="AA253" s="1" t="s">
        <v>47</v>
      </c>
      <c r="AB253" s="1" t="s">
        <v>47</v>
      </c>
      <c r="AC253" s="1" t="s">
        <v>48</v>
      </c>
      <c r="AD253" s="1" t="s">
        <v>43</v>
      </c>
      <c r="AE253" s="8">
        <f>IF(L253&lt;&gt;"",L253*E253,0)</f>
      </c>
    </row>
    <row r="254" spans="1:31" x14ac:dyDescent="0.25">
      <c r="A254" s="4">
        <v>249</v>
      </c>
      <c r="B254" s="1" t="s">
        <v>640</v>
      </c>
      <c r="C254" s="5">
        <f>HYPERLINK("https://client.unique.diamonds/dna/22002-100","DNA")</f>
      </c>
      <c r="D254" s="1" t="s">
        <v>36</v>
      </c>
      <c r="E254" s="6">
        <v>2.01</v>
      </c>
      <c r="F254" s="1" t="s">
        <v>208</v>
      </c>
      <c r="G254" s="1" t="s">
        <v>420</v>
      </c>
      <c r="H254" s="1" t="s">
        <v>39</v>
      </c>
      <c r="I254" s="1" t="s">
        <v>39</v>
      </c>
      <c r="J254" s="1" t="s">
        <v>39</v>
      </c>
      <c r="K254" s="1" t="s">
        <v>40</v>
      </c>
      <c r="L254" s="4">
        <v>9300</v>
      </c>
      <c r="M254" s="6">
        <v>-37</v>
      </c>
      <c r="N254" s="7">
        <f>IF(AND(L254 &lt;&gt; "-", M254 &lt;&gt; "-"),L254*( 1 + M254%),0)</f>
      </c>
      <c r="O254" s="7">
        <f>( N254 * E254 )</f>
      </c>
      <c r="P254" s="1" t="s">
        <v>641</v>
      </c>
      <c r="Q254" s="6">
        <v>1.01</v>
      </c>
      <c r="R254" s="6">
        <v>62.9</v>
      </c>
      <c r="S254" s="4">
        <v>56</v>
      </c>
      <c r="T254" s="1" t="s">
        <v>42</v>
      </c>
      <c r="U254" s="5">
        <f>HYPERLINK("https://www.gia.edu/report-check?reportno=2456964155","2456964155")</f>
      </c>
      <c r="V254" s="1" t="s">
        <v>43</v>
      </c>
      <c r="W254" s="1" t="s">
        <v>642</v>
      </c>
      <c r="X254" s="1" t="s">
        <v>46</v>
      </c>
      <c r="Y254" s="1" t="s">
        <v>40</v>
      </c>
      <c r="Z254" s="1" t="s">
        <v>46</v>
      </c>
      <c r="AA254" s="1" t="s">
        <v>40</v>
      </c>
      <c r="AB254" s="1" t="s">
        <v>47</v>
      </c>
      <c r="AC254" s="1" t="s">
        <v>48</v>
      </c>
      <c r="AD254" s="1" t="s">
        <v>43</v>
      </c>
      <c r="AE254" s="8">
        <f>IF(L254&lt;&gt;"",L254*E254,0)</f>
      </c>
    </row>
    <row r="255" spans="1:31" x14ac:dyDescent="0.25">
      <c r="A255" s="4">
        <v>250</v>
      </c>
      <c r="B255" s="1" t="s">
        <v>643</v>
      </c>
      <c r="C255" s="5">
        <f>HYPERLINK("https://client.unique.diamonds/dna/162-20","DNA")</f>
      </c>
      <c r="D255" s="1" t="s">
        <v>36</v>
      </c>
      <c r="E255" s="6">
        <v>2.02</v>
      </c>
      <c r="F255" s="1" t="s">
        <v>208</v>
      </c>
      <c r="G255" s="1" t="s">
        <v>420</v>
      </c>
      <c r="H255" s="1" t="s">
        <v>39</v>
      </c>
      <c r="I255" s="1" t="s">
        <v>39</v>
      </c>
      <c r="J255" s="1" t="s">
        <v>39</v>
      </c>
      <c r="K255" s="1" t="s">
        <v>40</v>
      </c>
      <c r="L255" s="4">
        <v>9300</v>
      </c>
      <c r="M255" s="6">
        <v>-38.99</v>
      </c>
      <c r="N255" s="7">
        <f>IF(AND(L255 &lt;&gt; "-", M255 &lt;&gt; "-"),L255*( 1 + M255%),0)</f>
      </c>
      <c r="O255" s="7">
        <f>( N255 * E255 )</f>
      </c>
      <c r="P255" s="1" t="s">
        <v>280</v>
      </c>
      <c r="Q255" s="6">
        <v>1</v>
      </c>
      <c r="R255" s="6">
        <v>62.7</v>
      </c>
      <c r="S255" s="4">
        <v>57</v>
      </c>
      <c r="T255" s="1" t="s">
        <v>42</v>
      </c>
      <c r="U255" s="5">
        <f>HYPERLINK("https://www.gia.edu/report-check?reportno=2436499267","2436499267")</f>
      </c>
      <c r="V255" s="1" t="s">
        <v>43</v>
      </c>
      <c r="W255" s="1" t="s">
        <v>644</v>
      </c>
      <c r="X255" s="1" t="s">
        <v>45</v>
      </c>
      <c r="Y255" s="1" t="s">
        <v>40</v>
      </c>
      <c r="Z255" s="1" t="s">
        <v>46</v>
      </c>
      <c r="AA255" s="1" t="s">
        <v>52</v>
      </c>
      <c r="AB255" s="1" t="s">
        <v>47</v>
      </c>
      <c r="AC255" s="1" t="s">
        <v>48</v>
      </c>
      <c r="AD255" s="1" t="s">
        <v>43</v>
      </c>
      <c r="AE255" s="8">
        <f>IF(L255&lt;&gt;"",L255*E255,0)</f>
      </c>
    </row>
    <row r="256" spans="1:31" x14ac:dyDescent="0.25">
      <c r="A256" s="4">
        <v>251</v>
      </c>
      <c r="B256" s="1" t="s">
        <v>645</v>
      </c>
      <c r="C256" s="5">
        <f>HYPERLINK("https://client.unique.diamonds/dna/21077-8","DNA")</f>
      </c>
      <c r="D256" s="1" t="s">
        <v>36</v>
      </c>
      <c r="E256" s="6">
        <v>2.02</v>
      </c>
      <c r="F256" s="1" t="s">
        <v>208</v>
      </c>
      <c r="G256" s="1" t="s">
        <v>420</v>
      </c>
      <c r="H256" s="1" t="s">
        <v>39</v>
      </c>
      <c r="I256" s="1" t="s">
        <v>39</v>
      </c>
      <c r="J256" s="1" t="s">
        <v>39</v>
      </c>
      <c r="K256" s="1" t="s">
        <v>40</v>
      </c>
      <c r="L256" s="4">
        <v>9300</v>
      </c>
      <c r="M256" s="6">
        <v>-35</v>
      </c>
      <c r="N256" s="7">
        <f>IF(AND(L256 &lt;&gt; "-", M256 &lt;&gt; "-"),L256*( 1 + M256%),0)</f>
      </c>
      <c r="O256" s="7">
        <f>( N256 * E256 )</f>
      </c>
      <c r="P256" s="1" t="s">
        <v>169</v>
      </c>
      <c r="Q256" s="6">
        <v>1.01</v>
      </c>
      <c r="R256" s="6">
        <v>62.7</v>
      </c>
      <c r="S256" s="4">
        <v>58</v>
      </c>
      <c r="T256" s="1" t="s">
        <v>42</v>
      </c>
      <c r="U256" s="5">
        <f>HYPERLINK("https://www.gia.edu/report-check?reportno=5466110042","5466110042")</f>
      </c>
      <c r="V256" s="1" t="s">
        <v>43</v>
      </c>
      <c r="W256" s="1" t="s">
        <v>270</v>
      </c>
      <c r="X256" s="1" t="s">
        <v>59</v>
      </c>
      <c r="Y256" s="1" t="s">
        <v>40</v>
      </c>
      <c r="Z256" s="1" t="s">
        <v>45</v>
      </c>
      <c r="AA256" s="1" t="s">
        <v>47</v>
      </c>
      <c r="AB256" s="1" t="s">
        <v>73</v>
      </c>
      <c r="AC256" s="1" t="s">
        <v>48</v>
      </c>
      <c r="AD256" s="1" t="s">
        <v>43</v>
      </c>
      <c r="AE256" s="8">
        <f>IF(L256&lt;&gt;"",L256*E256,0)</f>
      </c>
    </row>
    <row r="257" spans="1:31" x14ac:dyDescent="0.25">
      <c r="A257" s="4">
        <v>252</v>
      </c>
      <c r="B257" s="1" t="s">
        <v>646</v>
      </c>
      <c r="C257" s="5">
        <f>HYPERLINK("https://client.unique.diamonds/dna/11174-41","DNA")</f>
      </c>
      <c r="D257" s="1" t="s">
        <v>36</v>
      </c>
      <c r="E257" s="6">
        <v>2.09</v>
      </c>
      <c r="F257" s="1" t="s">
        <v>208</v>
      </c>
      <c r="G257" s="1" t="s">
        <v>420</v>
      </c>
      <c r="H257" s="1" t="s">
        <v>39</v>
      </c>
      <c r="I257" s="1" t="s">
        <v>39</v>
      </c>
      <c r="J257" s="1" t="s">
        <v>39</v>
      </c>
      <c r="K257" s="1" t="s">
        <v>90</v>
      </c>
      <c r="L257" s="4">
        <v>9300</v>
      </c>
      <c r="M257" s="6">
        <v>-46</v>
      </c>
      <c r="N257" s="7">
        <f>IF(AND(L257 &lt;&gt; "-", M257 &lt;&gt; "-"),L257*( 1 + M257%),0)</f>
      </c>
      <c r="O257" s="7">
        <f>( N257 * E257 )</f>
      </c>
      <c r="P257" s="1" t="s">
        <v>647</v>
      </c>
      <c r="Q257" s="6">
        <v>1.01</v>
      </c>
      <c r="R257" s="6">
        <v>62.2</v>
      </c>
      <c r="S257" s="4">
        <v>59</v>
      </c>
      <c r="T257" s="1" t="s">
        <v>42</v>
      </c>
      <c r="U257" s="5">
        <f>HYPERLINK("https://www.gia.edu/report-check?reportno=7438990067","7438990067")</f>
      </c>
      <c r="V257" s="1" t="s">
        <v>43</v>
      </c>
      <c r="W257" s="1" t="s">
        <v>67</v>
      </c>
      <c r="X257" s="1" t="s">
        <v>46</v>
      </c>
      <c r="Y257" s="1" t="s">
        <v>40</v>
      </c>
      <c r="Z257" s="1" t="s">
        <v>46</v>
      </c>
      <c r="AA257" s="1" t="s">
        <v>367</v>
      </c>
      <c r="AB257" s="1" t="s">
        <v>40</v>
      </c>
      <c r="AC257" s="1" t="s">
        <v>48</v>
      </c>
      <c r="AD257" s="1" t="s">
        <v>43</v>
      </c>
      <c r="AE257" s="8">
        <f>IF(L257&lt;&gt;"",L257*E257,0)</f>
      </c>
    </row>
    <row r="258" spans="1:31" x14ac:dyDescent="0.25">
      <c r="A258" s="4">
        <v>253</v>
      </c>
      <c r="B258" s="1" t="s">
        <v>648</v>
      </c>
      <c r="C258" s="5">
        <f>HYPERLINK("https://client.unique.diamonds/dna/11275-88","DNA")</f>
      </c>
      <c r="D258" s="1" t="s">
        <v>36</v>
      </c>
      <c r="E258" s="6">
        <v>2.21</v>
      </c>
      <c r="F258" s="1" t="s">
        <v>208</v>
      </c>
      <c r="G258" s="1" t="s">
        <v>420</v>
      </c>
      <c r="H258" s="1" t="s">
        <v>39</v>
      </c>
      <c r="I258" s="1" t="s">
        <v>39</v>
      </c>
      <c r="J258" s="1" t="s">
        <v>39</v>
      </c>
      <c r="K258" s="1" t="s">
        <v>90</v>
      </c>
      <c r="L258" s="4">
        <v>9300</v>
      </c>
      <c r="M258" s="6">
        <v>-46.1</v>
      </c>
      <c r="N258" s="7">
        <f>IF(AND(L258 &lt;&gt; "-", M258 &lt;&gt; "-"),L258*( 1 + M258%),0)</f>
      </c>
      <c r="O258" s="7">
        <f>( N258 * E258 )</f>
      </c>
      <c r="P258" s="1" t="s">
        <v>649</v>
      </c>
      <c r="Q258" s="6">
        <v>1.01</v>
      </c>
      <c r="R258" s="6">
        <v>62.7</v>
      </c>
      <c r="S258" s="4">
        <v>58</v>
      </c>
      <c r="T258" s="1" t="s">
        <v>42</v>
      </c>
      <c r="U258" s="5">
        <f>HYPERLINK("https://www.gia.edu/report-check?reportno=1458049102","1458049102")</f>
      </c>
      <c r="V258" s="1" t="s">
        <v>43</v>
      </c>
      <c r="W258" s="1" t="s">
        <v>122</v>
      </c>
      <c r="X258" s="1" t="s">
        <v>46</v>
      </c>
      <c r="Y258" s="1" t="s">
        <v>40</v>
      </c>
      <c r="Z258" s="1" t="s">
        <v>46</v>
      </c>
      <c r="AA258" s="1" t="s">
        <v>47</v>
      </c>
      <c r="AB258" s="1" t="s">
        <v>47</v>
      </c>
      <c r="AC258" s="1" t="s">
        <v>48</v>
      </c>
      <c r="AD258" s="1" t="s">
        <v>43</v>
      </c>
      <c r="AE258" s="8">
        <f>IF(L258&lt;&gt;"",L258*E258,0)</f>
      </c>
    </row>
    <row r="259" spans="1:31" x14ac:dyDescent="0.25">
      <c r="A259" s="4">
        <v>254</v>
      </c>
      <c r="B259" s="1" t="s">
        <v>650</v>
      </c>
      <c r="C259" s="5">
        <f>HYPERLINK("https://client.unique.diamonds/dna/11147-77","DNA")</f>
      </c>
      <c r="D259" s="1" t="s">
        <v>36</v>
      </c>
      <c r="E259" s="6">
        <v>2.5</v>
      </c>
      <c r="F259" s="1" t="s">
        <v>208</v>
      </c>
      <c r="G259" s="1" t="s">
        <v>420</v>
      </c>
      <c r="H259" s="1" t="s">
        <v>39</v>
      </c>
      <c r="I259" s="1" t="s">
        <v>39</v>
      </c>
      <c r="J259" s="1" t="s">
        <v>39</v>
      </c>
      <c r="K259" s="1" t="s">
        <v>40</v>
      </c>
      <c r="L259" s="4">
        <v>9300</v>
      </c>
      <c r="M259" s="6">
        <v>-34</v>
      </c>
      <c r="N259" s="7">
        <f>IF(AND(L259 &lt;&gt; "-", M259 &lt;&gt; "-"),L259*( 1 + M259%),0)</f>
      </c>
      <c r="O259" s="7">
        <f>( N259 * E259 )</f>
      </c>
      <c r="P259" s="1" t="s">
        <v>651</v>
      </c>
      <c r="Q259" s="6">
        <v>1.01</v>
      </c>
      <c r="R259" s="6">
        <v>62.2</v>
      </c>
      <c r="S259" s="4">
        <v>59</v>
      </c>
      <c r="T259" s="1" t="s">
        <v>42</v>
      </c>
      <c r="U259" s="5">
        <f>HYPERLINK("https://www.gia.edu/report-check?reportno=7431705980","7431705980")</f>
      </c>
      <c r="V259" s="1" t="s">
        <v>43</v>
      </c>
      <c r="W259" s="1" t="s">
        <v>652</v>
      </c>
      <c r="X259" s="1" t="s">
        <v>59</v>
      </c>
      <c r="Y259" s="1" t="s">
        <v>40</v>
      </c>
      <c r="Z259" s="1" t="s">
        <v>46</v>
      </c>
      <c r="AA259" s="1" t="s">
        <v>47</v>
      </c>
      <c r="AB259" s="1" t="s">
        <v>47</v>
      </c>
      <c r="AC259" s="1" t="s">
        <v>329</v>
      </c>
      <c r="AD259" s="1" t="s">
        <v>43</v>
      </c>
      <c r="AE259" s="8">
        <f>IF(L259&lt;&gt;"",L259*E259,0)</f>
      </c>
    </row>
    <row r="260" spans="1:31" x14ac:dyDescent="0.25">
      <c r="A260" s="4">
        <v>255</v>
      </c>
      <c r="B260" s="1" t="s">
        <v>653</v>
      </c>
      <c r="C260" s="5">
        <f>HYPERLINK("https://client.unique.diamonds/dna/162-71","DNA")</f>
      </c>
      <c r="D260" s="1" t="s">
        <v>36</v>
      </c>
      <c r="E260" s="6">
        <v>3.01</v>
      </c>
      <c r="F260" s="1" t="s">
        <v>208</v>
      </c>
      <c r="G260" s="1" t="s">
        <v>420</v>
      </c>
      <c r="H260" s="1" t="s">
        <v>39</v>
      </c>
      <c r="I260" s="1" t="s">
        <v>39</v>
      </c>
      <c r="J260" s="1" t="s">
        <v>39</v>
      </c>
      <c r="K260" s="1" t="s">
        <v>90</v>
      </c>
      <c r="L260" s="4">
        <v>13500</v>
      </c>
      <c r="M260" s="6">
        <v>-41.75</v>
      </c>
      <c r="N260" s="7">
        <f>IF(AND(L260 &lt;&gt; "-", M260 &lt;&gt; "-"),L260*( 1 + M260%),0)</f>
      </c>
      <c r="O260" s="7">
        <f>( N260 * E260 )</f>
      </c>
      <c r="P260" s="1" t="s">
        <v>654</v>
      </c>
      <c r="Q260" s="6">
        <v>1</v>
      </c>
      <c r="R260" s="6">
        <v>62.5</v>
      </c>
      <c r="S260" s="4">
        <v>59</v>
      </c>
      <c r="T260" s="1" t="s">
        <v>42</v>
      </c>
      <c r="U260" s="5">
        <f>HYPERLINK("https://www.gia.edu/report-check?reportno=1448045047","1448045047")</f>
      </c>
      <c r="V260" s="1" t="s">
        <v>43</v>
      </c>
      <c r="W260" s="1" t="s">
        <v>484</v>
      </c>
      <c r="X260" s="1" t="s">
        <v>45</v>
      </c>
      <c r="Y260" s="1" t="s">
        <v>40</v>
      </c>
      <c r="Z260" s="1" t="s">
        <v>45</v>
      </c>
      <c r="AA260" s="1" t="s">
        <v>47</v>
      </c>
      <c r="AB260" s="1" t="s">
        <v>47</v>
      </c>
      <c r="AC260" s="1" t="s">
        <v>48</v>
      </c>
      <c r="AD260" s="1" t="s">
        <v>43</v>
      </c>
      <c r="AE260" s="8">
        <f>IF(L260&lt;&gt;"",L260*E260,0)</f>
      </c>
    </row>
    <row r="261" spans="1:31" x14ac:dyDescent="0.25">
      <c r="A261" s="4">
        <v>256</v>
      </c>
      <c r="B261" s="1" t="s">
        <v>655</v>
      </c>
      <c r="C261" s="5">
        <f>HYPERLINK("https://client.unique.diamonds/dna/11274-49","DNA")</f>
      </c>
      <c r="D261" s="1" t="s">
        <v>36</v>
      </c>
      <c r="E261" s="6">
        <v>3.03</v>
      </c>
      <c r="F261" s="1" t="s">
        <v>208</v>
      </c>
      <c r="G261" s="1" t="s">
        <v>420</v>
      </c>
      <c r="H261" s="1" t="s">
        <v>39</v>
      </c>
      <c r="I261" s="1" t="s">
        <v>39</v>
      </c>
      <c r="J261" s="1" t="s">
        <v>39</v>
      </c>
      <c r="K261" s="1" t="s">
        <v>40</v>
      </c>
      <c r="L261" s="4">
        <v>13500</v>
      </c>
      <c r="M261" s="6">
        <v>-39</v>
      </c>
      <c r="N261" s="7">
        <f>IF(AND(L261 &lt;&gt; "-", M261 &lt;&gt; "-"),L261*( 1 + M261%),0)</f>
      </c>
      <c r="O261" s="7">
        <f>( N261 * E261 )</f>
      </c>
      <c r="P261" s="1" t="s">
        <v>656</v>
      </c>
      <c r="Q261" s="6">
        <v>1.01</v>
      </c>
      <c r="R261" s="6">
        <v>62.1</v>
      </c>
      <c r="S261" s="4">
        <v>59</v>
      </c>
      <c r="T261" s="1" t="s">
        <v>42</v>
      </c>
      <c r="U261" s="5">
        <f>HYPERLINK("https://www.gia.edu/report-check?reportno=7446922812","7446922812")</f>
      </c>
      <c r="V261" s="1" t="s">
        <v>43</v>
      </c>
      <c r="W261" s="1" t="s">
        <v>657</v>
      </c>
      <c r="X261" s="1" t="s">
        <v>45</v>
      </c>
      <c r="Y261" s="1" t="s">
        <v>40</v>
      </c>
      <c r="Z261" s="1" t="s">
        <v>46</v>
      </c>
      <c r="AA261" s="1" t="s">
        <v>47</v>
      </c>
      <c r="AB261" s="1" t="s">
        <v>73</v>
      </c>
      <c r="AC261" s="1" t="s">
        <v>48</v>
      </c>
      <c r="AD261" s="1" t="s">
        <v>43</v>
      </c>
      <c r="AE261" s="8">
        <f>IF(L261&lt;&gt;"",L261*E261,0)</f>
      </c>
    </row>
    <row r="262" spans="1:31" x14ac:dyDescent="0.25">
      <c r="A262" s="4">
        <v>257</v>
      </c>
      <c r="B262" s="1" t="s">
        <v>658</v>
      </c>
      <c r="C262" s="5">
        <f>HYPERLINK("https://client.unique.diamonds/dna/11254-55","DNA")</f>
      </c>
      <c r="D262" s="1" t="s">
        <v>36</v>
      </c>
      <c r="E262" s="6">
        <v>1.5</v>
      </c>
      <c r="F262" s="1" t="s">
        <v>37</v>
      </c>
      <c r="G262" s="1" t="s">
        <v>659</v>
      </c>
      <c r="H262" s="1" t="s">
        <v>39</v>
      </c>
      <c r="I262" s="1" t="s">
        <v>39</v>
      </c>
      <c r="J262" s="1" t="s">
        <v>39</v>
      </c>
      <c r="K262" s="1" t="s">
        <v>40</v>
      </c>
      <c r="L262" s="4">
        <v>10000</v>
      </c>
      <c r="M262" s="6">
        <v>-46.68</v>
      </c>
      <c r="N262" s="7">
        <f>IF(AND(L262 &lt;&gt; "-", M262 &lt;&gt; "-"),L262*( 1 + M262%),0)</f>
      </c>
      <c r="O262" s="7">
        <f>( N262 * E262 )</f>
      </c>
      <c r="P262" s="1" t="s">
        <v>660</v>
      </c>
      <c r="Q262" s="6">
        <v>1.01</v>
      </c>
      <c r="R262" s="6">
        <v>60.6</v>
      </c>
      <c r="S262" s="4">
        <v>58</v>
      </c>
      <c r="T262" s="1" t="s">
        <v>42</v>
      </c>
      <c r="U262" s="5">
        <f>HYPERLINK("https://www.gia.edu/report-check?reportno=7448802165","7448802165")</f>
      </c>
      <c r="V262" s="1" t="s">
        <v>43</v>
      </c>
      <c r="W262" s="1" t="s">
        <v>88</v>
      </c>
      <c r="X262" s="1" t="s">
        <v>46</v>
      </c>
      <c r="Y262" s="1" t="s">
        <v>40</v>
      </c>
      <c r="Z262" s="1" t="s">
        <v>45</v>
      </c>
      <c r="AA262" s="1" t="s">
        <v>367</v>
      </c>
      <c r="AB262" s="1" t="s">
        <v>47</v>
      </c>
      <c r="AC262" s="1" t="s">
        <v>48</v>
      </c>
      <c r="AD262" s="1" t="s">
        <v>43</v>
      </c>
      <c r="AE262" s="8">
        <f>IF(L262&lt;&gt;"",L262*E262,0)</f>
      </c>
    </row>
    <row r="263" spans="1:31" x14ac:dyDescent="0.25">
      <c r="A263" s="4">
        <v>258</v>
      </c>
      <c r="B263" s="1" t="s">
        <v>661</v>
      </c>
      <c r="C263" s="5">
        <f>HYPERLINK("https://client.unique.diamonds/dna/12075-63","DNA")</f>
      </c>
      <c r="D263" s="1" t="s">
        <v>36</v>
      </c>
      <c r="E263" s="6">
        <v>1.5</v>
      </c>
      <c r="F263" s="1" t="s">
        <v>37</v>
      </c>
      <c r="G263" s="1" t="s">
        <v>659</v>
      </c>
      <c r="H263" s="1" t="s">
        <v>39</v>
      </c>
      <c r="I263" s="1" t="s">
        <v>39</v>
      </c>
      <c r="J263" s="1" t="s">
        <v>39</v>
      </c>
      <c r="K263" s="1" t="s">
        <v>40</v>
      </c>
      <c r="L263" s="4">
        <v>10000</v>
      </c>
      <c r="M263" s="6">
        <v>-48.71</v>
      </c>
      <c r="N263" s="7">
        <f>IF(AND(L263 &lt;&gt; "-", M263 &lt;&gt; "-"),L263*( 1 + M263%),0)</f>
      </c>
      <c r="O263" s="7">
        <f>( N263 * E263 )</f>
      </c>
      <c r="P263" s="1" t="s">
        <v>662</v>
      </c>
      <c r="Q263" s="6">
        <v>1.01</v>
      </c>
      <c r="R263" s="6">
        <v>62.7</v>
      </c>
      <c r="S263" s="4">
        <v>58</v>
      </c>
      <c r="T263" s="1" t="s">
        <v>42</v>
      </c>
      <c r="U263" s="5">
        <f>HYPERLINK("https://www.gia.edu/report-check?reportno=3455038721","3455038721")</f>
      </c>
      <c r="V263" s="1" t="s">
        <v>43</v>
      </c>
      <c r="W263" s="1" t="s">
        <v>67</v>
      </c>
      <c r="X263" s="1" t="s">
        <v>59</v>
      </c>
      <c r="Y263" s="1" t="s">
        <v>40</v>
      </c>
      <c r="Z263" s="1" t="s">
        <v>59</v>
      </c>
      <c r="AA263" s="1" t="s">
        <v>367</v>
      </c>
      <c r="AB263" s="1" t="s">
        <v>47</v>
      </c>
      <c r="AC263" s="1" t="s">
        <v>48</v>
      </c>
      <c r="AD263" s="1" t="s">
        <v>43</v>
      </c>
      <c r="AE263" s="8">
        <f>IF(L263&lt;&gt;"",L263*E263,0)</f>
      </c>
    </row>
    <row r="264" spans="1:31" x14ac:dyDescent="0.25">
      <c r="A264" s="4">
        <v>259</v>
      </c>
      <c r="B264" s="1" t="s">
        <v>663</v>
      </c>
      <c r="C264" s="5">
        <f>HYPERLINK("https://client.unique.diamonds/dna/11185-44","DNA")</f>
      </c>
      <c r="D264" s="1" t="s">
        <v>36</v>
      </c>
      <c r="E264" s="6">
        <v>1.5</v>
      </c>
      <c r="F264" s="1" t="s">
        <v>37</v>
      </c>
      <c r="G264" s="1" t="s">
        <v>659</v>
      </c>
      <c r="H264" s="1" t="s">
        <v>39</v>
      </c>
      <c r="I264" s="1" t="s">
        <v>39</v>
      </c>
      <c r="J264" s="1" t="s">
        <v>39</v>
      </c>
      <c r="K264" s="1" t="s">
        <v>94</v>
      </c>
      <c r="L264" s="4">
        <v>10000</v>
      </c>
      <c r="M264" s="6">
        <v>-53.27</v>
      </c>
      <c r="N264" s="7">
        <f>IF(AND(L264 &lt;&gt; "-", M264 &lt;&gt; "-"),L264*( 1 + M264%),0)</f>
      </c>
      <c r="O264" s="7">
        <f>( N264 * E264 )</f>
      </c>
      <c r="P264" s="1" t="s">
        <v>664</v>
      </c>
      <c r="Q264" s="6">
        <v>1.01</v>
      </c>
      <c r="R264" s="6">
        <v>62.7</v>
      </c>
      <c r="S264" s="4">
        <v>58</v>
      </c>
      <c r="T264" s="1" t="s">
        <v>42</v>
      </c>
      <c r="U264" s="5">
        <f>HYPERLINK("https://www.gia.edu/report-check?reportno=6445080232","6445080232")</f>
      </c>
      <c r="V264" s="1" t="s">
        <v>43</v>
      </c>
      <c r="W264" s="1" t="s">
        <v>665</v>
      </c>
      <c r="X264" s="1" t="s">
        <v>418</v>
      </c>
      <c r="Y264" s="1" t="s">
        <v>40</v>
      </c>
      <c r="Z264" s="1" t="s">
        <v>46</v>
      </c>
      <c r="AA264" s="1" t="s">
        <v>40</v>
      </c>
      <c r="AB264" s="1" t="s">
        <v>40</v>
      </c>
      <c r="AC264" s="1" t="s">
        <v>329</v>
      </c>
      <c r="AD264" s="1" t="s">
        <v>43</v>
      </c>
      <c r="AE264" s="8">
        <f>IF(L264&lt;&gt;"",L264*E264,0)</f>
      </c>
    </row>
    <row r="265" spans="1:31" x14ac:dyDescent="0.25">
      <c r="A265" s="4">
        <v>260</v>
      </c>
      <c r="B265" s="1" t="s">
        <v>666</v>
      </c>
      <c r="C265" s="5">
        <f>HYPERLINK("https://client.unique.diamonds/dna/11189-85","DNA")</f>
      </c>
      <c r="D265" s="1" t="s">
        <v>36</v>
      </c>
      <c r="E265" s="6">
        <v>1.51</v>
      </c>
      <c r="F265" s="1" t="s">
        <v>37</v>
      </c>
      <c r="G265" s="1" t="s">
        <v>659</v>
      </c>
      <c r="H265" s="1" t="s">
        <v>39</v>
      </c>
      <c r="I265" s="1" t="s">
        <v>39</v>
      </c>
      <c r="J265" s="1" t="s">
        <v>39</v>
      </c>
      <c r="K265" s="1" t="s">
        <v>40</v>
      </c>
      <c r="L265" s="4">
        <v>10000</v>
      </c>
      <c r="M265" s="6">
        <v>-46</v>
      </c>
      <c r="N265" s="7">
        <f>IF(AND(L265 &lt;&gt; "-", M265 &lt;&gt; "-"),L265*( 1 + M265%),0)</f>
      </c>
      <c r="O265" s="7">
        <f>( N265 * E265 )</f>
      </c>
      <c r="P265" s="1" t="s">
        <v>667</v>
      </c>
      <c r="Q265" s="6">
        <v>1.01</v>
      </c>
      <c r="R265" s="6">
        <v>62.7</v>
      </c>
      <c r="S265" s="4">
        <v>58</v>
      </c>
      <c r="T265" s="1" t="s">
        <v>42</v>
      </c>
      <c r="U265" s="5">
        <f>HYPERLINK("https://www.gia.edu/report-check?reportno=6441125396","6441125396")</f>
      </c>
      <c r="V265" s="1" t="s">
        <v>43</v>
      </c>
      <c r="W265" s="1" t="s">
        <v>67</v>
      </c>
      <c r="X265" s="1" t="s">
        <v>59</v>
      </c>
      <c r="Y265" s="1" t="s">
        <v>40</v>
      </c>
      <c r="Z265" s="1" t="s">
        <v>46</v>
      </c>
      <c r="AA265" s="1" t="s">
        <v>367</v>
      </c>
      <c r="AB265" s="1" t="s">
        <v>47</v>
      </c>
      <c r="AC265" s="1" t="s">
        <v>48</v>
      </c>
      <c r="AD265" s="1" t="s">
        <v>43</v>
      </c>
      <c r="AE265" s="8">
        <f>IF(L265&lt;&gt;"",L265*E265,0)</f>
      </c>
    </row>
    <row r="266" spans="1:31" x14ac:dyDescent="0.25">
      <c r="A266" s="4">
        <v>261</v>
      </c>
      <c r="B266" s="1" t="s">
        <v>668</v>
      </c>
      <c r="C266" s="5">
        <f>HYPERLINK("https://client.unique.diamonds/dna/22018-66","DNA")</f>
      </c>
      <c r="D266" s="1" t="s">
        <v>36</v>
      </c>
      <c r="E266" s="6">
        <v>1.51</v>
      </c>
      <c r="F266" s="1" t="s">
        <v>37</v>
      </c>
      <c r="G266" s="1" t="s">
        <v>659</v>
      </c>
      <c r="H266" s="1" t="s">
        <v>39</v>
      </c>
      <c r="I266" s="1" t="s">
        <v>39</v>
      </c>
      <c r="J266" s="1" t="s">
        <v>39</v>
      </c>
      <c r="K266" s="1" t="s">
        <v>94</v>
      </c>
      <c r="L266" s="4">
        <v>10000</v>
      </c>
      <c r="M266" s="6">
        <v>-50</v>
      </c>
      <c r="N266" s="7">
        <f>IF(AND(L266 &lt;&gt; "-", M266 &lt;&gt; "-"),L266*( 1 + M266%),0)</f>
      </c>
      <c r="O266" s="7">
        <f>( N266 * E266 )</f>
      </c>
      <c r="P266" s="1" t="s">
        <v>669</v>
      </c>
      <c r="Q266" s="6">
        <v>1</v>
      </c>
      <c r="R266" s="6">
        <v>62.5</v>
      </c>
      <c r="S266" s="4">
        <v>57</v>
      </c>
      <c r="T266" s="1" t="s">
        <v>42</v>
      </c>
      <c r="U266" s="5">
        <f>HYPERLINK("https://www.gia.edu/report-check?reportno=7468709062","7468709062")</f>
      </c>
      <c r="V266" s="1" t="s">
        <v>43</v>
      </c>
      <c r="W266" s="1" t="s">
        <v>67</v>
      </c>
      <c r="X266" s="1" t="s">
        <v>46</v>
      </c>
      <c r="Y266" s="1" t="s">
        <v>40</v>
      </c>
      <c r="Z266" s="1" t="s">
        <v>46</v>
      </c>
      <c r="AA266" s="1" t="s">
        <v>47</v>
      </c>
      <c r="AB266" s="1" t="s">
        <v>47</v>
      </c>
      <c r="AC266" s="1" t="s">
        <v>48</v>
      </c>
      <c r="AD266" s="1" t="s">
        <v>43</v>
      </c>
      <c r="AE266" s="8">
        <f>IF(L266&lt;&gt;"",L266*E266,0)</f>
      </c>
    </row>
    <row r="267" spans="1:31" x14ac:dyDescent="0.25">
      <c r="A267" s="4">
        <v>262</v>
      </c>
      <c r="B267" s="1" t="s">
        <v>670</v>
      </c>
      <c r="C267" s="5">
        <f>HYPERLINK("https://client.unique.diamonds/dna/21027-57","DNA")</f>
      </c>
      <c r="D267" s="1" t="s">
        <v>36</v>
      </c>
      <c r="E267" s="6">
        <v>1.81</v>
      </c>
      <c r="F267" s="1" t="s">
        <v>37</v>
      </c>
      <c r="G267" s="1" t="s">
        <v>659</v>
      </c>
      <c r="H267" s="1" t="s">
        <v>39</v>
      </c>
      <c r="I267" s="1" t="s">
        <v>39</v>
      </c>
      <c r="J267" s="1" t="s">
        <v>39</v>
      </c>
      <c r="K267" s="1" t="s">
        <v>40</v>
      </c>
      <c r="L267" s="4">
        <v>10000</v>
      </c>
      <c r="M267" s="6">
        <v>-29.94</v>
      </c>
      <c r="N267" s="7">
        <f>IF(AND(L267 &lt;&gt; "-", M267 &lt;&gt; "-"),L267*( 1 + M267%),0)</f>
      </c>
      <c r="O267" s="7">
        <f>( N267 * E267 )</f>
      </c>
      <c r="P267" s="1" t="s">
        <v>671</v>
      </c>
      <c r="Q267" s="6">
        <v>1</v>
      </c>
      <c r="R267" s="6">
        <v>61.9</v>
      </c>
      <c r="S267" s="4">
        <v>57</v>
      </c>
      <c r="T267" s="1" t="s">
        <v>42</v>
      </c>
      <c r="U267" s="5">
        <f>HYPERLINK("https://www.gia.edu/report-check?reportno=6451702641","6451702641")</f>
      </c>
      <c r="V267" s="1" t="s">
        <v>43</v>
      </c>
      <c r="W267" s="1" t="s">
        <v>67</v>
      </c>
      <c r="X267" s="1" t="s">
        <v>59</v>
      </c>
      <c r="Y267" s="1" t="s">
        <v>40</v>
      </c>
      <c r="Z267" s="1" t="s">
        <v>59</v>
      </c>
      <c r="AA267" s="1" t="s">
        <v>47</v>
      </c>
      <c r="AB267" s="1" t="s">
        <v>47</v>
      </c>
      <c r="AC267" s="1" t="s">
        <v>48</v>
      </c>
      <c r="AD267" s="1" t="s">
        <v>43</v>
      </c>
      <c r="AE267" s="8">
        <f>IF(L267&lt;&gt;"",L267*E267,0)</f>
      </c>
    </row>
    <row r="268" spans="1:31" x14ac:dyDescent="0.25">
      <c r="A268" s="4">
        <v>263</v>
      </c>
      <c r="B268" s="1" t="s">
        <v>672</v>
      </c>
      <c r="C268" s="5">
        <f>HYPERLINK("https://client.unique.diamonds/dna/12056-45","DNA")</f>
      </c>
      <c r="D268" s="1" t="s">
        <v>36</v>
      </c>
      <c r="E268" s="6">
        <v>2.02</v>
      </c>
      <c r="F268" s="1" t="s">
        <v>37</v>
      </c>
      <c r="G268" s="1" t="s">
        <v>659</v>
      </c>
      <c r="H268" s="1" t="s">
        <v>39</v>
      </c>
      <c r="I268" s="1" t="s">
        <v>39</v>
      </c>
      <c r="J268" s="1" t="s">
        <v>39</v>
      </c>
      <c r="K268" s="1" t="s">
        <v>90</v>
      </c>
      <c r="L268" s="4">
        <v>13800</v>
      </c>
      <c r="M268" s="6">
        <v>-42</v>
      </c>
      <c r="N268" s="7">
        <f>IF(AND(L268 &lt;&gt; "-", M268 &lt;&gt; "-"),L268*( 1 + M268%),0)</f>
      </c>
      <c r="O268" s="7">
        <f>( N268 * E268 )</f>
      </c>
      <c r="P268" s="1" t="s">
        <v>673</v>
      </c>
      <c r="Q268" s="6">
        <v>1</v>
      </c>
      <c r="R268" s="6">
        <v>62.3</v>
      </c>
      <c r="S268" s="4">
        <v>58</v>
      </c>
      <c r="T268" s="1" t="s">
        <v>42</v>
      </c>
      <c r="U268" s="5">
        <f>HYPERLINK("https://www.gia.edu/report-check?reportno=7431858264","7431858264")</f>
      </c>
      <c r="V268" s="1" t="s">
        <v>43</v>
      </c>
      <c r="W268" s="1" t="s">
        <v>319</v>
      </c>
      <c r="X268" s="1" t="s">
        <v>59</v>
      </c>
      <c r="Y268" s="1" t="s">
        <v>40</v>
      </c>
      <c r="Z268" s="1" t="s">
        <v>46</v>
      </c>
      <c r="AA268" s="1" t="s">
        <v>52</v>
      </c>
      <c r="AB268" s="1" t="s">
        <v>73</v>
      </c>
      <c r="AC268" s="1" t="s">
        <v>226</v>
      </c>
      <c r="AD268" s="1" t="s">
        <v>43</v>
      </c>
      <c r="AE268" s="8">
        <f>IF(L268&lt;&gt;"",L268*E268,0)</f>
      </c>
    </row>
    <row r="269" spans="1:31" x14ac:dyDescent="0.25">
      <c r="A269" s="4">
        <v>264</v>
      </c>
      <c r="B269" s="1" t="s">
        <v>674</v>
      </c>
      <c r="C269" s="5">
        <f>HYPERLINK("https://client.unique.diamonds/dna/21135-29","DNA")</f>
      </c>
      <c r="D269" s="1" t="s">
        <v>36</v>
      </c>
      <c r="E269" s="6">
        <v>2.06</v>
      </c>
      <c r="F269" s="1" t="s">
        <v>37</v>
      </c>
      <c r="G269" s="1" t="s">
        <v>659</v>
      </c>
      <c r="H269" s="1" t="s">
        <v>39</v>
      </c>
      <c r="I269" s="1" t="s">
        <v>39</v>
      </c>
      <c r="J269" s="1" t="s">
        <v>39</v>
      </c>
      <c r="K269" s="1" t="s">
        <v>40</v>
      </c>
      <c r="L269" s="4">
        <v>13800</v>
      </c>
      <c r="M269" s="6">
        <v>-34</v>
      </c>
      <c r="N269" s="7">
        <f>IF(AND(L269 &lt;&gt; "-", M269 &lt;&gt; "-"),L269*( 1 + M269%),0)</f>
      </c>
      <c r="O269" s="7">
        <f>( N269 * E269 )</f>
      </c>
      <c r="P269" s="1" t="s">
        <v>675</v>
      </c>
      <c r="Q269" s="6">
        <v>1.01</v>
      </c>
      <c r="R269" s="6">
        <v>61.3</v>
      </c>
      <c r="S269" s="4">
        <v>59</v>
      </c>
      <c r="T269" s="1" t="s">
        <v>42</v>
      </c>
      <c r="U269" s="5">
        <f>HYPERLINK("https://www.gia.edu/report-check?reportno=7466709756","7466709756")</f>
      </c>
      <c r="V269" s="1" t="s">
        <v>43</v>
      </c>
      <c r="W269" s="1" t="s">
        <v>408</v>
      </c>
      <c r="X269" s="1" t="s">
        <v>59</v>
      </c>
      <c r="Y269" s="1" t="s">
        <v>40</v>
      </c>
      <c r="Z269" s="1" t="s">
        <v>59</v>
      </c>
      <c r="AA269" s="1" t="s">
        <v>47</v>
      </c>
      <c r="AB269" s="1" t="s">
        <v>47</v>
      </c>
      <c r="AC269" s="1" t="s">
        <v>48</v>
      </c>
      <c r="AD269" s="1" t="s">
        <v>43</v>
      </c>
      <c r="AE269" s="8">
        <f>IF(L269&lt;&gt;"",L269*E269,0)</f>
      </c>
    </row>
    <row r="270" spans="1:31" x14ac:dyDescent="0.25">
      <c r="A270" s="4">
        <v>265</v>
      </c>
      <c r="B270" s="1" t="s">
        <v>676</v>
      </c>
      <c r="C270" s="5">
        <f>HYPERLINK("https://client.unique.diamonds/dna/12046-30","DNA")</f>
      </c>
      <c r="D270" s="1" t="s">
        <v>36</v>
      </c>
      <c r="E270" s="6">
        <v>1.51</v>
      </c>
      <c r="F270" s="1" t="s">
        <v>61</v>
      </c>
      <c r="G270" s="1" t="s">
        <v>659</v>
      </c>
      <c r="H270" s="1" t="s">
        <v>39</v>
      </c>
      <c r="I270" s="1" t="s">
        <v>39</v>
      </c>
      <c r="J270" s="1" t="s">
        <v>39</v>
      </c>
      <c r="K270" s="1" t="s">
        <v>40</v>
      </c>
      <c r="L270" s="4">
        <v>9300</v>
      </c>
      <c r="M270" s="6">
        <v>-42.25</v>
      </c>
      <c r="N270" s="7">
        <f>IF(AND(L270 &lt;&gt; "-", M270 &lt;&gt; "-"),L270*( 1 + M270%),0)</f>
      </c>
      <c r="O270" s="7">
        <f>( N270 * E270 )</f>
      </c>
      <c r="P270" s="1" t="s">
        <v>677</v>
      </c>
      <c r="Q270" s="6">
        <v>1</v>
      </c>
      <c r="R270" s="6">
        <v>59.5</v>
      </c>
      <c r="S270" s="4">
        <v>60</v>
      </c>
      <c r="T270" s="1" t="s">
        <v>42</v>
      </c>
      <c r="U270" s="5">
        <f>HYPERLINK("https://www.gia.edu/report-check?reportno=1435361476","1435361476")</f>
      </c>
      <c r="V270" s="1" t="s">
        <v>43</v>
      </c>
      <c r="W270" s="1" t="s">
        <v>204</v>
      </c>
      <c r="X270" s="1" t="s">
        <v>357</v>
      </c>
      <c r="Y270" s="1" t="s">
        <v>40</v>
      </c>
      <c r="Z270" s="1" t="s">
        <v>45</v>
      </c>
      <c r="AA270" s="1" t="s">
        <v>52</v>
      </c>
      <c r="AB270" s="1" t="s">
        <v>73</v>
      </c>
      <c r="AC270" s="1" t="s">
        <v>329</v>
      </c>
      <c r="AD270" s="1" t="s">
        <v>43</v>
      </c>
      <c r="AE270" s="8">
        <f>IF(L270&lt;&gt;"",L270*E270,0)</f>
      </c>
    </row>
    <row r="271" spans="1:31" x14ac:dyDescent="0.25">
      <c r="A271" s="4">
        <v>266</v>
      </c>
      <c r="B271" s="1" t="s">
        <v>678</v>
      </c>
      <c r="C271" s="5">
        <f>HYPERLINK("https://client.unique.diamonds/dna/163-303","DNA")</f>
      </c>
      <c r="D271" s="1" t="s">
        <v>36</v>
      </c>
      <c r="E271" s="6">
        <v>1.8</v>
      </c>
      <c r="F271" s="1" t="s">
        <v>61</v>
      </c>
      <c r="G271" s="1" t="s">
        <v>659</v>
      </c>
      <c r="H271" s="1" t="s">
        <v>39</v>
      </c>
      <c r="I271" s="1" t="s">
        <v>39</v>
      </c>
      <c r="J271" s="1" t="s">
        <v>39</v>
      </c>
      <c r="K271" s="1" t="s">
        <v>90</v>
      </c>
      <c r="L271" s="4">
        <v>9300</v>
      </c>
      <c r="M271" s="6">
        <v>-37.98</v>
      </c>
      <c r="N271" s="7">
        <f>IF(AND(L271 &lt;&gt; "-", M271 &lt;&gt; "-"),L271*( 1 + M271%),0)</f>
      </c>
      <c r="O271" s="7">
        <f>( N271 * E271 )</f>
      </c>
      <c r="P271" s="1" t="s">
        <v>679</v>
      </c>
      <c r="Q271" s="6">
        <v>1.01</v>
      </c>
      <c r="R271" s="6">
        <v>62.9</v>
      </c>
      <c r="S271" s="4">
        <v>56</v>
      </c>
      <c r="T271" s="1" t="s">
        <v>42</v>
      </c>
      <c r="U271" s="5">
        <f>HYPERLINK("https://www.gia.edu/report-check?reportno=7448316513","7448316513")</f>
      </c>
      <c r="V271" s="1" t="s">
        <v>43</v>
      </c>
      <c r="W271" s="1" t="s">
        <v>680</v>
      </c>
      <c r="X271" s="1" t="s">
        <v>45</v>
      </c>
      <c r="Y271" s="1" t="s">
        <v>40</v>
      </c>
      <c r="Z271" s="1" t="s">
        <v>45</v>
      </c>
      <c r="AA271" s="1" t="s">
        <v>367</v>
      </c>
      <c r="AB271" s="1" t="s">
        <v>47</v>
      </c>
      <c r="AC271" s="1" t="s">
        <v>48</v>
      </c>
      <c r="AD271" s="1" t="s">
        <v>43</v>
      </c>
      <c r="AE271" s="8">
        <f>IF(L271&lt;&gt;"",L271*E271,0)</f>
      </c>
    </row>
    <row r="272" spans="1:31" x14ac:dyDescent="0.25">
      <c r="A272" s="4">
        <v>267</v>
      </c>
      <c r="B272" s="1" t="s">
        <v>681</v>
      </c>
      <c r="C272" s="5">
        <f>HYPERLINK("https://client.unique.diamonds/dna/11121-3","DNA")</f>
      </c>
      <c r="D272" s="1" t="s">
        <v>36</v>
      </c>
      <c r="E272" s="6">
        <v>2</v>
      </c>
      <c r="F272" s="1" t="s">
        <v>61</v>
      </c>
      <c r="G272" s="1" t="s">
        <v>659</v>
      </c>
      <c r="H272" s="1" t="s">
        <v>39</v>
      </c>
      <c r="I272" s="1" t="s">
        <v>39</v>
      </c>
      <c r="J272" s="1" t="s">
        <v>39</v>
      </c>
      <c r="K272" s="1" t="s">
        <v>40</v>
      </c>
      <c r="L272" s="4">
        <v>12800</v>
      </c>
      <c r="M272" s="6">
        <v>-41.5</v>
      </c>
      <c r="N272" s="7">
        <f>IF(AND(L272 &lt;&gt; "-", M272 &lt;&gt; "-"),L272*( 1 + M272%),0)</f>
      </c>
      <c r="O272" s="7">
        <f>( N272 * E272 )</f>
      </c>
      <c r="P272" s="1" t="s">
        <v>682</v>
      </c>
      <c r="Q272" s="6">
        <v>1.01</v>
      </c>
      <c r="R272" s="6">
        <v>61.1</v>
      </c>
      <c r="S272" s="4">
        <v>59</v>
      </c>
      <c r="T272" s="1" t="s">
        <v>42</v>
      </c>
      <c r="U272" s="5">
        <f>HYPERLINK("https://www.gia.edu/report-check?reportno=7438252271","7438252271")</f>
      </c>
      <c r="V272" s="1" t="s">
        <v>43</v>
      </c>
      <c r="W272" s="1" t="s">
        <v>67</v>
      </c>
      <c r="X272" s="1" t="s">
        <v>46</v>
      </c>
      <c r="Y272" s="1" t="s">
        <v>40</v>
      </c>
      <c r="Z272" s="1" t="s">
        <v>418</v>
      </c>
      <c r="AA272" s="1" t="s">
        <v>47</v>
      </c>
      <c r="AB272" s="1" t="s">
        <v>47</v>
      </c>
      <c r="AC272" s="1" t="s">
        <v>48</v>
      </c>
      <c r="AD272" s="1" t="s">
        <v>43</v>
      </c>
      <c r="AE272" s="8">
        <f>IF(L272&lt;&gt;"",L272*E272,0)</f>
      </c>
    </row>
    <row r="273" spans="1:31" x14ac:dyDescent="0.25">
      <c r="A273" s="4">
        <v>268</v>
      </c>
      <c r="B273" s="1" t="s">
        <v>683</v>
      </c>
      <c r="C273" s="5">
        <f>HYPERLINK("https://client.unique.diamonds/dna/12068-17","DNA")</f>
      </c>
      <c r="D273" s="1" t="s">
        <v>36</v>
      </c>
      <c r="E273" s="6">
        <v>2.01</v>
      </c>
      <c r="F273" s="1" t="s">
        <v>61</v>
      </c>
      <c r="G273" s="1" t="s">
        <v>659</v>
      </c>
      <c r="H273" s="1" t="s">
        <v>39</v>
      </c>
      <c r="I273" s="1" t="s">
        <v>39</v>
      </c>
      <c r="J273" s="1" t="s">
        <v>39</v>
      </c>
      <c r="K273" s="1" t="s">
        <v>90</v>
      </c>
      <c r="L273" s="4">
        <v>12800</v>
      </c>
      <c r="M273" s="6">
        <v>-48.16</v>
      </c>
      <c r="N273" s="7">
        <f>IF(AND(L273 &lt;&gt; "-", M273 &lt;&gt; "-"),L273*( 1 + M273%),0)</f>
      </c>
      <c r="O273" s="7">
        <f>( N273 * E273 )</f>
      </c>
      <c r="P273" s="1" t="s">
        <v>684</v>
      </c>
      <c r="Q273" s="6">
        <v>1.01</v>
      </c>
      <c r="R273" s="6">
        <v>62.4</v>
      </c>
      <c r="S273" s="4">
        <v>58</v>
      </c>
      <c r="T273" s="1" t="s">
        <v>42</v>
      </c>
      <c r="U273" s="5">
        <f>HYPERLINK("https://www.gia.edu/report-check?reportno=5443542137","5443542137")</f>
      </c>
      <c r="V273" s="1" t="s">
        <v>43</v>
      </c>
      <c r="W273" s="1" t="s">
        <v>88</v>
      </c>
      <c r="X273" s="1" t="s">
        <v>418</v>
      </c>
      <c r="Y273" s="1" t="s">
        <v>40</v>
      </c>
      <c r="Z273" s="1" t="s">
        <v>46</v>
      </c>
      <c r="AA273" s="1" t="s">
        <v>47</v>
      </c>
      <c r="AB273" s="1" t="s">
        <v>40</v>
      </c>
      <c r="AC273" s="1" t="s">
        <v>48</v>
      </c>
      <c r="AD273" s="1" t="s">
        <v>43</v>
      </c>
      <c r="AE273" s="8">
        <f>IF(L273&lt;&gt;"",L273*E273,0)</f>
      </c>
    </row>
    <row r="274" spans="1:31" x14ac:dyDescent="0.25">
      <c r="A274" s="4">
        <v>269</v>
      </c>
      <c r="B274" s="1" t="s">
        <v>685</v>
      </c>
      <c r="C274" s="5">
        <f>HYPERLINK("https://client.unique.diamonds/dna/11275-3","DNA")</f>
      </c>
      <c r="D274" s="1" t="s">
        <v>36</v>
      </c>
      <c r="E274" s="6">
        <v>2.01</v>
      </c>
      <c r="F274" s="1" t="s">
        <v>61</v>
      </c>
      <c r="G274" s="1" t="s">
        <v>659</v>
      </c>
      <c r="H274" s="1" t="s">
        <v>39</v>
      </c>
      <c r="I274" s="1" t="s">
        <v>39</v>
      </c>
      <c r="J274" s="1" t="s">
        <v>39</v>
      </c>
      <c r="K274" s="1" t="s">
        <v>90</v>
      </c>
      <c r="L274" s="4">
        <v>12800</v>
      </c>
      <c r="M274" s="6">
        <v>-49.18</v>
      </c>
      <c r="N274" s="7">
        <f>IF(AND(L274 &lt;&gt; "-", M274 &lt;&gt; "-"),L274*( 1 + M274%),0)</f>
      </c>
      <c r="O274" s="7">
        <f>( N274 * E274 )</f>
      </c>
      <c r="P274" s="1" t="s">
        <v>686</v>
      </c>
      <c r="Q274" s="6">
        <v>1.01</v>
      </c>
      <c r="R274" s="6">
        <v>63</v>
      </c>
      <c r="S274" s="4">
        <v>55</v>
      </c>
      <c r="T274" s="1" t="s">
        <v>42</v>
      </c>
      <c r="U274" s="5">
        <f>HYPERLINK("https://www.gia.edu/report-check?reportno=1448907953","1448907953")</f>
      </c>
      <c r="V274" s="1" t="s">
        <v>43</v>
      </c>
      <c r="W274" s="1" t="s">
        <v>687</v>
      </c>
      <c r="X274" s="1" t="s">
        <v>45</v>
      </c>
      <c r="Y274" s="1" t="s">
        <v>40</v>
      </c>
      <c r="Z274" s="1" t="s">
        <v>357</v>
      </c>
      <c r="AA274" s="1" t="s">
        <v>47</v>
      </c>
      <c r="AB274" s="1" t="s">
        <v>47</v>
      </c>
      <c r="AC274" s="1" t="s">
        <v>48</v>
      </c>
      <c r="AD274" s="1" t="s">
        <v>43</v>
      </c>
      <c r="AE274" s="8">
        <f>IF(L274&lt;&gt;"",L274*E274,0)</f>
      </c>
    </row>
    <row r="275" spans="1:31" x14ac:dyDescent="0.25">
      <c r="A275" s="4">
        <v>270</v>
      </c>
      <c r="B275" s="1" t="s">
        <v>688</v>
      </c>
      <c r="C275" s="5">
        <f>HYPERLINK("https://client.unique.diamonds/dna/11268-11","DNA")</f>
      </c>
      <c r="D275" s="1" t="s">
        <v>36</v>
      </c>
      <c r="E275" s="6">
        <v>2.02</v>
      </c>
      <c r="F275" s="1" t="s">
        <v>61</v>
      </c>
      <c r="G275" s="1" t="s">
        <v>659</v>
      </c>
      <c r="H275" s="1" t="s">
        <v>39</v>
      </c>
      <c r="I275" s="1" t="s">
        <v>39</v>
      </c>
      <c r="J275" s="1" t="s">
        <v>39</v>
      </c>
      <c r="K275" s="1" t="s">
        <v>90</v>
      </c>
      <c r="L275" s="4">
        <v>12800</v>
      </c>
      <c r="M275" s="6">
        <v>-51.72</v>
      </c>
      <c r="N275" s="7">
        <f>IF(AND(L275 &lt;&gt; "-", M275 &lt;&gt; "-"),L275*( 1 + M275%),0)</f>
      </c>
      <c r="O275" s="7">
        <f>( N275 * E275 )</f>
      </c>
      <c r="P275" s="1" t="s">
        <v>119</v>
      </c>
      <c r="Q275" s="6">
        <v>1.01</v>
      </c>
      <c r="R275" s="6">
        <v>62.5</v>
      </c>
      <c r="S275" s="4">
        <v>58</v>
      </c>
      <c r="T275" s="1" t="s">
        <v>42</v>
      </c>
      <c r="U275" s="5">
        <f>HYPERLINK("https://www.gia.edu/report-check?reportno=1447816817","1447816817")</f>
      </c>
      <c r="V275" s="1" t="s">
        <v>43</v>
      </c>
      <c r="W275" s="1" t="s">
        <v>67</v>
      </c>
      <c r="X275" s="1" t="s">
        <v>59</v>
      </c>
      <c r="Y275" s="1" t="s">
        <v>40</v>
      </c>
      <c r="Z275" s="1" t="s">
        <v>46</v>
      </c>
      <c r="AA275" s="1" t="s">
        <v>367</v>
      </c>
      <c r="AB275" s="1" t="s">
        <v>47</v>
      </c>
      <c r="AC275" s="1" t="s">
        <v>48</v>
      </c>
      <c r="AD275" s="1" t="s">
        <v>43</v>
      </c>
      <c r="AE275" s="8">
        <f>IF(L275&lt;&gt;"",L275*E275,0)</f>
      </c>
    </row>
    <row r="276" spans="1:31" x14ac:dyDescent="0.25">
      <c r="A276" s="4">
        <v>271</v>
      </c>
      <c r="B276" s="1" t="s">
        <v>689</v>
      </c>
      <c r="C276" s="5">
        <f>HYPERLINK("https://client.unique.diamonds/dna/11261-6","DNA")</f>
      </c>
      <c r="D276" s="1" t="s">
        <v>36</v>
      </c>
      <c r="E276" s="6">
        <v>2.3</v>
      </c>
      <c r="F276" s="1" t="s">
        <v>61</v>
      </c>
      <c r="G276" s="1" t="s">
        <v>659</v>
      </c>
      <c r="H276" s="1" t="s">
        <v>39</v>
      </c>
      <c r="I276" s="1" t="s">
        <v>39</v>
      </c>
      <c r="J276" s="1" t="s">
        <v>39</v>
      </c>
      <c r="K276" s="1" t="s">
        <v>40</v>
      </c>
      <c r="L276" s="4">
        <v>12800</v>
      </c>
      <c r="M276" s="6">
        <v>-42.07</v>
      </c>
      <c r="N276" s="7">
        <f>IF(AND(L276 &lt;&gt; "-", M276 &lt;&gt; "-"),L276*( 1 + M276%),0)</f>
      </c>
      <c r="O276" s="7">
        <f>( N276 * E276 )</f>
      </c>
      <c r="P276" s="1" t="s">
        <v>690</v>
      </c>
      <c r="Q276" s="6">
        <v>1.01</v>
      </c>
      <c r="R276" s="6">
        <v>62.6</v>
      </c>
      <c r="S276" s="4">
        <v>59</v>
      </c>
      <c r="T276" s="1" t="s">
        <v>42</v>
      </c>
      <c r="U276" s="5">
        <f>HYPERLINK("https://www.gia.edu/report-check?reportno=1445688059","1445688059")</f>
      </c>
      <c r="V276" s="1" t="s">
        <v>43</v>
      </c>
      <c r="W276" s="1" t="s">
        <v>67</v>
      </c>
      <c r="X276" s="1" t="s">
        <v>46</v>
      </c>
      <c r="Y276" s="1" t="s">
        <v>40</v>
      </c>
      <c r="Z276" s="1" t="s">
        <v>46</v>
      </c>
      <c r="AA276" s="1" t="s">
        <v>47</v>
      </c>
      <c r="AB276" s="1" t="s">
        <v>367</v>
      </c>
      <c r="AC276" s="1" t="s">
        <v>48</v>
      </c>
      <c r="AD276" s="1" t="s">
        <v>43</v>
      </c>
      <c r="AE276" s="8">
        <f>IF(L276&lt;&gt;"",L276*E276,0)</f>
      </c>
    </row>
    <row r="277" spans="1:31" x14ac:dyDescent="0.25">
      <c r="A277" s="4">
        <v>272</v>
      </c>
      <c r="B277" s="1" t="s">
        <v>691</v>
      </c>
      <c r="C277" s="5">
        <f>HYPERLINK("https://client.unique.diamonds/dna/11087-2","DNA")</f>
      </c>
      <c r="D277" s="1" t="s">
        <v>36</v>
      </c>
      <c r="E277" s="6">
        <v>2.51</v>
      </c>
      <c r="F277" s="1" t="s">
        <v>61</v>
      </c>
      <c r="G277" s="1" t="s">
        <v>659</v>
      </c>
      <c r="H277" s="1" t="s">
        <v>39</v>
      </c>
      <c r="I277" s="1" t="s">
        <v>39</v>
      </c>
      <c r="J277" s="1" t="s">
        <v>39</v>
      </c>
      <c r="K277" s="1" t="s">
        <v>40</v>
      </c>
      <c r="L277" s="4">
        <v>12800</v>
      </c>
      <c r="M277" s="6">
        <v>-40</v>
      </c>
      <c r="N277" s="7">
        <f>IF(AND(L277 &lt;&gt; "-", M277 &lt;&gt; "-"),L277*( 1 + M277%),0)</f>
      </c>
      <c r="O277" s="7">
        <f>( N277 * E277 )</f>
      </c>
      <c r="P277" s="1" t="s">
        <v>692</v>
      </c>
      <c r="Q277" s="6">
        <v>1.01</v>
      </c>
      <c r="R277" s="6">
        <v>61.8</v>
      </c>
      <c r="S277" s="4">
        <v>62</v>
      </c>
      <c r="T277" s="1" t="s">
        <v>42</v>
      </c>
      <c r="U277" s="5">
        <f>HYPERLINK("https://www.gia.edu/report-check?reportno=6224356916","6224356916")</f>
      </c>
      <c r="V277" s="1" t="s">
        <v>43</v>
      </c>
      <c r="W277" s="1" t="s">
        <v>67</v>
      </c>
      <c r="X277" s="1" t="s">
        <v>59</v>
      </c>
      <c r="Y277" s="1" t="s">
        <v>40</v>
      </c>
      <c r="Z277" s="1" t="s">
        <v>45</v>
      </c>
      <c r="AA277" s="1" t="s">
        <v>47</v>
      </c>
      <c r="AB277" s="1" t="s">
        <v>47</v>
      </c>
      <c r="AC277" s="1" t="s">
        <v>48</v>
      </c>
      <c r="AD277" s="1" t="s">
        <v>43</v>
      </c>
      <c r="AE277" s="8">
        <f>IF(L277&lt;&gt;"",L277*E277,0)</f>
      </c>
    </row>
    <row r="278" spans="1:31" x14ac:dyDescent="0.25">
      <c r="A278" s="4">
        <v>273</v>
      </c>
      <c r="B278" s="1" t="s">
        <v>693</v>
      </c>
      <c r="C278" s="5">
        <f>HYPERLINK("https://client.unique.diamonds/dna/21031-42","DNA")</f>
      </c>
      <c r="D278" s="1" t="s">
        <v>36</v>
      </c>
      <c r="E278" s="6">
        <v>3.02</v>
      </c>
      <c r="F278" s="1" t="s">
        <v>61</v>
      </c>
      <c r="G278" s="1" t="s">
        <v>659</v>
      </c>
      <c r="H278" s="1" t="s">
        <v>39</v>
      </c>
      <c r="I278" s="1" t="s">
        <v>39</v>
      </c>
      <c r="J278" s="1" t="s">
        <v>39</v>
      </c>
      <c r="K278" s="1" t="s">
        <v>90</v>
      </c>
      <c r="L278" s="4">
        <v>19900</v>
      </c>
      <c r="M278" s="6">
        <v>-41.5</v>
      </c>
      <c r="N278" s="7">
        <f>IF(AND(L278 &lt;&gt; "-", M278 &lt;&gt; "-"),L278*( 1 + M278%),0)</f>
      </c>
      <c r="O278" s="7">
        <f>( N278 * E278 )</f>
      </c>
      <c r="P278" s="1" t="s">
        <v>694</v>
      </c>
      <c r="Q278" s="6">
        <v>1.01</v>
      </c>
      <c r="R278" s="6">
        <v>61.8</v>
      </c>
      <c r="S278" s="4">
        <v>58</v>
      </c>
      <c r="T278" s="1" t="s">
        <v>42</v>
      </c>
      <c r="U278" s="5">
        <f>HYPERLINK("https://www.gia.edu/report-check?reportno=1458856439","1458856439")</f>
      </c>
      <c r="V278" s="1" t="s">
        <v>43</v>
      </c>
      <c r="W278" s="1" t="s">
        <v>297</v>
      </c>
      <c r="X278" s="1" t="s">
        <v>357</v>
      </c>
      <c r="Y278" s="1" t="s">
        <v>40</v>
      </c>
      <c r="Z278" s="1" t="s">
        <v>46</v>
      </c>
      <c r="AA278" s="1" t="s">
        <v>47</v>
      </c>
      <c r="AB278" s="1" t="s">
        <v>47</v>
      </c>
      <c r="AC278" s="1" t="s">
        <v>226</v>
      </c>
      <c r="AD278" s="1" t="s">
        <v>43</v>
      </c>
      <c r="AE278" s="8">
        <f>IF(L278&lt;&gt;"",L278*E278,0)</f>
      </c>
    </row>
    <row r="279" spans="1:31" x14ac:dyDescent="0.25">
      <c r="A279" s="4">
        <v>274</v>
      </c>
      <c r="B279" s="1" t="s">
        <v>695</v>
      </c>
      <c r="C279" s="5">
        <f>HYPERLINK("https://client.unique.diamonds/dna/11016-28","DNA")</f>
      </c>
      <c r="D279" s="1" t="s">
        <v>36</v>
      </c>
      <c r="E279" s="6">
        <v>4.01</v>
      </c>
      <c r="F279" s="1" t="s">
        <v>61</v>
      </c>
      <c r="G279" s="1" t="s">
        <v>659</v>
      </c>
      <c r="H279" s="1" t="s">
        <v>39</v>
      </c>
      <c r="I279" s="1" t="s">
        <v>39</v>
      </c>
      <c r="J279" s="1" t="s">
        <v>39</v>
      </c>
      <c r="K279" s="1" t="s">
        <v>40</v>
      </c>
      <c r="L279" s="4">
        <v>24000</v>
      </c>
      <c r="M279" s="6">
        <v>-47.25</v>
      </c>
      <c r="N279" s="7">
        <f>IF(AND(L279 &lt;&gt; "-", M279 &lt;&gt; "-"),L279*( 1 + M279%),0)</f>
      </c>
      <c r="O279" s="7">
        <f>( N279 * E279 )</f>
      </c>
      <c r="P279" s="1" t="s">
        <v>696</v>
      </c>
      <c r="Q279" s="6">
        <v>1</v>
      </c>
      <c r="R279" s="6">
        <v>62.1</v>
      </c>
      <c r="S279" s="4">
        <v>61</v>
      </c>
      <c r="T279" s="1" t="s">
        <v>42</v>
      </c>
      <c r="U279" s="5">
        <f>HYPERLINK("https://www.gia.edu/report-check?reportno=6223311022","6223311022")</f>
      </c>
      <c r="V279" s="1" t="s">
        <v>43</v>
      </c>
      <c r="W279" s="1" t="s">
        <v>697</v>
      </c>
      <c r="X279" s="1" t="s">
        <v>46</v>
      </c>
      <c r="Y279" s="1" t="s">
        <v>40</v>
      </c>
      <c r="Z279" s="1" t="s">
        <v>357</v>
      </c>
      <c r="AA279" s="1" t="s">
        <v>367</v>
      </c>
      <c r="AB279" s="1" t="s">
        <v>40</v>
      </c>
      <c r="AC279" s="1" t="s">
        <v>48</v>
      </c>
      <c r="AD279" s="1" t="s">
        <v>43</v>
      </c>
      <c r="AE279" s="8">
        <f>IF(L279&lt;&gt;"",L279*E279,0)</f>
      </c>
    </row>
    <row r="280" spans="1:31" x14ac:dyDescent="0.25">
      <c r="A280" s="4">
        <v>275</v>
      </c>
      <c r="B280" s="1" t="s">
        <v>698</v>
      </c>
      <c r="C280" s="5">
        <f>HYPERLINK("https://client.unique.diamonds/dna/12040-8","DNA")</f>
      </c>
      <c r="D280" s="1" t="s">
        <v>36</v>
      </c>
      <c r="E280" s="6">
        <v>1.5</v>
      </c>
      <c r="F280" s="1" t="s">
        <v>101</v>
      </c>
      <c r="G280" s="1" t="s">
        <v>659</v>
      </c>
      <c r="H280" s="1" t="s">
        <v>39</v>
      </c>
      <c r="I280" s="1" t="s">
        <v>39</v>
      </c>
      <c r="J280" s="1" t="s">
        <v>39</v>
      </c>
      <c r="K280" s="1" t="s">
        <v>90</v>
      </c>
      <c r="L280" s="4">
        <v>8600</v>
      </c>
      <c r="M280" s="6">
        <v>-41.47</v>
      </c>
      <c r="N280" s="7">
        <f>IF(AND(L280 &lt;&gt; "-", M280 &lt;&gt; "-"),L280*( 1 + M280%),0)</f>
      </c>
      <c r="O280" s="7">
        <f>( N280 * E280 )</f>
      </c>
      <c r="P280" s="1" t="s">
        <v>699</v>
      </c>
      <c r="Q280" s="6">
        <v>1.01</v>
      </c>
      <c r="R280" s="6">
        <v>62.7</v>
      </c>
      <c r="S280" s="4">
        <v>59</v>
      </c>
      <c r="T280" s="1" t="s">
        <v>42</v>
      </c>
      <c r="U280" s="5">
        <f>HYPERLINK("https://www.gia.edu/report-check?reportno=5221472778","5221472778")</f>
      </c>
      <c r="V280" s="1" t="s">
        <v>43</v>
      </c>
      <c r="W280" s="1" t="s">
        <v>700</v>
      </c>
      <c r="X280" s="1" t="s">
        <v>701</v>
      </c>
      <c r="Y280" s="1" t="s">
        <v>40</v>
      </c>
      <c r="Z280" s="1" t="s">
        <v>46</v>
      </c>
      <c r="AA280" s="1" t="s">
        <v>52</v>
      </c>
      <c r="AB280" s="1" t="s">
        <v>73</v>
      </c>
      <c r="AC280" s="1" t="s">
        <v>48</v>
      </c>
      <c r="AD280" s="1" t="s">
        <v>43</v>
      </c>
      <c r="AE280" s="8">
        <f>IF(L280&lt;&gt;"",L280*E280,0)</f>
      </c>
    </row>
    <row r="281" spans="1:31" x14ac:dyDescent="0.25">
      <c r="A281" s="4">
        <v>276</v>
      </c>
      <c r="B281" s="1" t="s">
        <v>702</v>
      </c>
      <c r="C281" s="5">
        <f>HYPERLINK("https://client.unique.diamonds/dna/11016-4","DNA")</f>
      </c>
      <c r="D281" s="1" t="s">
        <v>36</v>
      </c>
      <c r="E281" s="6">
        <v>1.5</v>
      </c>
      <c r="F281" s="1" t="s">
        <v>101</v>
      </c>
      <c r="G281" s="1" t="s">
        <v>659</v>
      </c>
      <c r="H281" s="1" t="s">
        <v>39</v>
      </c>
      <c r="I281" s="1" t="s">
        <v>39</v>
      </c>
      <c r="J281" s="1" t="s">
        <v>39</v>
      </c>
      <c r="K281" s="1" t="s">
        <v>40</v>
      </c>
      <c r="L281" s="4">
        <v>8600</v>
      </c>
      <c r="M281" s="6">
        <v>-48.75</v>
      </c>
      <c r="N281" s="7">
        <f>IF(AND(L281 &lt;&gt; "-", M281 &lt;&gt; "-"),L281*( 1 + M281%),0)</f>
      </c>
      <c r="O281" s="7">
        <f>( N281 * E281 )</f>
      </c>
      <c r="P281" s="1" t="s">
        <v>703</v>
      </c>
      <c r="Q281" s="6">
        <v>1.01</v>
      </c>
      <c r="R281" s="6">
        <v>61.6</v>
      </c>
      <c r="S281" s="4">
        <v>62</v>
      </c>
      <c r="T281" s="1" t="s">
        <v>42</v>
      </c>
      <c r="U281" s="5">
        <f>HYPERLINK("https://www.gia.edu/report-check?reportno=2221241972","2221241972")</f>
      </c>
      <c r="V281" s="1" t="s">
        <v>43</v>
      </c>
      <c r="W281" s="1" t="s">
        <v>704</v>
      </c>
      <c r="X281" s="1" t="s">
        <v>59</v>
      </c>
      <c r="Y281" s="1" t="s">
        <v>40</v>
      </c>
      <c r="Z281" s="1" t="s">
        <v>46</v>
      </c>
      <c r="AA281" s="1" t="s">
        <v>47</v>
      </c>
      <c r="AB281" s="1" t="s">
        <v>40</v>
      </c>
      <c r="AC281" s="1" t="s">
        <v>329</v>
      </c>
      <c r="AD281" s="1" t="s">
        <v>43</v>
      </c>
      <c r="AE281" s="8">
        <f>IF(L281&lt;&gt;"",L281*E281,0)</f>
      </c>
    </row>
    <row r="282" spans="1:31" x14ac:dyDescent="0.25">
      <c r="A282" s="4">
        <v>277</v>
      </c>
      <c r="B282" s="1" t="s">
        <v>705</v>
      </c>
      <c r="C282" s="5">
        <f>HYPERLINK("https://client.unique.diamonds/dna/21101-21","DNA")</f>
      </c>
      <c r="D282" s="1" t="s">
        <v>36</v>
      </c>
      <c r="E282" s="6">
        <v>1.51</v>
      </c>
      <c r="F282" s="1" t="s">
        <v>101</v>
      </c>
      <c r="G282" s="1" t="s">
        <v>659</v>
      </c>
      <c r="H282" s="1" t="s">
        <v>39</v>
      </c>
      <c r="I282" s="1" t="s">
        <v>39</v>
      </c>
      <c r="J282" s="1" t="s">
        <v>39</v>
      </c>
      <c r="K282" s="1" t="s">
        <v>40</v>
      </c>
      <c r="L282" s="4">
        <v>8600</v>
      </c>
      <c r="M282" s="6">
        <v>-41.5</v>
      </c>
      <c r="N282" s="7">
        <f>IF(AND(L282 &lt;&gt; "-", M282 &lt;&gt; "-"),L282*( 1 + M282%),0)</f>
      </c>
      <c r="O282" s="7">
        <f>( N282 * E282 )</f>
      </c>
      <c r="P282" s="1" t="s">
        <v>706</v>
      </c>
      <c r="Q282" s="6">
        <v>1.01</v>
      </c>
      <c r="R282" s="6">
        <v>60.6</v>
      </c>
      <c r="S282" s="4">
        <v>59</v>
      </c>
      <c r="T282" s="1" t="s">
        <v>42</v>
      </c>
      <c r="U282" s="5">
        <f>HYPERLINK("https://www.gia.edu/report-check?reportno=1467475875","1467475875")</f>
      </c>
      <c r="V282" s="1" t="s">
        <v>43</v>
      </c>
      <c r="W282" s="1" t="s">
        <v>88</v>
      </c>
      <c r="X282" s="1" t="s">
        <v>418</v>
      </c>
      <c r="Y282" s="1" t="s">
        <v>40</v>
      </c>
      <c r="Z282" s="1" t="s">
        <v>64</v>
      </c>
      <c r="AA282" s="1" t="s">
        <v>47</v>
      </c>
      <c r="AB282" s="1" t="s">
        <v>40</v>
      </c>
      <c r="AC282" s="1" t="s">
        <v>226</v>
      </c>
      <c r="AD282" s="1" t="s">
        <v>43</v>
      </c>
      <c r="AE282" s="8">
        <f>IF(L282&lt;&gt;"",L282*E282,0)</f>
      </c>
    </row>
    <row r="283" spans="1:31" x14ac:dyDescent="0.25">
      <c r="A283" s="4">
        <v>278</v>
      </c>
      <c r="B283" s="1" t="s">
        <v>707</v>
      </c>
      <c r="C283" s="5">
        <f>HYPERLINK("https://client.unique.diamonds/dna/21093-21","DNA")</f>
      </c>
      <c r="D283" s="1" t="s">
        <v>36</v>
      </c>
      <c r="E283" s="6">
        <v>1.72</v>
      </c>
      <c r="F283" s="1" t="s">
        <v>101</v>
      </c>
      <c r="G283" s="1" t="s">
        <v>659</v>
      </c>
      <c r="H283" s="1" t="s">
        <v>39</v>
      </c>
      <c r="I283" s="1" t="s">
        <v>39</v>
      </c>
      <c r="J283" s="1" t="s">
        <v>39</v>
      </c>
      <c r="K283" s="1" t="s">
        <v>94</v>
      </c>
      <c r="L283" s="4">
        <v>8600</v>
      </c>
      <c r="M283" s="6">
        <v>-41.5</v>
      </c>
      <c r="N283" s="7">
        <f>IF(AND(L283 &lt;&gt; "-", M283 &lt;&gt; "-"),L283*( 1 + M283%),0)</f>
      </c>
      <c r="O283" s="7">
        <f>( N283 * E283 )</f>
      </c>
      <c r="P283" s="1" t="s">
        <v>708</v>
      </c>
      <c r="Q283" s="6">
        <v>1.01</v>
      </c>
      <c r="R283" s="6">
        <v>62.3</v>
      </c>
      <c r="S283" s="4">
        <v>59</v>
      </c>
      <c r="T283" s="1" t="s">
        <v>42</v>
      </c>
      <c r="U283" s="5">
        <f>HYPERLINK("https://www.gia.edu/report-check?reportno=5463435629","5463435629")</f>
      </c>
      <c r="V283" s="1" t="s">
        <v>43</v>
      </c>
      <c r="W283" s="1" t="s">
        <v>319</v>
      </c>
      <c r="X283" s="1" t="s">
        <v>59</v>
      </c>
      <c r="Y283" s="1" t="s">
        <v>40</v>
      </c>
      <c r="Z283" s="1" t="s">
        <v>46</v>
      </c>
      <c r="AA283" s="1" t="s">
        <v>47</v>
      </c>
      <c r="AB283" s="1" t="s">
        <v>47</v>
      </c>
      <c r="AC283" s="1" t="s">
        <v>48</v>
      </c>
      <c r="AD283" s="1" t="s">
        <v>43</v>
      </c>
      <c r="AE283" s="8">
        <f>IF(L283&lt;&gt;"",L283*E283,0)</f>
      </c>
    </row>
    <row r="284" spans="1:31" x14ac:dyDescent="0.25">
      <c r="A284" s="4">
        <v>279</v>
      </c>
      <c r="B284" s="1" t="s">
        <v>709</v>
      </c>
      <c r="C284" s="5">
        <f>HYPERLINK("https://client.unique.diamonds/dna/11191-147","DNA")</f>
      </c>
      <c r="D284" s="1" t="s">
        <v>36</v>
      </c>
      <c r="E284" s="6">
        <v>2.01</v>
      </c>
      <c r="F284" s="1" t="s">
        <v>101</v>
      </c>
      <c r="G284" s="1" t="s">
        <v>659</v>
      </c>
      <c r="H284" s="1" t="s">
        <v>39</v>
      </c>
      <c r="I284" s="1" t="s">
        <v>39</v>
      </c>
      <c r="J284" s="1" t="s">
        <v>39</v>
      </c>
      <c r="K284" s="1" t="s">
        <v>40</v>
      </c>
      <c r="L284" s="4">
        <v>12000</v>
      </c>
      <c r="M284" s="6">
        <v>-42.5</v>
      </c>
      <c r="N284" s="7">
        <f>IF(AND(L284 &lt;&gt; "-", M284 &lt;&gt; "-"),L284*( 1 + M284%),0)</f>
      </c>
      <c r="O284" s="7">
        <f>( N284 * E284 )</f>
      </c>
      <c r="P284" s="1" t="s">
        <v>710</v>
      </c>
      <c r="Q284" s="6">
        <v>1</v>
      </c>
      <c r="R284" s="6">
        <v>62.7</v>
      </c>
      <c r="S284" s="4">
        <v>57</v>
      </c>
      <c r="T284" s="1" t="s">
        <v>42</v>
      </c>
      <c r="U284" s="5">
        <f>HYPERLINK("https://www.gia.edu/report-check?reportno=5443278720","5443278720")</f>
      </c>
      <c r="V284" s="1" t="s">
        <v>43</v>
      </c>
      <c r="W284" s="1" t="s">
        <v>297</v>
      </c>
      <c r="X284" s="1" t="s">
        <v>357</v>
      </c>
      <c r="Y284" s="1" t="s">
        <v>40</v>
      </c>
      <c r="Z284" s="1" t="s">
        <v>46</v>
      </c>
      <c r="AA284" s="1" t="s">
        <v>52</v>
      </c>
      <c r="AB284" s="1" t="s">
        <v>40</v>
      </c>
      <c r="AC284" s="1" t="s">
        <v>329</v>
      </c>
      <c r="AD284" s="1" t="s">
        <v>43</v>
      </c>
      <c r="AE284" s="8">
        <f>IF(L284&lt;&gt;"",L284*E284,0)</f>
      </c>
    </row>
    <row r="285" spans="1:31" x14ac:dyDescent="0.25">
      <c r="A285" s="4">
        <v>280</v>
      </c>
      <c r="B285" s="1" t="s">
        <v>711</v>
      </c>
      <c r="C285" s="5">
        <f>HYPERLINK("https://client.unique.diamonds/dna/11193-27","DNA")</f>
      </c>
      <c r="D285" s="1" t="s">
        <v>36</v>
      </c>
      <c r="E285" s="6">
        <v>2.01</v>
      </c>
      <c r="F285" s="1" t="s">
        <v>101</v>
      </c>
      <c r="G285" s="1" t="s">
        <v>659</v>
      </c>
      <c r="H285" s="1" t="s">
        <v>39</v>
      </c>
      <c r="I285" s="1" t="s">
        <v>39</v>
      </c>
      <c r="J285" s="1" t="s">
        <v>39</v>
      </c>
      <c r="K285" s="1" t="s">
        <v>90</v>
      </c>
      <c r="L285" s="4">
        <v>12000</v>
      </c>
      <c r="M285" s="6">
        <v>-48.5</v>
      </c>
      <c r="N285" s="7">
        <f>IF(AND(L285 &lt;&gt; "-", M285 &lt;&gt; "-"),L285*( 1 + M285%),0)</f>
      </c>
      <c r="O285" s="7">
        <f>( N285 * E285 )</f>
      </c>
      <c r="P285" s="1" t="s">
        <v>712</v>
      </c>
      <c r="Q285" s="6">
        <v>1</v>
      </c>
      <c r="R285" s="6">
        <v>61.3</v>
      </c>
      <c r="S285" s="4">
        <v>60</v>
      </c>
      <c r="T285" s="1" t="s">
        <v>42</v>
      </c>
      <c r="U285" s="5">
        <f>HYPERLINK("https://www.gia.edu/report-check?reportno=6442094868","6442094868")</f>
      </c>
      <c r="V285" s="1" t="s">
        <v>43</v>
      </c>
      <c r="W285" s="1" t="s">
        <v>67</v>
      </c>
      <c r="X285" s="1" t="s">
        <v>46</v>
      </c>
      <c r="Y285" s="1" t="s">
        <v>40</v>
      </c>
      <c r="Z285" s="1" t="s">
        <v>46</v>
      </c>
      <c r="AA285" s="1" t="s">
        <v>47</v>
      </c>
      <c r="AB285" s="1" t="s">
        <v>47</v>
      </c>
      <c r="AC285" s="1" t="s">
        <v>226</v>
      </c>
      <c r="AD285" s="1" t="s">
        <v>43</v>
      </c>
      <c r="AE285" s="8">
        <f>IF(L285&lt;&gt;"",L285*E285,0)</f>
      </c>
    </row>
    <row r="286" spans="1:31" x14ac:dyDescent="0.25">
      <c r="A286" s="4">
        <v>281</v>
      </c>
      <c r="B286" s="1" t="s">
        <v>713</v>
      </c>
      <c r="C286" s="5">
        <f>HYPERLINK("https://client.unique.diamonds/dna/11051-108","DNA")</f>
      </c>
      <c r="D286" s="1" t="s">
        <v>36</v>
      </c>
      <c r="E286" s="6">
        <v>2.7</v>
      </c>
      <c r="F286" s="1" t="s">
        <v>101</v>
      </c>
      <c r="G286" s="1" t="s">
        <v>659</v>
      </c>
      <c r="H286" s="1" t="s">
        <v>39</v>
      </c>
      <c r="I286" s="1" t="s">
        <v>39</v>
      </c>
      <c r="J286" s="1" t="s">
        <v>39</v>
      </c>
      <c r="K286" s="1" t="s">
        <v>40</v>
      </c>
      <c r="L286" s="4">
        <v>12000</v>
      </c>
      <c r="M286" s="6">
        <v>-27</v>
      </c>
      <c r="N286" s="7">
        <f>IF(AND(L286 &lt;&gt; "-", M286 &lt;&gt; "-"),L286*( 1 + M286%),0)</f>
      </c>
      <c r="O286" s="7">
        <f>( N286 * E286 )</f>
      </c>
      <c r="P286" s="1" t="s">
        <v>714</v>
      </c>
      <c r="Q286" s="6">
        <v>1</v>
      </c>
      <c r="R286" s="6">
        <v>62.1</v>
      </c>
      <c r="S286" s="4">
        <v>62</v>
      </c>
      <c r="T286" s="1" t="s">
        <v>42</v>
      </c>
      <c r="U286" s="5">
        <f>HYPERLINK("https://www.gia.edu/report-check?reportno=6425459813","6425459813")</f>
      </c>
      <c r="V286" s="1" t="s">
        <v>43</v>
      </c>
      <c r="W286" s="1" t="s">
        <v>537</v>
      </c>
      <c r="X286" s="1" t="s">
        <v>357</v>
      </c>
      <c r="Y286" s="1" t="s">
        <v>40</v>
      </c>
      <c r="Z286" s="1" t="s">
        <v>46</v>
      </c>
      <c r="AA286" s="1" t="s">
        <v>52</v>
      </c>
      <c r="AB286" s="1" t="s">
        <v>40</v>
      </c>
      <c r="AC286" s="1" t="s">
        <v>48</v>
      </c>
      <c r="AD286" s="1" t="s">
        <v>43</v>
      </c>
      <c r="AE286" s="8">
        <f>IF(L286&lt;&gt;"",L286*E286,0)</f>
      </c>
    </row>
    <row r="287" spans="1:31" x14ac:dyDescent="0.25">
      <c r="A287" s="4">
        <v>282</v>
      </c>
      <c r="B287" s="1" t="s">
        <v>715</v>
      </c>
      <c r="C287" s="5">
        <f>HYPERLINK("https://client.unique.diamonds/dna/12044-128","DNA")</f>
      </c>
      <c r="D287" s="1" t="s">
        <v>36</v>
      </c>
      <c r="E287" s="6">
        <v>3.01</v>
      </c>
      <c r="F287" s="1" t="s">
        <v>101</v>
      </c>
      <c r="G287" s="1" t="s">
        <v>659</v>
      </c>
      <c r="H287" s="1" t="s">
        <v>39</v>
      </c>
      <c r="I287" s="1" t="s">
        <v>39</v>
      </c>
      <c r="J287" s="1" t="s">
        <v>39</v>
      </c>
      <c r="K287" s="1" t="s">
        <v>40</v>
      </c>
      <c r="L287" s="4">
        <v>18400</v>
      </c>
      <c r="M287" s="6">
        <v>-46.5</v>
      </c>
      <c r="N287" s="7">
        <f>IF(AND(L287 &lt;&gt; "-", M287 &lt;&gt; "-"),L287*( 1 + M287%),0)</f>
      </c>
      <c r="O287" s="7">
        <f>( N287 * E287 )</f>
      </c>
      <c r="P287" s="1" t="s">
        <v>716</v>
      </c>
      <c r="Q287" s="6">
        <v>1.01</v>
      </c>
      <c r="R287" s="6">
        <v>62.3</v>
      </c>
      <c r="S287" s="4">
        <v>57</v>
      </c>
      <c r="T287" s="1" t="s">
        <v>42</v>
      </c>
      <c r="U287" s="5">
        <f>HYPERLINK("https://www.gia.edu/report-check?reportno=5433430398","5433430398")</f>
      </c>
      <c r="V287" s="1" t="s">
        <v>43</v>
      </c>
      <c r="W287" s="1" t="s">
        <v>128</v>
      </c>
      <c r="X287" s="1" t="s">
        <v>59</v>
      </c>
      <c r="Y287" s="1" t="s">
        <v>40</v>
      </c>
      <c r="Z287" s="1" t="s">
        <v>46</v>
      </c>
      <c r="AA287" s="1" t="s">
        <v>47</v>
      </c>
      <c r="AB287" s="1" t="s">
        <v>367</v>
      </c>
      <c r="AC287" s="1" t="s">
        <v>226</v>
      </c>
      <c r="AD287" s="1" t="s">
        <v>43</v>
      </c>
      <c r="AE287" s="8">
        <f>IF(L287&lt;&gt;"",L287*E287,0)</f>
      </c>
    </row>
    <row r="288" spans="1:31" x14ac:dyDescent="0.25">
      <c r="A288" s="4">
        <v>283</v>
      </c>
      <c r="B288" s="1" t="s">
        <v>717</v>
      </c>
      <c r="C288" s="5">
        <f>HYPERLINK("https://client.unique.diamonds/dna/21109-30","DNA")</f>
      </c>
      <c r="D288" s="1" t="s">
        <v>36</v>
      </c>
      <c r="E288" s="6">
        <v>1.5</v>
      </c>
      <c r="F288" s="1" t="s">
        <v>138</v>
      </c>
      <c r="G288" s="1" t="s">
        <v>659</v>
      </c>
      <c r="H288" s="1" t="s">
        <v>39</v>
      </c>
      <c r="I288" s="1" t="s">
        <v>39</v>
      </c>
      <c r="J288" s="1" t="s">
        <v>39</v>
      </c>
      <c r="K288" s="1" t="s">
        <v>40</v>
      </c>
      <c r="L288" s="4">
        <v>8100</v>
      </c>
      <c r="M288" s="6">
        <v>-41.5</v>
      </c>
      <c r="N288" s="7">
        <f>IF(AND(L288 &lt;&gt; "-", M288 &lt;&gt; "-"),L288*( 1 + M288%),0)</f>
      </c>
      <c r="O288" s="7">
        <f>( N288 * E288 )</f>
      </c>
      <c r="P288" s="1" t="s">
        <v>718</v>
      </c>
      <c r="Q288" s="6">
        <v>1.01</v>
      </c>
      <c r="R288" s="6">
        <v>60.2</v>
      </c>
      <c r="S288" s="4">
        <v>59</v>
      </c>
      <c r="T288" s="1" t="s">
        <v>42</v>
      </c>
      <c r="U288" s="5">
        <f>HYPERLINK("https://www.gia.edu/report-check?reportno=6461559644","6461559644")</f>
      </c>
      <c r="V288" s="1" t="s">
        <v>43</v>
      </c>
      <c r="W288" s="1" t="s">
        <v>88</v>
      </c>
      <c r="X288" s="1" t="s">
        <v>46</v>
      </c>
      <c r="Y288" s="1" t="s">
        <v>40</v>
      </c>
      <c r="Z288" s="1" t="s">
        <v>46</v>
      </c>
      <c r="AA288" s="1" t="s">
        <v>47</v>
      </c>
      <c r="AB288" s="1" t="s">
        <v>40</v>
      </c>
      <c r="AC288" s="1" t="s">
        <v>226</v>
      </c>
      <c r="AD288" s="1" t="s">
        <v>43</v>
      </c>
      <c r="AE288" s="8">
        <f>IF(L288&lt;&gt;"",L288*E288,0)</f>
      </c>
    </row>
    <row r="289" spans="1:31" x14ac:dyDescent="0.25">
      <c r="A289" s="4">
        <v>284</v>
      </c>
      <c r="B289" s="1" t="s">
        <v>719</v>
      </c>
      <c r="C289" s="5">
        <f>HYPERLINK("https://client.unique.diamonds/dna/11163-95","DNA")</f>
      </c>
      <c r="D289" s="1" t="s">
        <v>36</v>
      </c>
      <c r="E289" s="6">
        <v>1.5</v>
      </c>
      <c r="F289" s="1" t="s">
        <v>138</v>
      </c>
      <c r="G289" s="1" t="s">
        <v>659</v>
      </c>
      <c r="H289" s="1" t="s">
        <v>39</v>
      </c>
      <c r="I289" s="1" t="s">
        <v>39</v>
      </c>
      <c r="J289" s="1" t="s">
        <v>39</v>
      </c>
      <c r="K289" s="1" t="s">
        <v>40</v>
      </c>
      <c r="L289" s="4">
        <v>8100</v>
      </c>
      <c r="M289" s="6">
        <v>-43.79</v>
      </c>
      <c r="N289" s="7">
        <f>IF(AND(L289 &lt;&gt; "-", M289 &lt;&gt; "-"),L289*( 1 + M289%),0)</f>
      </c>
      <c r="O289" s="7">
        <f>( N289 * E289 )</f>
      </c>
      <c r="P289" s="1" t="s">
        <v>720</v>
      </c>
      <c r="Q289" s="6">
        <v>1.01</v>
      </c>
      <c r="R289" s="6">
        <v>58.2</v>
      </c>
      <c r="S289" s="4">
        <v>61</v>
      </c>
      <c r="T289" s="1" t="s">
        <v>42</v>
      </c>
      <c r="U289" s="5">
        <f>HYPERLINK("https://www.gia.edu/report-check?reportno=1439859528","1439859528")</f>
      </c>
      <c r="V289" s="1" t="s">
        <v>43</v>
      </c>
      <c r="W289" s="1" t="s">
        <v>484</v>
      </c>
      <c r="X289" s="1" t="s">
        <v>45</v>
      </c>
      <c r="Y289" s="1" t="s">
        <v>40</v>
      </c>
      <c r="Z289" s="1" t="s">
        <v>701</v>
      </c>
      <c r="AA289" s="1" t="s">
        <v>47</v>
      </c>
      <c r="AB289" s="1" t="s">
        <v>47</v>
      </c>
      <c r="AC289" s="1" t="s">
        <v>48</v>
      </c>
      <c r="AD289" s="1" t="s">
        <v>43</v>
      </c>
      <c r="AE289" s="8">
        <f>IF(L289&lt;&gt;"",L289*E289,0)</f>
      </c>
    </row>
    <row r="290" spans="1:31" x14ac:dyDescent="0.25">
      <c r="A290" s="4">
        <v>285</v>
      </c>
      <c r="B290" s="1" t="s">
        <v>721</v>
      </c>
      <c r="C290" s="5">
        <f>HYPERLINK("https://client.unique.diamonds/dna/21108-46","DNA")</f>
      </c>
      <c r="D290" s="1" t="s">
        <v>36</v>
      </c>
      <c r="E290" s="6">
        <v>1.75</v>
      </c>
      <c r="F290" s="1" t="s">
        <v>138</v>
      </c>
      <c r="G290" s="1" t="s">
        <v>659</v>
      </c>
      <c r="H290" s="1" t="s">
        <v>39</v>
      </c>
      <c r="I290" s="1" t="s">
        <v>39</v>
      </c>
      <c r="J290" s="1" t="s">
        <v>39</v>
      </c>
      <c r="K290" s="1" t="s">
        <v>40</v>
      </c>
      <c r="L290" s="4">
        <v>8100</v>
      </c>
      <c r="M290" s="6">
        <v>-31.5</v>
      </c>
      <c r="N290" s="7">
        <f>IF(AND(L290 &lt;&gt; "-", M290 &lt;&gt; "-"),L290*( 1 + M290%),0)</f>
      </c>
      <c r="O290" s="7">
        <f>( N290 * E290 )</f>
      </c>
      <c r="P290" s="1" t="s">
        <v>722</v>
      </c>
      <c r="Q290" s="6">
        <v>1.01</v>
      </c>
      <c r="R290" s="6">
        <v>62.3</v>
      </c>
      <c r="S290" s="4">
        <v>58</v>
      </c>
      <c r="T290" s="1" t="s">
        <v>42</v>
      </c>
      <c r="U290" s="5">
        <f>HYPERLINK("https://www.gia.edu/report-check?reportno=1469435582","1469435582")</f>
      </c>
      <c r="V290" s="1" t="s">
        <v>43</v>
      </c>
      <c r="W290" s="1" t="s">
        <v>67</v>
      </c>
      <c r="X290" s="1" t="s">
        <v>59</v>
      </c>
      <c r="Y290" s="1" t="s">
        <v>40</v>
      </c>
      <c r="Z290" s="1" t="s">
        <v>59</v>
      </c>
      <c r="AA290" s="1" t="s">
        <v>47</v>
      </c>
      <c r="AB290" s="1" t="s">
        <v>47</v>
      </c>
      <c r="AC290" s="1" t="s">
        <v>48</v>
      </c>
      <c r="AD290" s="1" t="s">
        <v>43</v>
      </c>
      <c r="AE290" s="8">
        <f>IF(L290&lt;&gt;"",L290*E290,0)</f>
      </c>
    </row>
    <row r="291" spans="1:31" x14ac:dyDescent="0.25">
      <c r="A291" s="4">
        <v>286</v>
      </c>
      <c r="B291" s="1" t="s">
        <v>723</v>
      </c>
      <c r="C291" s="5">
        <f>HYPERLINK("https://client.unique.diamonds/dna/UH-14","DNA")</f>
      </c>
      <c r="D291" s="1" t="s">
        <v>36</v>
      </c>
      <c r="E291" s="6">
        <v>2</v>
      </c>
      <c r="F291" s="1" t="s">
        <v>138</v>
      </c>
      <c r="G291" s="1" t="s">
        <v>659</v>
      </c>
      <c r="H291" s="1" t="s">
        <v>39</v>
      </c>
      <c r="I291" s="1" t="s">
        <v>39</v>
      </c>
      <c r="J291" s="1" t="s">
        <v>39</v>
      </c>
      <c r="K291" s="1" t="s">
        <v>40</v>
      </c>
      <c r="L291" s="4">
        <v>11300</v>
      </c>
      <c r="M291" s="6">
        <v>-43.73</v>
      </c>
      <c r="N291" s="7">
        <f>IF(AND(L291 &lt;&gt; "-", M291 &lt;&gt; "-"),L291*( 1 + M291%),0)</f>
      </c>
      <c r="O291" s="7">
        <f>( N291 * E291 )</f>
      </c>
      <c r="P291" s="1" t="s">
        <v>724</v>
      </c>
      <c r="Q291" s="6">
        <v>1</v>
      </c>
      <c r="R291" s="6">
        <v>62.2</v>
      </c>
      <c r="S291" s="4">
        <v>58</v>
      </c>
      <c r="T291" s="1" t="s">
        <v>42</v>
      </c>
      <c r="U291" s="5">
        <f>HYPERLINK("https://www.gia.edu/report-check?reportno=2426785975","2426785975")</f>
      </c>
      <c r="V291" s="1" t="s">
        <v>43</v>
      </c>
      <c r="W291" s="1" t="s">
        <v>249</v>
      </c>
      <c r="X291" s="1" t="s">
        <v>45</v>
      </c>
      <c r="Y291" s="1" t="s">
        <v>40</v>
      </c>
      <c r="Z291" s="1" t="s">
        <v>45</v>
      </c>
      <c r="AA291" s="1" t="s">
        <v>47</v>
      </c>
      <c r="AB291" s="1" t="s">
        <v>47</v>
      </c>
      <c r="AC291" s="1" t="s">
        <v>48</v>
      </c>
      <c r="AD291" s="1" t="s">
        <v>43</v>
      </c>
      <c r="AE291" s="8">
        <f>IF(L291&lt;&gt;"",L291*E291,0)</f>
      </c>
    </row>
    <row r="292" spans="1:31" x14ac:dyDescent="0.25">
      <c r="A292" s="4">
        <v>287</v>
      </c>
      <c r="B292" s="1" t="s">
        <v>725</v>
      </c>
      <c r="C292" s="5">
        <f>HYPERLINK("https://client.unique.diamonds/dna/11174-54","DNA")</f>
      </c>
      <c r="D292" s="1" t="s">
        <v>36</v>
      </c>
      <c r="E292" s="6">
        <v>2.01</v>
      </c>
      <c r="F292" s="1" t="s">
        <v>138</v>
      </c>
      <c r="G292" s="1" t="s">
        <v>659</v>
      </c>
      <c r="H292" s="1" t="s">
        <v>39</v>
      </c>
      <c r="I292" s="1" t="s">
        <v>39</v>
      </c>
      <c r="J292" s="1" t="s">
        <v>39</v>
      </c>
      <c r="K292" s="1" t="s">
        <v>40</v>
      </c>
      <c r="L292" s="4">
        <v>11300</v>
      </c>
      <c r="M292" s="6">
        <v>-47.5</v>
      </c>
      <c r="N292" s="7">
        <f>IF(AND(L292 &lt;&gt; "-", M292 &lt;&gt; "-"),L292*( 1 + M292%),0)</f>
      </c>
      <c r="O292" s="7">
        <f>( N292 * E292 )</f>
      </c>
      <c r="P292" s="1" t="s">
        <v>726</v>
      </c>
      <c r="Q292" s="6">
        <v>1.01</v>
      </c>
      <c r="R292" s="6">
        <v>62.1</v>
      </c>
      <c r="S292" s="4">
        <v>59</v>
      </c>
      <c r="T292" s="1" t="s">
        <v>42</v>
      </c>
      <c r="U292" s="5">
        <f>HYPERLINK("https://www.gia.edu/report-check?reportno=1449020285","1449020285")</f>
      </c>
      <c r="V292" s="1" t="s">
        <v>43</v>
      </c>
      <c r="W292" s="1" t="s">
        <v>128</v>
      </c>
      <c r="X292" s="1" t="s">
        <v>45</v>
      </c>
      <c r="Y292" s="1" t="s">
        <v>40</v>
      </c>
      <c r="Z292" s="1" t="s">
        <v>46</v>
      </c>
      <c r="AA292" s="1" t="s">
        <v>367</v>
      </c>
      <c r="AB292" s="1" t="s">
        <v>40</v>
      </c>
      <c r="AC292" s="1" t="s">
        <v>48</v>
      </c>
      <c r="AD292" s="1" t="s">
        <v>43</v>
      </c>
      <c r="AE292" s="8">
        <f>IF(L292&lt;&gt;"",L292*E292,0)</f>
      </c>
    </row>
    <row r="293" spans="1:31" x14ac:dyDescent="0.25">
      <c r="A293" s="4">
        <v>288</v>
      </c>
      <c r="B293" s="1" t="s">
        <v>727</v>
      </c>
      <c r="C293" s="5">
        <f>HYPERLINK("https://client.unique.diamonds/dna/162-35","DNA")</f>
      </c>
      <c r="D293" s="1" t="s">
        <v>36</v>
      </c>
      <c r="E293" s="6">
        <v>2.05</v>
      </c>
      <c r="F293" s="1" t="s">
        <v>138</v>
      </c>
      <c r="G293" s="1" t="s">
        <v>659</v>
      </c>
      <c r="H293" s="1" t="s">
        <v>39</v>
      </c>
      <c r="I293" s="1" t="s">
        <v>39</v>
      </c>
      <c r="J293" s="1" t="s">
        <v>39</v>
      </c>
      <c r="K293" s="1" t="s">
        <v>90</v>
      </c>
      <c r="L293" s="4">
        <v>11300</v>
      </c>
      <c r="M293" s="6">
        <v>-46.77</v>
      </c>
      <c r="N293" s="7">
        <f>IF(AND(L293 &lt;&gt; "-", M293 &lt;&gt; "-"),L293*( 1 + M293%),0)</f>
      </c>
      <c r="O293" s="7">
        <f>( N293 * E293 )</f>
      </c>
      <c r="P293" s="1" t="s">
        <v>728</v>
      </c>
      <c r="Q293" s="6">
        <v>1.01</v>
      </c>
      <c r="R293" s="6">
        <v>61.8</v>
      </c>
      <c r="S293" s="4">
        <v>58</v>
      </c>
      <c r="T293" s="1" t="s">
        <v>42</v>
      </c>
      <c r="U293" s="5">
        <f>HYPERLINK("https://www.gia.edu/report-check?reportno=2446045054","2446045054")</f>
      </c>
      <c r="V293" s="1" t="s">
        <v>43</v>
      </c>
      <c r="W293" s="1" t="s">
        <v>729</v>
      </c>
      <c r="X293" s="1" t="s">
        <v>40</v>
      </c>
      <c r="Y293" s="1" t="s">
        <v>40</v>
      </c>
      <c r="Z293" s="1" t="s">
        <v>46</v>
      </c>
      <c r="AA293" s="1" t="s">
        <v>367</v>
      </c>
      <c r="AB293" s="1" t="s">
        <v>73</v>
      </c>
      <c r="AC293" s="1" t="s">
        <v>48</v>
      </c>
      <c r="AD293" s="1" t="s">
        <v>43</v>
      </c>
      <c r="AE293" s="8">
        <f>IF(L293&lt;&gt;"",L293*E293,0)</f>
      </c>
    </row>
    <row r="294" spans="1:31" x14ac:dyDescent="0.25">
      <c r="A294" s="4">
        <v>289</v>
      </c>
      <c r="B294" s="1" t="s">
        <v>730</v>
      </c>
      <c r="C294" s="5">
        <f>HYPERLINK("https://client.unique.diamonds/dna/U-1564","DNA")</f>
      </c>
      <c r="D294" s="1" t="s">
        <v>36</v>
      </c>
      <c r="E294" s="6">
        <v>2.05</v>
      </c>
      <c r="F294" s="1" t="s">
        <v>138</v>
      </c>
      <c r="G294" s="1" t="s">
        <v>659</v>
      </c>
      <c r="H294" s="1" t="s">
        <v>39</v>
      </c>
      <c r="I294" s="1" t="s">
        <v>39</v>
      </c>
      <c r="J294" s="1" t="s">
        <v>39</v>
      </c>
      <c r="K294" s="1" t="s">
        <v>40</v>
      </c>
      <c r="L294" s="4">
        <v>11300</v>
      </c>
      <c r="M294" s="6">
        <v>-42</v>
      </c>
      <c r="N294" s="7">
        <f>IF(AND(L294 &lt;&gt; "-", M294 &lt;&gt; "-"),L294*( 1 + M294%),0)</f>
      </c>
      <c r="O294" s="7">
        <f>( N294 * E294 )</f>
      </c>
      <c r="P294" s="1" t="s">
        <v>731</v>
      </c>
      <c r="Q294" s="6">
        <v>1.01</v>
      </c>
      <c r="R294" s="6">
        <v>61.8</v>
      </c>
      <c r="S294" s="4">
        <v>58</v>
      </c>
      <c r="T294" s="1" t="s">
        <v>42</v>
      </c>
      <c r="U294" s="5">
        <f>HYPERLINK("https://www.gia.edu/report-check?reportno=7436984006","7436984006")</f>
      </c>
      <c r="V294" s="1" t="s">
        <v>43</v>
      </c>
      <c r="W294" s="1" t="s">
        <v>67</v>
      </c>
      <c r="X294" s="1" t="s">
        <v>59</v>
      </c>
      <c r="Y294" s="1" t="s">
        <v>40</v>
      </c>
      <c r="Z294" s="1" t="s">
        <v>46</v>
      </c>
      <c r="AA294" s="1" t="s">
        <v>47</v>
      </c>
      <c r="AB294" s="1" t="s">
        <v>40</v>
      </c>
      <c r="AC294" s="1" t="s">
        <v>48</v>
      </c>
      <c r="AD294" s="1" t="s">
        <v>43</v>
      </c>
      <c r="AE294" s="8">
        <f>IF(L294&lt;&gt;"",L294*E294,0)</f>
      </c>
    </row>
    <row r="295" spans="1:31" x14ac:dyDescent="0.25">
      <c r="A295" s="4">
        <v>290</v>
      </c>
      <c r="B295" s="1" t="s">
        <v>732</v>
      </c>
      <c r="C295" s="5">
        <f>HYPERLINK("https://client.unique.diamonds/dna/142088-68","DNA")</f>
      </c>
      <c r="D295" s="1" t="s">
        <v>36</v>
      </c>
      <c r="E295" s="6">
        <v>1.5</v>
      </c>
      <c r="F295" s="1" t="s">
        <v>162</v>
      </c>
      <c r="G295" s="1" t="s">
        <v>659</v>
      </c>
      <c r="H295" s="1" t="s">
        <v>39</v>
      </c>
      <c r="I295" s="1" t="s">
        <v>39</v>
      </c>
      <c r="J295" s="1" t="s">
        <v>39</v>
      </c>
      <c r="K295" s="1" t="s">
        <v>40</v>
      </c>
      <c r="L295" s="4">
        <v>7700</v>
      </c>
      <c r="M295" s="6">
        <v>-46.5</v>
      </c>
      <c r="N295" s="7">
        <f>IF(AND(L295 &lt;&gt; "-", M295 &lt;&gt; "-"),L295*( 1 + M295%),0)</f>
      </c>
      <c r="O295" s="7">
        <f>( N295 * E295 )</f>
      </c>
      <c r="P295" s="1" t="s">
        <v>619</v>
      </c>
      <c r="Q295" s="6">
        <v>1.01</v>
      </c>
      <c r="R295" s="6">
        <v>62.5</v>
      </c>
      <c r="S295" s="4">
        <v>57</v>
      </c>
      <c r="T295" s="1" t="s">
        <v>42</v>
      </c>
      <c r="U295" s="5">
        <f>HYPERLINK("https://www.gia.edu/report-check?reportno=7411582560","7411582560")</f>
      </c>
      <c r="V295" s="1" t="s">
        <v>43</v>
      </c>
      <c r="W295" s="1" t="s">
        <v>278</v>
      </c>
      <c r="X295" s="1" t="s">
        <v>46</v>
      </c>
      <c r="Y295" s="1" t="s">
        <v>40</v>
      </c>
      <c r="Z295" s="1" t="s">
        <v>357</v>
      </c>
      <c r="AA295" s="1" t="s">
        <v>52</v>
      </c>
      <c r="AB295" s="1" t="s">
        <v>47</v>
      </c>
      <c r="AC295" s="1" t="s">
        <v>226</v>
      </c>
      <c r="AD295" s="1" t="s">
        <v>43</v>
      </c>
      <c r="AE295" s="8">
        <f>IF(L295&lt;&gt;"",L295*E295,0)</f>
      </c>
    </row>
    <row r="296" spans="1:31" x14ac:dyDescent="0.25">
      <c r="A296" s="4">
        <v>291</v>
      </c>
      <c r="B296" s="1" t="s">
        <v>733</v>
      </c>
      <c r="C296" s="5">
        <f>HYPERLINK("https://client.unique.diamonds/dna/11198-2","DNA")</f>
      </c>
      <c r="D296" s="1" t="s">
        <v>36</v>
      </c>
      <c r="E296" s="6">
        <v>1.5</v>
      </c>
      <c r="F296" s="1" t="s">
        <v>162</v>
      </c>
      <c r="G296" s="1" t="s">
        <v>659</v>
      </c>
      <c r="H296" s="1" t="s">
        <v>39</v>
      </c>
      <c r="I296" s="1" t="s">
        <v>39</v>
      </c>
      <c r="J296" s="1" t="s">
        <v>39</v>
      </c>
      <c r="K296" s="1" t="s">
        <v>94</v>
      </c>
      <c r="L296" s="4">
        <v>7700</v>
      </c>
      <c r="M296" s="6">
        <v>-51.85</v>
      </c>
      <c r="N296" s="7">
        <f>IF(AND(L296 &lt;&gt; "-", M296 &lt;&gt; "-"),L296*( 1 + M296%),0)</f>
      </c>
      <c r="O296" s="7">
        <f>( N296 * E296 )</f>
      </c>
      <c r="P296" s="1" t="s">
        <v>734</v>
      </c>
      <c r="Q296" s="6">
        <v>1.01</v>
      </c>
      <c r="R296" s="6">
        <v>63.1</v>
      </c>
      <c r="S296" s="4">
        <v>56</v>
      </c>
      <c r="T296" s="1" t="s">
        <v>42</v>
      </c>
      <c r="U296" s="5">
        <f>HYPERLINK("https://www.gia.edu/report-check?reportno=1448125355","1448125355")</f>
      </c>
      <c r="V296" s="1" t="s">
        <v>43</v>
      </c>
      <c r="W296" s="1" t="s">
        <v>566</v>
      </c>
      <c r="X296" s="1" t="s">
        <v>45</v>
      </c>
      <c r="Y296" s="1" t="s">
        <v>40</v>
      </c>
      <c r="Z296" s="1" t="s">
        <v>357</v>
      </c>
      <c r="AA296" s="1" t="s">
        <v>367</v>
      </c>
      <c r="AB296" s="1" t="s">
        <v>73</v>
      </c>
      <c r="AC296" s="1" t="s">
        <v>48</v>
      </c>
      <c r="AD296" s="1" t="s">
        <v>43</v>
      </c>
      <c r="AE296" s="8">
        <f>IF(L296&lt;&gt;"",L296*E296,0)</f>
      </c>
    </row>
    <row r="297" spans="1:31" x14ac:dyDescent="0.25">
      <c r="A297" s="4">
        <v>292</v>
      </c>
      <c r="B297" s="1" t="s">
        <v>735</v>
      </c>
      <c r="C297" s="5">
        <f>HYPERLINK("https://client.unique.diamonds/dna/22018-49","DNA")</f>
      </c>
      <c r="D297" s="1" t="s">
        <v>36</v>
      </c>
      <c r="E297" s="6">
        <v>1.51</v>
      </c>
      <c r="F297" s="1" t="s">
        <v>162</v>
      </c>
      <c r="G297" s="1" t="s">
        <v>659</v>
      </c>
      <c r="H297" s="1" t="s">
        <v>39</v>
      </c>
      <c r="I297" s="1" t="s">
        <v>39</v>
      </c>
      <c r="J297" s="1" t="s">
        <v>39</v>
      </c>
      <c r="K297" s="1" t="s">
        <v>40</v>
      </c>
      <c r="L297" s="4">
        <v>7700</v>
      </c>
      <c r="M297" s="6">
        <v>-37</v>
      </c>
      <c r="N297" s="7">
        <f>IF(AND(L297 &lt;&gt; "-", M297 &lt;&gt; "-"),L297*( 1 + M297%),0)</f>
      </c>
      <c r="O297" s="7">
        <f>( N297 * E297 )</f>
      </c>
      <c r="P297" s="1" t="s">
        <v>736</v>
      </c>
      <c r="Q297" s="6">
        <v>1</v>
      </c>
      <c r="R297" s="6">
        <v>62.7</v>
      </c>
      <c r="S297" s="4">
        <v>59</v>
      </c>
      <c r="T297" s="1" t="s">
        <v>42</v>
      </c>
      <c r="U297" s="5">
        <f>HYPERLINK("https://www.gia.edu/report-check?reportno=6465689469","6465689469")</f>
      </c>
      <c r="V297" s="1" t="s">
        <v>43</v>
      </c>
      <c r="W297" s="1" t="s">
        <v>737</v>
      </c>
      <c r="X297" s="1" t="s">
        <v>45</v>
      </c>
      <c r="Y297" s="1" t="s">
        <v>40</v>
      </c>
      <c r="Z297" s="1" t="s">
        <v>357</v>
      </c>
      <c r="AA297" s="1" t="s">
        <v>52</v>
      </c>
      <c r="AB297" s="1" t="s">
        <v>47</v>
      </c>
      <c r="AC297" s="1" t="s">
        <v>48</v>
      </c>
      <c r="AD297" s="1" t="s">
        <v>43</v>
      </c>
      <c r="AE297" s="8">
        <f>IF(L297&lt;&gt;"",L297*E297,0)</f>
      </c>
    </row>
    <row r="298" spans="1:31" x14ac:dyDescent="0.25">
      <c r="A298" s="4">
        <v>293</v>
      </c>
      <c r="B298" s="1" t="s">
        <v>738</v>
      </c>
      <c r="C298" s="5">
        <f>HYPERLINK("https://client.unique.diamonds/dna/11057-42","DNA")</f>
      </c>
      <c r="D298" s="1" t="s">
        <v>36</v>
      </c>
      <c r="E298" s="6">
        <v>1.53</v>
      </c>
      <c r="F298" s="1" t="s">
        <v>162</v>
      </c>
      <c r="G298" s="1" t="s">
        <v>659</v>
      </c>
      <c r="H298" s="1" t="s">
        <v>39</v>
      </c>
      <c r="I298" s="1" t="s">
        <v>39</v>
      </c>
      <c r="J298" s="1" t="s">
        <v>39</v>
      </c>
      <c r="K298" s="1" t="s">
        <v>40</v>
      </c>
      <c r="L298" s="4">
        <v>7700</v>
      </c>
      <c r="M298" s="6">
        <v>-43</v>
      </c>
      <c r="N298" s="7">
        <f>IF(AND(L298 &lt;&gt; "-", M298 &lt;&gt; "-"),L298*( 1 + M298%),0)</f>
      </c>
      <c r="O298" s="7">
        <f>( N298 * E298 )</f>
      </c>
      <c r="P298" s="1" t="s">
        <v>739</v>
      </c>
      <c r="Q298" s="6">
        <v>1</v>
      </c>
      <c r="R298" s="6">
        <v>61.9</v>
      </c>
      <c r="S298" s="4">
        <v>59</v>
      </c>
      <c r="T298" s="1" t="s">
        <v>42</v>
      </c>
      <c r="U298" s="5">
        <f>HYPERLINK("https://www.gia.edu/report-check?reportno=5426423287","5426423287")</f>
      </c>
      <c r="V298" s="1" t="s">
        <v>43</v>
      </c>
      <c r="W298" s="1" t="s">
        <v>740</v>
      </c>
      <c r="X298" s="1" t="s">
        <v>59</v>
      </c>
      <c r="Y298" s="1" t="s">
        <v>40</v>
      </c>
      <c r="Z298" s="1" t="s">
        <v>46</v>
      </c>
      <c r="AA298" s="1" t="s">
        <v>47</v>
      </c>
      <c r="AB298" s="1" t="s">
        <v>40</v>
      </c>
      <c r="AC298" s="1" t="s">
        <v>48</v>
      </c>
      <c r="AD298" s="1" t="s">
        <v>43</v>
      </c>
      <c r="AE298" s="8">
        <f>IF(L298&lt;&gt;"",L298*E298,0)</f>
      </c>
    </row>
    <row r="299" spans="1:31" x14ac:dyDescent="0.25">
      <c r="A299" s="4">
        <v>294</v>
      </c>
      <c r="B299" s="1" t="s">
        <v>741</v>
      </c>
      <c r="C299" s="5">
        <f>HYPERLINK("https://client.unique.diamonds/dna/11008-11","DNA")</f>
      </c>
      <c r="D299" s="1" t="s">
        <v>36</v>
      </c>
      <c r="E299" s="6">
        <v>1.71</v>
      </c>
      <c r="F299" s="1" t="s">
        <v>162</v>
      </c>
      <c r="G299" s="1" t="s">
        <v>659</v>
      </c>
      <c r="H299" s="1" t="s">
        <v>39</v>
      </c>
      <c r="I299" s="1" t="s">
        <v>39</v>
      </c>
      <c r="J299" s="1" t="s">
        <v>39</v>
      </c>
      <c r="K299" s="1" t="s">
        <v>40</v>
      </c>
      <c r="L299" s="4">
        <v>7700</v>
      </c>
      <c r="M299" s="6">
        <v>-49</v>
      </c>
      <c r="N299" s="7">
        <f>IF(AND(L299 &lt;&gt; "-", M299 &lt;&gt; "-"),L299*( 1 + M299%),0)</f>
      </c>
      <c r="O299" s="7">
        <f>( N299 * E299 )</f>
      </c>
      <c r="P299" s="1" t="s">
        <v>742</v>
      </c>
      <c r="Q299" s="6">
        <v>1.01</v>
      </c>
      <c r="R299" s="6">
        <v>60.5</v>
      </c>
      <c r="S299" s="4">
        <v>62</v>
      </c>
      <c r="T299" s="1" t="s">
        <v>42</v>
      </c>
      <c r="U299" s="5">
        <f>HYPERLINK("https://www.gia.edu/report-check?reportno=5423050274","5423050274")</f>
      </c>
      <c r="V299" s="1" t="s">
        <v>43</v>
      </c>
      <c r="W299" s="1" t="s">
        <v>67</v>
      </c>
      <c r="X299" s="1" t="s">
        <v>46</v>
      </c>
      <c r="Y299" s="1" t="s">
        <v>40</v>
      </c>
      <c r="Z299" s="1" t="s">
        <v>40</v>
      </c>
      <c r="AA299" s="1" t="s">
        <v>367</v>
      </c>
      <c r="AB299" s="1" t="s">
        <v>40</v>
      </c>
      <c r="AC299" s="1" t="s">
        <v>226</v>
      </c>
      <c r="AD299" s="1" t="s">
        <v>43</v>
      </c>
      <c r="AE299" s="8">
        <f>IF(L299&lt;&gt;"",L299*E299,0)</f>
      </c>
    </row>
    <row r="300" spans="1:31" x14ac:dyDescent="0.25">
      <c r="A300" s="4">
        <v>295</v>
      </c>
      <c r="B300" s="1" t="s">
        <v>743</v>
      </c>
      <c r="C300" s="5">
        <f>HYPERLINK("https://client.unique.diamonds/dna/161-29","DNA")</f>
      </c>
      <c r="D300" s="1" t="s">
        <v>36</v>
      </c>
      <c r="E300" s="6">
        <v>2</v>
      </c>
      <c r="F300" s="1" t="s">
        <v>162</v>
      </c>
      <c r="G300" s="1" t="s">
        <v>659</v>
      </c>
      <c r="H300" s="1" t="s">
        <v>39</v>
      </c>
      <c r="I300" s="1" t="s">
        <v>39</v>
      </c>
      <c r="J300" s="1" t="s">
        <v>39</v>
      </c>
      <c r="K300" s="1" t="s">
        <v>94</v>
      </c>
      <c r="L300" s="4">
        <v>10600</v>
      </c>
      <c r="M300" s="6">
        <v>-49.25</v>
      </c>
      <c r="N300" s="7">
        <f>IF(AND(L300 &lt;&gt; "-", M300 &lt;&gt; "-"),L300*( 1 + M300%),0)</f>
      </c>
      <c r="O300" s="7">
        <f>( N300 * E300 )</f>
      </c>
      <c r="P300" s="1" t="s">
        <v>744</v>
      </c>
      <c r="Q300" s="6">
        <v>1.01</v>
      </c>
      <c r="R300" s="6">
        <v>61.5</v>
      </c>
      <c r="S300" s="4">
        <v>61</v>
      </c>
      <c r="T300" s="1" t="s">
        <v>42</v>
      </c>
      <c r="U300" s="5">
        <f>HYPERLINK("https://www.gia.edu/report-check?reportno=5436561586","5436561586")</f>
      </c>
      <c r="V300" s="1" t="s">
        <v>43</v>
      </c>
      <c r="W300" s="1" t="s">
        <v>745</v>
      </c>
      <c r="X300" s="1" t="s">
        <v>59</v>
      </c>
      <c r="Y300" s="1" t="s">
        <v>40</v>
      </c>
      <c r="Z300" s="1" t="s">
        <v>40</v>
      </c>
      <c r="AA300" s="1" t="s">
        <v>52</v>
      </c>
      <c r="AB300" s="1" t="s">
        <v>40</v>
      </c>
      <c r="AC300" s="1" t="s">
        <v>48</v>
      </c>
      <c r="AD300" s="1" t="s">
        <v>43</v>
      </c>
      <c r="AE300" s="8">
        <f>IF(L300&lt;&gt;"",L300*E300,0)</f>
      </c>
    </row>
    <row r="301" spans="1:31" x14ac:dyDescent="0.25">
      <c r="A301" s="4">
        <v>296</v>
      </c>
      <c r="B301" s="1" t="s">
        <v>746</v>
      </c>
      <c r="C301" s="5">
        <f>HYPERLINK("https://client.unique.diamonds/dna/162-76","DNA")</f>
      </c>
      <c r="D301" s="1" t="s">
        <v>36</v>
      </c>
      <c r="E301" s="6">
        <v>2.01</v>
      </c>
      <c r="F301" s="1" t="s">
        <v>162</v>
      </c>
      <c r="G301" s="1" t="s">
        <v>659</v>
      </c>
      <c r="H301" s="1" t="s">
        <v>39</v>
      </c>
      <c r="I301" s="1" t="s">
        <v>39</v>
      </c>
      <c r="J301" s="1" t="s">
        <v>39</v>
      </c>
      <c r="K301" s="1" t="s">
        <v>40</v>
      </c>
      <c r="L301" s="4">
        <v>10600</v>
      </c>
      <c r="M301" s="6">
        <v>-41.91</v>
      </c>
      <c r="N301" s="7">
        <f>IF(AND(L301 &lt;&gt; "-", M301 &lt;&gt; "-"),L301*( 1 + M301%),0)</f>
      </c>
      <c r="O301" s="7">
        <f>( N301 * E301 )</f>
      </c>
      <c r="P301" s="1" t="s">
        <v>747</v>
      </c>
      <c r="Q301" s="6">
        <v>1</v>
      </c>
      <c r="R301" s="6">
        <v>61.7</v>
      </c>
      <c r="S301" s="4">
        <v>59</v>
      </c>
      <c r="T301" s="1" t="s">
        <v>42</v>
      </c>
      <c r="U301" s="5">
        <f>HYPERLINK("https://www.gia.edu/report-check?reportno=7436417653","7436417653")</f>
      </c>
      <c r="V301" s="1" t="s">
        <v>43</v>
      </c>
      <c r="W301" s="1" t="s">
        <v>578</v>
      </c>
      <c r="X301" s="1" t="s">
        <v>357</v>
      </c>
      <c r="Y301" s="1" t="s">
        <v>40</v>
      </c>
      <c r="Z301" s="1" t="s">
        <v>45</v>
      </c>
      <c r="AA301" s="1" t="s">
        <v>47</v>
      </c>
      <c r="AB301" s="1" t="s">
        <v>73</v>
      </c>
      <c r="AC301" s="1" t="s">
        <v>48</v>
      </c>
      <c r="AD301" s="1" t="s">
        <v>43</v>
      </c>
      <c r="AE301" s="8">
        <f>IF(L301&lt;&gt;"",L301*E301,0)</f>
      </c>
    </row>
    <row r="302" spans="1:31" x14ac:dyDescent="0.25">
      <c r="A302" s="4">
        <v>297</v>
      </c>
      <c r="B302" s="1" t="s">
        <v>748</v>
      </c>
      <c r="C302" s="5">
        <f>HYPERLINK("https://client.unique.diamonds/dna/21109-2","DNA")</f>
      </c>
      <c r="D302" s="1" t="s">
        <v>36</v>
      </c>
      <c r="E302" s="6">
        <v>2.01</v>
      </c>
      <c r="F302" s="1" t="s">
        <v>162</v>
      </c>
      <c r="G302" s="1" t="s">
        <v>659</v>
      </c>
      <c r="H302" s="1" t="s">
        <v>39</v>
      </c>
      <c r="I302" s="1" t="s">
        <v>39</v>
      </c>
      <c r="J302" s="1" t="s">
        <v>39</v>
      </c>
      <c r="K302" s="1" t="s">
        <v>40</v>
      </c>
      <c r="L302" s="4">
        <v>10600</v>
      </c>
      <c r="M302" s="6">
        <v>-41</v>
      </c>
      <c r="N302" s="7">
        <f>IF(AND(L302 &lt;&gt; "-", M302 &lt;&gt; "-"),L302*( 1 + M302%),0)</f>
      </c>
      <c r="O302" s="7">
        <f>( N302 * E302 )</f>
      </c>
      <c r="P302" s="1" t="s">
        <v>749</v>
      </c>
      <c r="Q302" s="6">
        <v>1.01</v>
      </c>
      <c r="R302" s="6">
        <v>62.6</v>
      </c>
      <c r="S302" s="4">
        <v>58</v>
      </c>
      <c r="T302" s="1" t="s">
        <v>42</v>
      </c>
      <c r="U302" s="5">
        <f>HYPERLINK("https://www.gia.edu/report-check?reportno=1465384566","1465384566")</f>
      </c>
      <c r="V302" s="1" t="s">
        <v>43</v>
      </c>
      <c r="W302" s="1" t="s">
        <v>750</v>
      </c>
      <c r="X302" s="1" t="s">
        <v>418</v>
      </c>
      <c r="Y302" s="1" t="s">
        <v>40</v>
      </c>
      <c r="Z302" s="1" t="s">
        <v>46</v>
      </c>
      <c r="AA302" s="1" t="s">
        <v>47</v>
      </c>
      <c r="AB302" s="1" t="s">
        <v>40</v>
      </c>
      <c r="AC302" s="1" t="s">
        <v>48</v>
      </c>
      <c r="AD302" s="1" t="s">
        <v>43</v>
      </c>
      <c r="AE302" s="8">
        <f>IF(L302&lt;&gt;"",L302*E302,0)</f>
      </c>
    </row>
    <row r="303" spans="1:31" x14ac:dyDescent="0.25">
      <c r="A303" s="4">
        <v>298</v>
      </c>
      <c r="B303" s="1" t="s">
        <v>751</v>
      </c>
      <c r="C303" s="5">
        <f>HYPERLINK("https://client.unique.diamonds/dna/21027-20","DNA")</f>
      </c>
      <c r="D303" s="1" t="s">
        <v>36</v>
      </c>
      <c r="E303" s="6">
        <v>2.02</v>
      </c>
      <c r="F303" s="1" t="s">
        <v>162</v>
      </c>
      <c r="G303" s="1" t="s">
        <v>659</v>
      </c>
      <c r="H303" s="1" t="s">
        <v>39</v>
      </c>
      <c r="I303" s="1" t="s">
        <v>39</v>
      </c>
      <c r="J303" s="1" t="s">
        <v>39</v>
      </c>
      <c r="K303" s="1" t="s">
        <v>90</v>
      </c>
      <c r="L303" s="4">
        <v>10600</v>
      </c>
      <c r="M303" s="6">
        <v>-48.24</v>
      </c>
      <c r="N303" s="7">
        <f>IF(AND(L303 &lt;&gt; "-", M303 &lt;&gt; "-"),L303*( 1 + M303%),0)</f>
      </c>
      <c r="O303" s="7">
        <f>( N303 * E303 )</f>
      </c>
      <c r="P303" s="1" t="s">
        <v>752</v>
      </c>
      <c r="Q303" s="6">
        <v>1.01</v>
      </c>
      <c r="R303" s="6">
        <v>62.6</v>
      </c>
      <c r="S303" s="4">
        <v>58</v>
      </c>
      <c r="T303" s="1" t="s">
        <v>42</v>
      </c>
      <c r="U303" s="5">
        <f>HYPERLINK("https://www.gia.edu/report-check?reportno=6452649863","6452649863")</f>
      </c>
      <c r="V303" s="1" t="s">
        <v>43</v>
      </c>
      <c r="W303" s="1" t="s">
        <v>753</v>
      </c>
      <c r="X303" s="1" t="s">
        <v>59</v>
      </c>
      <c r="Y303" s="1" t="s">
        <v>40</v>
      </c>
      <c r="Z303" s="1" t="s">
        <v>45</v>
      </c>
      <c r="AA303" s="1" t="s">
        <v>367</v>
      </c>
      <c r="AB303" s="1" t="s">
        <v>47</v>
      </c>
      <c r="AC303" s="1" t="s">
        <v>48</v>
      </c>
      <c r="AD303" s="1" t="s">
        <v>43</v>
      </c>
      <c r="AE303" s="8">
        <f>IF(L303&lt;&gt;"",L303*E303,0)</f>
      </c>
    </row>
    <row r="304" spans="1:31" x14ac:dyDescent="0.25">
      <c r="A304" s="4">
        <v>299</v>
      </c>
      <c r="B304" s="1" t="s">
        <v>754</v>
      </c>
      <c r="C304" s="5">
        <f>HYPERLINK("https://client.unique.diamonds/dna/161-75","DNA")</f>
      </c>
      <c r="D304" s="1" t="s">
        <v>36</v>
      </c>
      <c r="E304" s="6">
        <v>2.35</v>
      </c>
      <c r="F304" s="1" t="s">
        <v>162</v>
      </c>
      <c r="G304" s="1" t="s">
        <v>659</v>
      </c>
      <c r="H304" s="1" t="s">
        <v>39</v>
      </c>
      <c r="I304" s="1" t="s">
        <v>39</v>
      </c>
      <c r="J304" s="1" t="s">
        <v>39</v>
      </c>
      <c r="K304" s="1" t="s">
        <v>40</v>
      </c>
      <c r="L304" s="4">
        <v>10600</v>
      </c>
      <c r="M304" s="6">
        <v>-42.16</v>
      </c>
      <c r="N304" s="7">
        <f>IF(AND(L304 &lt;&gt; "-", M304 &lt;&gt; "-"),L304*( 1 + M304%),0)</f>
      </c>
      <c r="O304" s="7">
        <f>( N304 * E304 )</f>
      </c>
      <c r="P304" s="1" t="s">
        <v>755</v>
      </c>
      <c r="Q304" s="6">
        <v>1</v>
      </c>
      <c r="R304" s="6">
        <v>62.3</v>
      </c>
      <c r="S304" s="4">
        <v>59</v>
      </c>
      <c r="T304" s="1" t="s">
        <v>42</v>
      </c>
      <c r="U304" s="5">
        <f>HYPERLINK("https://www.gia.edu/report-check?reportno=2437571756","2437571756")</f>
      </c>
      <c r="V304" s="1" t="s">
        <v>43</v>
      </c>
      <c r="W304" s="1" t="s">
        <v>756</v>
      </c>
      <c r="X304" s="1" t="s">
        <v>40</v>
      </c>
      <c r="Y304" s="1" t="s">
        <v>40</v>
      </c>
      <c r="Z304" s="1" t="s">
        <v>40</v>
      </c>
      <c r="AA304" s="1" t="s">
        <v>47</v>
      </c>
      <c r="AB304" s="1" t="s">
        <v>40</v>
      </c>
      <c r="AC304" s="1" t="s">
        <v>48</v>
      </c>
      <c r="AD304" s="1" t="s">
        <v>43</v>
      </c>
      <c r="AE304" s="8">
        <f>IF(L304&lt;&gt;"",L304*E304,0)</f>
      </c>
    </row>
    <row r="305" spans="1:31" x14ac:dyDescent="0.25">
      <c r="A305" s="4">
        <v>300</v>
      </c>
      <c r="B305" s="1" t="s">
        <v>757</v>
      </c>
      <c r="C305" s="5">
        <f>HYPERLINK("https://client.unique.diamonds/dna/21040-11","DNA")</f>
      </c>
      <c r="D305" s="1" t="s">
        <v>36</v>
      </c>
      <c r="E305" s="6">
        <v>2.7</v>
      </c>
      <c r="F305" s="1" t="s">
        <v>162</v>
      </c>
      <c r="G305" s="1" t="s">
        <v>659</v>
      </c>
      <c r="H305" s="1" t="s">
        <v>39</v>
      </c>
      <c r="I305" s="1" t="s">
        <v>39</v>
      </c>
      <c r="J305" s="1" t="s">
        <v>39</v>
      </c>
      <c r="K305" s="1" t="s">
        <v>40</v>
      </c>
      <c r="L305" s="4">
        <v>10600</v>
      </c>
      <c r="M305" s="6">
        <v>-26.45</v>
      </c>
      <c r="N305" s="7">
        <f>IF(AND(L305 &lt;&gt; "-", M305 &lt;&gt; "-"),L305*( 1 + M305%),0)</f>
      </c>
      <c r="O305" s="7">
        <f>( N305 * E305 )</f>
      </c>
      <c r="P305" s="1" t="s">
        <v>354</v>
      </c>
      <c r="Q305" s="6">
        <v>1.01</v>
      </c>
      <c r="R305" s="6">
        <v>62.5</v>
      </c>
      <c r="S305" s="4">
        <v>58</v>
      </c>
      <c r="T305" s="1" t="s">
        <v>42</v>
      </c>
      <c r="U305" s="5">
        <f>HYPERLINK("https://www.gia.edu/report-check?reportno=6451790540","6451790540")</f>
      </c>
      <c r="V305" s="1" t="s">
        <v>43</v>
      </c>
      <c r="W305" s="1" t="s">
        <v>537</v>
      </c>
      <c r="X305" s="1" t="s">
        <v>46</v>
      </c>
      <c r="Y305" s="1" t="s">
        <v>40</v>
      </c>
      <c r="Z305" s="1" t="s">
        <v>46</v>
      </c>
      <c r="AA305" s="1" t="s">
        <v>47</v>
      </c>
      <c r="AB305" s="1" t="s">
        <v>47</v>
      </c>
      <c r="AC305" s="1" t="s">
        <v>48</v>
      </c>
      <c r="AD305" s="1" t="s">
        <v>43</v>
      </c>
      <c r="AE305" s="8">
        <f>IF(L305&lt;&gt;"",L305*E305,0)</f>
      </c>
    </row>
    <row r="306" spans="1:31" x14ac:dyDescent="0.25">
      <c r="A306" s="4">
        <v>301</v>
      </c>
      <c r="B306" s="1" t="s">
        <v>758</v>
      </c>
      <c r="C306" s="5">
        <f>HYPERLINK("https://client.unique.diamonds/dna/11274-58","DNA")</f>
      </c>
      <c r="D306" s="1" t="s">
        <v>36</v>
      </c>
      <c r="E306" s="6">
        <v>2.7</v>
      </c>
      <c r="F306" s="1" t="s">
        <v>162</v>
      </c>
      <c r="G306" s="1" t="s">
        <v>659</v>
      </c>
      <c r="H306" s="1" t="s">
        <v>39</v>
      </c>
      <c r="I306" s="1" t="s">
        <v>39</v>
      </c>
      <c r="J306" s="1" t="s">
        <v>39</v>
      </c>
      <c r="K306" s="1" t="s">
        <v>40</v>
      </c>
      <c r="L306" s="4">
        <v>10600</v>
      </c>
      <c r="M306" s="6">
        <v>-25.44</v>
      </c>
      <c r="N306" s="7">
        <f>IF(AND(L306 &lt;&gt; "-", M306 &lt;&gt; "-"),L306*( 1 + M306%),0)</f>
      </c>
      <c r="O306" s="7">
        <f>( N306 * E306 )</f>
      </c>
      <c r="P306" s="1" t="s">
        <v>759</v>
      </c>
      <c r="Q306" s="6">
        <v>1</v>
      </c>
      <c r="R306" s="6">
        <v>59.4</v>
      </c>
      <c r="S306" s="4">
        <v>62</v>
      </c>
      <c r="T306" s="1" t="s">
        <v>42</v>
      </c>
      <c r="U306" s="5">
        <f>HYPERLINK("https://www.gia.edu/report-check?reportno=7448942738","7448942738")</f>
      </c>
      <c r="V306" s="1" t="s">
        <v>43</v>
      </c>
      <c r="W306" s="1" t="s">
        <v>67</v>
      </c>
      <c r="X306" s="1" t="s">
        <v>46</v>
      </c>
      <c r="Y306" s="1" t="s">
        <v>40</v>
      </c>
      <c r="Z306" s="1" t="s">
        <v>46</v>
      </c>
      <c r="AA306" s="1" t="s">
        <v>47</v>
      </c>
      <c r="AB306" s="1" t="s">
        <v>47</v>
      </c>
      <c r="AC306" s="1" t="s">
        <v>329</v>
      </c>
      <c r="AD306" s="1" t="s">
        <v>43</v>
      </c>
      <c r="AE306" s="8">
        <f>IF(L306&lt;&gt;"",L306*E306,0)</f>
      </c>
    </row>
    <row r="307" spans="1:31" x14ac:dyDescent="0.25">
      <c r="A307" s="4">
        <v>302</v>
      </c>
      <c r="B307" s="1" t="s">
        <v>760</v>
      </c>
      <c r="C307" s="5">
        <f>HYPERLINK("https://client.unique.diamonds/dna/162-114","DNA")</f>
      </c>
      <c r="D307" s="1" t="s">
        <v>36</v>
      </c>
      <c r="E307" s="6">
        <v>3</v>
      </c>
      <c r="F307" s="1" t="s">
        <v>162</v>
      </c>
      <c r="G307" s="1" t="s">
        <v>659</v>
      </c>
      <c r="H307" s="1" t="s">
        <v>39</v>
      </c>
      <c r="I307" s="1" t="s">
        <v>39</v>
      </c>
      <c r="J307" s="1" t="s">
        <v>39</v>
      </c>
      <c r="K307" s="1" t="s">
        <v>90</v>
      </c>
      <c r="L307" s="4">
        <v>14800</v>
      </c>
      <c r="M307" s="6">
        <v>-40</v>
      </c>
      <c r="N307" s="7">
        <f>IF(AND(L307 &lt;&gt; "-", M307 &lt;&gt; "-"),L307*( 1 + M307%),0)</f>
      </c>
      <c r="O307" s="7">
        <f>( N307 * E307 )</f>
      </c>
      <c r="P307" s="1" t="s">
        <v>761</v>
      </c>
      <c r="Q307" s="6">
        <v>1</v>
      </c>
      <c r="R307" s="6">
        <v>62.2</v>
      </c>
      <c r="S307" s="4">
        <v>59</v>
      </c>
      <c r="T307" s="1" t="s">
        <v>42</v>
      </c>
      <c r="U307" s="5">
        <f>HYPERLINK("https://www.gia.edu/report-check?reportno=6452102969","6452102969")</f>
      </c>
      <c r="V307" s="1" t="s">
        <v>43</v>
      </c>
      <c r="W307" s="1" t="s">
        <v>314</v>
      </c>
      <c r="X307" s="1" t="s">
        <v>45</v>
      </c>
      <c r="Y307" s="1" t="s">
        <v>40</v>
      </c>
      <c r="Z307" s="1" t="s">
        <v>46</v>
      </c>
      <c r="AA307" s="1" t="s">
        <v>47</v>
      </c>
      <c r="AB307" s="1" t="s">
        <v>73</v>
      </c>
      <c r="AC307" s="1" t="s">
        <v>48</v>
      </c>
      <c r="AD307" s="1" t="s">
        <v>43</v>
      </c>
      <c r="AE307" s="8">
        <f>IF(L307&lt;&gt;"",L307*E307,0)</f>
      </c>
    </row>
    <row r="308" spans="1:31" x14ac:dyDescent="0.25">
      <c r="A308" s="4">
        <v>303</v>
      </c>
      <c r="B308" s="1" t="s">
        <v>762</v>
      </c>
      <c r="C308" s="5">
        <f>HYPERLINK("https://client.unique.diamonds/dna/12069-27","DNA")</f>
      </c>
      <c r="D308" s="1" t="s">
        <v>36</v>
      </c>
      <c r="E308" s="6">
        <v>1.5</v>
      </c>
      <c r="F308" s="1" t="s">
        <v>176</v>
      </c>
      <c r="G308" s="1" t="s">
        <v>659</v>
      </c>
      <c r="H308" s="1" t="s">
        <v>39</v>
      </c>
      <c r="I308" s="1" t="s">
        <v>39</v>
      </c>
      <c r="J308" s="1" t="s">
        <v>39</v>
      </c>
      <c r="K308" s="1" t="s">
        <v>94</v>
      </c>
      <c r="L308" s="4">
        <v>7200</v>
      </c>
      <c r="M308" s="6">
        <v>-47.5</v>
      </c>
      <c r="N308" s="7">
        <f>IF(AND(L308 &lt;&gt; "-", M308 &lt;&gt; "-"),L308*( 1 + M308%),0)</f>
      </c>
      <c r="O308" s="7">
        <f>( N308 * E308 )</f>
      </c>
      <c r="P308" s="1" t="s">
        <v>664</v>
      </c>
      <c r="Q308" s="6">
        <v>1.01</v>
      </c>
      <c r="R308" s="6">
        <v>62.7</v>
      </c>
      <c r="S308" s="4">
        <v>58</v>
      </c>
      <c r="T308" s="1" t="s">
        <v>42</v>
      </c>
      <c r="U308" s="5">
        <f>HYPERLINK("https://www.gia.edu/report-check?reportno=2446697105","2446697105")</f>
      </c>
      <c r="V308" s="1" t="s">
        <v>43</v>
      </c>
      <c r="W308" s="1" t="s">
        <v>763</v>
      </c>
      <c r="X308" s="1" t="s">
        <v>701</v>
      </c>
      <c r="Y308" s="1" t="s">
        <v>40</v>
      </c>
      <c r="Z308" s="1" t="s">
        <v>46</v>
      </c>
      <c r="AA308" s="1" t="s">
        <v>52</v>
      </c>
      <c r="AB308" s="1" t="s">
        <v>47</v>
      </c>
      <c r="AC308" s="1" t="s">
        <v>226</v>
      </c>
      <c r="AD308" s="1" t="s">
        <v>43</v>
      </c>
      <c r="AE308" s="8">
        <f>IF(L308&lt;&gt;"",L308*E308,0)</f>
      </c>
    </row>
    <row r="309" spans="1:31" x14ac:dyDescent="0.25">
      <c r="A309" s="4">
        <v>304</v>
      </c>
      <c r="B309" s="1" t="s">
        <v>764</v>
      </c>
      <c r="C309" s="5">
        <f>HYPERLINK("https://client.unique.diamonds/dna/22002-57","DNA")</f>
      </c>
      <c r="D309" s="1" t="s">
        <v>36</v>
      </c>
      <c r="E309" s="6">
        <v>1.5</v>
      </c>
      <c r="F309" s="1" t="s">
        <v>176</v>
      </c>
      <c r="G309" s="1" t="s">
        <v>659</v>
      </c>
      <c r="H309" s="1" t="s">
        <v>39</v>
      </c>
      <c r="I309" s="1" t="s">
        <v>39</v>
      </c>
      <c r="J309" s="1" t="s">
        <v>39</v>
      </c>
      <c r="K309" s="1" t="s">
        <v>40</v>
      </c>
      <c r="L309" s="4">
        <v>7200</v>
      </c>
      <c r="M309" s="6">
        <v>-41.16</v>
      </c>
      <c r="N309" s="7">
        <f>IF(AND(L309 &lt;&gt; "-", M309 &lt;&gt; "-"),L309*( 1 + M309%),0)</f>
      </c>
      <c r="O309" s="7">
        <f>( N309 * E309 )</f>
      </c>
      <c r="P309" s="1" t="s">
        <v>765</v>
      </c>
      <c r="Q309" s="6">
        <v>1.01</v>
      </c>
      <c r="R309" s="6">
        <v>62.7</v>
      </c>
      <c r="S309" s="4">
        <v>57</v>
      </c>
      <c r="T309" s="1" t="s">
        <v>42</v>
      </c>
      <c r="U309" s="5">
        <f>HYPERLINK("https://www.gia.edu/report-check?reportno=2456827406","2456827406")</f>
      </c>
      <c r="V309" s="1" t="s">
        <v>43</v>
      </c>
      <c r="W309" s="1" t="s">
        <v>644</v>
      </c>
      <c r="X309" s="1" t="s">
        <v>45</v>
      </c>
      <c r="Y309" s="1" t="s">
        <v>40</v>
      </c>
      <c r="Z309" s="1" t="s">
        <v>46</v>
      </c>
      <c r="AA309" s="1" t="s">
        <v>47</v>
      </c>
      <c r="AB309" s="1" t="s">
        <v>47</v>
      </c>
      <c r="AC309" s="1" t="s">
        <v>48</v>
      </c>
      <c r="AD309" s="1" t="s">
        <v>43</v>
      </c>
      <c r="AE309" s="8">
        <f>IF(L309&lt;&gt;"",L309*E309,0)</f>
      </c>
    </row>
    <row r="310" spans="1:31" x14ac:dyDescent="0.25">
      <c r="A310" s="4">
        <v>305</v>
      </c>
      <c r="B310" s="1" t="s">
        <v>766</v>
      </c>
      <c r="C310" s="5">
        <f>HYPERLINK("https://client.unique.diamonds/dna/162-77","DNA")</f>
      </c>
      <c r="D310" s="1" t="s">
        <v>36</v>
      </c>
      <c r="E310" s="6">
        <v>1.51</v>
      </c>
      <c r="F310" s="1" t="s">
        <v>176</v>
      </c>
      <c r="G310" s="1" t="s">
        <v>659</v>
      </c>
      <c r="H310" s="1" t="s">
        <v>39</v>
      </c>
      <c r="I310" s="1" t="s">
        <v>39</v>
      </c>
      <c r="J310" s="1" t="s">
        <v>39</v>
      </c>
      <c r="K310" s="1" t="s">
        <v>40</v>
      </c>
      <c r="L310" s="4">
        <v>7200</v>
      </c>
      <c r="M310" s="6">
        <v>-42.43</v>
      </c>
      <c r="N310" s="7">
        <f>IF(AND(L310 &lt;&gt; "-", M310 &lt;&gt; "-"),L310*( 1 + M310%),0)</f>
      </c>
      <c r="O310" s="7">
        <f>( N310 * E310 )</f>
      </c>
      <c r="P310" s="1" t="s">
        <v>767</v>
      </c>
      <c r="Q310" s="6">
        <v>1.01</v>
      </c>
      <c r="R310" s="6">
        <v>62.2</v>
      </c>
      <c r="S310" s="4">
        <v>57</v>
      </c>
      <c r="T310" s="1" t="s">
        <v>42</v>
      </c>
      <c r="U310" s="5">
        <f>HYPERLINK("https://www.gia.edu/report-check?reportno=2446041781","2446041781")</f>
      </c>
      <c r="V310" s="1" t="s">
        <v>43</v>
      </c>
      <c r="W310" s="1" t="s">
        <v>484</v>
      </c>
      <c r="X310" s="1" t="s">
        <v>45</v>
      </c>
      <c r="Y310" s="1" t="s">
        <v>40</v>
      </c>
      <c r="Z310" s="1" t="s">
        <v>357</v>
      </c>
      <c r="AA310" s="1" t="s">
        <v>52</v>
      </c>
      <c r="AB310" s="1" t="s">
        <v>73</v>
      </c>
      <c r="AC310" s="1" t="s">
        <v>48</v>
      </c>
      <c r="AD310" s="1" t="s">
        <v>43</v>
      </c>
      <c r="AE310" s="8">
        <f>IF(L310&lt;&gt;"",L310*E310,0)</f>
      </c>
    </row>
    <row r="311" spans="1:31" x14ac:dyDescent="0.25">
      <c r="A311" s="4">
        <v>306</v>
      </c>
      <c r="B311" s="1" t="s">
        <v>768</v>
      </c>
      <c r="C311" s="5">
        <f>HYPERLINK("https://client.unique.diamonds/dna/11162-97","DNA")</f>
      </c>
      <c r="D311" s="1" t="s">
        <v>36</v>
      </c>
      <c r="E311" s="6">
        <v>1.51</v>
      </c>
      <c r="F311" s="1" t="s">
        <v>176</v>
      </c>
      <c r="G311" s="1" t="s">
        <v>659</v>
      </c>
      <c r="H311" s="1" t="s">
        <v>39</v>
      </c>
      <c r="I311" s="1" t="s">
        <v>39</v>
      </c>
      <c r="J311" s="1" t="s">
        <v>39</v>
      </c>
      <c r="K311" s="1" t="s">
        <v>40</v>
      </c>
      <c r="L311" s="4">
        <v>7200</v>
      </c>
      <c r="M311" s="6">
        <v>-47</v>
      </c>
      <c r="N311" s="7">
        <f>IF(AND(L311 &lt;&gt; "-", M311 &lt;&gt; "-"),L311*( 1 + M311%),0)</f>
      </c>
      <c r="O311" s="7">
        <f>( N311 * E311 )</f>
      </c>
      <c r="P311" s="1" t="s">
        <v>767</v>
      </c>
      <c r="Q311" s="6">
        <v>1.01</v>
      </c>
      <c r="R311" s="6">
        <v>62.3</v>
      </c>
      <c r="S311" s="4">
        <v>58</v>
      </c>
      <c r="T311" s="1" t="s">
        <v>42</v>
      </c>
      <c r="U311" s="5">
        <f>HYPERLINK("https://www.gia.edu/report-check?reportno=7433940493","7433940493")</f>
      </c>
      <c r="V311" s="1" t="s">
        <v>43</v>
      </c>
      <c r="W311" s="1" t="s">
        <v>88</v>
      </c>
      <c r="X311" s="1" t="s">
        <v>45</v>
      </c>
      <c r="Y311" s="1" t="s">
        <v>40</v>
      </c>
      <c r="Z311" s="1" t="s">
        <v>46</v>
      </c>
      <c r="AA311" s="1" t="s">
        <v>367</v>
      </c>
      <c r="AB311" s="1" t="s">
        <v>47</v>
      </c>
      <c r="AC311" s="1" t="s">
        <v>48</v>
      </c>
      <c r="AD311" s="1" t="s">
        <v>43</v>
      </c>
      <c r="AE311" s="8">
        <f>IF(L311&lt;&gt;"",L311*E311,0)</f>
      </c>
    </row>
    <row r="312" spans="1:31" x14ac:dyDescent="0.25">
      <c r="A312" s="4">
        <v>307</v>
      </c>
      <c r="B312" s="1" t="s">
        <v>769</v>
      </c>
      <c r="C312" s="5">
        <f>HYPERLINK("https://client.unique.diamonds/dna/12046-52","DNA")</f>
      </c>
      <c r="D312" s="1" t="s">
        <v>36</v>
      </c>
      <c r="E312" s="6">
        <v>1.51</v>
      </c>
      <c r="F312" s="1" t="s">
        <v>176</v>
      </c>
      <c r="G312" s="1" t="s">
        <v>659</v>
      </c>
      <c r="H312" s="1" t="s">
        <v>39</v>
      </c>
      <c r="I312" s="1" t="s">
        <v>39</v>
      </c>
      <c r="J312" s="1" t="s">
        <v>39</v>
      </c>
      <c r="K312" s="1" t="s">
        <v>40</v>
      </c>
      <c r="L312" s="4">
        <v>7200</v>
      </c>
      <c r="M312" s="6">
        <v>-42.18</v>
      </c>
      <c r="N312" s="7">
        <f>IF(AND(L312 &lt;&gt; "-", M312 &lt;&gt; "-"),L312*( 1 + M312%),0)</f>
      </c>
      <c r="O312" s="7">
        <f>( N312 * E312 )</f>
      </c>
      <c r="P312" s="1" t="s">
        <v>770</v>
      </c>
      <c r="Q312" s="6">
        <v>1</v>
      </c>
      <c r="R312" s="6">
        <v>61.8</v>
      </c>
      <c r="S312" s="4">
        <v>58</v>
      </c>
      <c r="T312" s="1" t="s">
        <v>42</v>
      </c>
      <c r="U312" s="5">
        <f>HYPERLINK("https://www.gia.edu/report-check?reportno=1433443658","1433443658")</f>
      </c>
      <c r="V312" s="1" t="s">
        <v>43</v>
      </c>
      <c r="W312" s="1" t="s">
        <v>396</v>
      </c>
      <c r="X312" s="1" t="s">
        <v>46</v>
      </c>
      <c r="Y312" s="1" t="s">
        <v>40</v>
      </c>
      <c r="Z312" s="1" t="s">
        <v>357</v>
      </c>
      <c r="AA312" s="1" t="s">
        <v>40</v>
      </c>
      <c r="AB312" s="1" t="s">
        <v>73</v>
      </c>
      <c r="AC312" s="1" t="s">
        <v>48</v>
      </c>
      <c r="AD312" s="1" t="s">
        <v>43</v>
      </c>
      <c r="AE312" s="8">
        <f>IF(L312&lt;&gt;"",L312*E312,0)</f>
      </c>
    </row>
    <row r="313" spans="1:31" x14ac:dyDescent="0.25">
      <c r="A313" s="4">
        <v>308</v>
      </c>
      <c r="B313" s="1" t="s">
        <v>771</v>
      </c>
      <c r="C313" s="5">
        <f>HYPERLINK("https://client.unique.diamonds/dna/162-84","DNA")</f>
      </c>
      <c r="D313" s="1" t="s">
        <v>36</v>
      </c>
      <c r="E313" s="6">
        <v>1.6</v>
      </c>
      <c r="F313" s="1" t="s">
        <v>176</v>
      </c>
      <c r="G313" s="1" t="s">
        <v>659</v>
      </c>
      <c r="H313" s="1" t="s">
        <v>39</v>
      </c>
      <c r="I313" s="1" t="s">
        <v>39</v>
      </c>
      <c r="J313" s="1" t="s">
        <v>39</v>
      </c>
      <c r="K313" s="1" t="s">
        <v>40</v>
      </c>
      <c r="L313" s="4">
        <v>7200</v>
      </c>
      <c r="M313" s="6">
        <v>-44.46</v>
      </c>
      <c r="N313" s="7">
        <f>IF(AND(L313 &lt;&gt; "-", M313 &lt;&gt; "-"),L313*( 1 + M313%),0)</f>
      </c>
      <c r="O313" s="7">
        <f>( N313 * E313 )</f>
      </c>
      <c r="P313" s="1" t="s">
        <v>772</v>
      </c>
      <c r="Q313" s="6">
        <v>1</v>
      </c>
      <c r="R313" s="6">
        <v>61.8</v>
      </c>
      <c r="S313" s="4">
        <v>59</v>
      </c>
      <c r="T313" s="1" t="s">
        <v>42</v>
      </c>
      <c r="U313" s="5">
        <f>HYPERLINK("https://www.gia.edu/report-check?reportno=6442042028","6442042028")</f>
      </c>
      <c r="V313" s="1" t="s">
        <v>43</v>
      </c>
      <c r="W313" s="1" t="s">
        <v>763</v>
      </c>
      <c r="X313" s="1" t="s">
        <v>701</v>
      </c>
      <c r="Y313" s="1" t="s">
        <v>40</v>
      </c>
      <c r="Z313" s="1" t="s">
        <v>45</v>
      </c>
      <c r="AA313" s="1" t="s">
        <v>47</v>
      </c>
      <c r="AB313" s="1" t="s">
        <v>47</v>
      </c>
      <c r="AC313" s="1" t="s">
        <v>48</v>
      </c>
      <c r="AD313" s="1" t="s">
        <v>43</v>
      </c>
      <c r="AE313" s="8">
        <f>IF(L313&lt;&gt;"",L313*E313,0)</f>
      </c>
    </row>
    <row r="314" spans="1:31" x14ac:dyDescent="0.25">
      <c r="A314" s="4">
        <v>309</v>
      </c>
      <c r="B314" s="1" t="s">
        <v>773</v>
      </c>
      <c r="C314" s="5">
        <f>HYPERLINK("https://client.unique.diamonds/dna/11274-30","DNA")</f>
      </c>
      <c r="D314" s="1" t="s">
        <v>36</v>
      </c>
      <c r="E314" s="6">
        <v>1.72</v>
      </c>
      <c r="F314" s="1" t="s">
        <v>176</v>
      </c>
      <c r="G314" s="1" t="s">
        <v>659</v>
      </c>
      <c r="H314" s="1" t="s">
        <v>39</v>
      </c>
      <c r="I314" s="1" t="s">
        <v>39</v>
      </c>
      <c r="J314" s="1" t="s">
        <v>39</v>
      </c>
      <c r="K314" s="1" t="s">
        <v>40</v>
      </c>
      <c r="L314" s="4">
        <v>7200</v>
      </c>
      <c r="M314" s="6">
        <v>-33.06</v>
      </c>
      <c r="N314" s="7">
        <f>IF(AND(L314 &lt;&gt; "-", M314 &lt;&gt; "-"),L314*( 1 + M314%),0)</f>
      </c>
      <c r="O314" s="7">
        <f>( N314 * E314 )</f>
      </c>
      <c r="P314" s="1" t="s">
        <v>774</v>
      </c>
      <c r="Q314" s="6">
        <v>1</v>
      </c>
      <c r="R314" s="6">
        <v>62.4</v>
      </c>
      <c r="S314" s="4">
        <v>56</v>
      </c>
      <c r="T314" s="1" t="s">
        <v>42</v>
      </c>
      <c r="U314" s="5">
        <f>HYPERLINK("https://www.gia.edu/report-check?reportno=7446894823","7446894823")</f>
      </c>
      <c r="V314" s="1" t="s">
        <v>43</v>
      </c>
      <c r="W314" s="1" t="s">
        <v>775</v>
      </c>
      <c r="X314" s="1" t="s">
        <v>45</v>
      </c>
      <c r="Y314" s="1" t="s">
        <v>40</v>
      </c>
      <c r="Z314" s="1" t="s">
        <v>46</v>
      </c>
      <c r="AA314" s="1" t="s">
        <v>47</v>
      </c>
      <c r="AB314" s="1" t="s">
        <v>47</v>
      </c>
      <c r="AC314" s="1" t="s">
        <v>48</v>
      </c>
      <c r="AD314" s="1" t="s">
        <v>43</v>
      </c>
      <c r="AE314" s="8">
        <f>IF(L314&lt;&gt;"",L314*E314,0)</f>
      </c>
    </row>
    <row r="315" spans="1:31" x14ac:dyDescent="0.25">
      <c r="A315" s="4">
        <v>310</v>
      </c>
      <c r="B315" s="1" t="s">
        <v>776</v>
      </c>
      <c r="C315" s="5">
        <f>HYPERLINK("https://client.unique.diamonds/dna/163-11","DNA")</f>
      </c>
      <c r="D315" s="1" t="s">
        <v>36</v>
      </c>
      <c r="E315" s="6">
        <v>1.8</v>
      </c>
      <c r="F315" s="1" t="s">
        <v>176</v>
      </c>
      <c r="G315" s="1" t="s">
        <v>659</v>
      </c>
      <c r="H315" s="1" t="s">
        <v>39</v>
      </c>
      <c r="I315" s="1" t="s">
        <v>39</v>
      </c>
      <c r="J315" s="1" t="s">
        <v>39</v>
      </c>
      <c r="K315" s="1" t="s">
        <v>90</v>
      </c>
      <c r="L315" s="4">
        <v>7200</v>
      </c>
      <c r="M315" s="6">
        <v>-31.28</v>
      </c>
      <c r="N315" s="7">
        <f>IF(AND(L315 &lt;&gt; "-", M315 &lt;&gt; "-"),L315*( 1 + M315%),0)</f>
      </c>
      <c r="O315" s="7">
        <f>( N315 * E315 )</f>
      </c>
      <c r="P315" s="1" t="s">
        <v>777</v>
      </c>
      <c r="Q315" s="6">
        <v>1.01</v>
      </c>
      <c r="R315" s="6">
        <v>62.4</v>
      </c>
      <c r="S315" s="4">
        <v>56</v>
      </c>
      <c r="T315" s="1" t="s">
        <v>42</v>
      </c>
      <c r="U315" s="5">
        <f>HYPERLINK("https://www.gia.edu/report-check?reportno=5446315912","5446315912")</f>
      </c>
      <c r="V315" s="1" t="s">
        <v>43</v>
      </c>
      <c r="W315" s="1" t="s">
        <v>778</v>
      </c>
      <c r="X315" s="1" t="s">
        <v>59</v>
      </c>
      <c r="Y315" s="1" t="s">
        <v>40</v>
      </c>
      <c r="Z315" s="1" t="s">
        <v>45</v>
      </c>
      <c r="AA315" s="1" t="s">
        <v>47</v>
      </c>
      <c r="AB315" s="1" t="s">
        <v>73</v>
      </c>
      <c r="AC315" s="1" t="s">
        <v>48</v>
      </c>
      <c r="AD315" s="1" t="s">
        <v>43</v>
      </c>
      <c r="AE315" s="8">
        <f>IF(L315&lt;&gt;"",L315*E315,0)</f>
      </c>
    </row>
    <row r="316" spans="1:31" x14ac:dyDescent="0.25">
      <c r="A316" s="4">
        <v>311</v>
      </c>
      <c r="B316" s="1" t="s">
        <v>779</v>
      </c>
      <c r="C316" s="5">
        <f>HYPERLINK("https://client.unique.diamonds/dna/11274-63","DNA")</f>
      </c>
      <c r="D316" s="1" t="s">
        <v>36</v>
      </c>
      <c r="E316" s="6">
        <v>1.82</v>
      </c>
      <c r="F316" s="1" t="s">
        <v>176</v>
      </c>
      <c r="G316" s="1" t="s">
        <v>659</v>
      </c>
      <c r="H316" s="1" t="s">
        <v>39</v>
      </c>
      <c r="I316" s="1" t="s">
        <v>39</v>
      </c>
      <c r="J316" s="1" t="s">
        <v>39</v>
      </c>
      <c r="K316" s="1" t="s">
        <v>40</v>
      </c>
      <c r="L316" s="4">
        <v>7200</v>
      </c>
      <c r="M316" s="6">
        <v>-31.03</v>
      </c>
      <c r="N316" s="7">
        <f>IF(AND(L316 &lt;&gt; "-", M316 &lt;&gt; "-"),L316*( 1 + M316%),0)</f>
      </c>
      <c r="O316" s="7">
        <f>( N316 * E316 )</f>
      </c>
      <c r="P316" s="1" t="s">
        <v>780</v>
      </c>
      <c r="Q316" s="6">
        <v>1.01</v>
      </c>
      <c r="R316" s="6">
        <v>62.5</v>
      </c>
      <c r="S316" s="4">
        <v>58</v>
      </c>
      <c r="T316" s="1" t="s">
        <v>42</v>
      </c>
      <c r="U316" s="5">
        <f>HYPERLINK("https://www.gia.edu/report-check?reportno=7443952184","7443952184")</f>
      </c>
      <c r="V316" s="1" t="s">
        <v>43</v>
      </c>
      <c r="W316" s="1" t="s">
        <v>396</v>
      </c>
      <c r="X316" s="1" t="s">
        <v>59</v>
      </c>
      <c r="Y316" s="1" t="s">
        <v>40</v>
      </c>
      <c r="Z316" s="1" t="s">
        <v>357</v>
      </c>
      <c r="AA316" s="1" t="s">
        <v>47</v>
      </c>
      <c r="AB316" s="1" t="s">
        <v>73</v>
      </c>
      <c r="AC316" s="1" t="s">
        <v>48</v>
      </c>
      <c r="AD316" s="1" t="s">
        <v>43</v>
      </c>
      <c r="AE316" s="8">
        <f>IF(L316&lt;&gt;"",L316*E316,0)</f>
      </c>
    </row>
    <row r="317" spans="1:31" x14ac:dyDescent="0.25">
      <c r="A317" s="4">
        <v>312</v>
      </c>
      <c r="B317" s="1" t="s">
        <v>781</v>
      </c>
      <c r="C317" s="5">
        <f>HYPERLINK("https://client.unique.diamonds/dna/161-25","DNA")</f>
      </c>
      <c r="D317" s="1" t="s">
        <v>36</v>
      </c>
      <c r="E317" s="6">
        <v>2</v>
      </c>
      <c r="F317" s="1" t="s">
        <v>176</v>
      </c>
      <c r="G317" s="1" t="s">
        <v>659</v>
      </c>
      <c r="H317" s="1" t="s">
        <v>39</v>
      </c>
      <c r="I317" s="1" t="s">
        <v>39</v>
      </c>
      <c r="J317" s="1" t="s">
        <v>39</v>
      </c>
      <c r="K317" s="1" t="s">
        <v>90</v>
      </c>
      <c r="L317" s="4">
        <v>9900</v>
      </c>
      <c r="M317" s="6">
        <v>-45.14</v>
      </c>
      <c r="N317" s="7">
        <f>IF(AND(L317 &lt;&gt; "-", M317 &lt;&gt; "-"),L317*( 1 + M317%),0)</f>
      </c>
      <c r="O317" s="7">
        <f>( N317 * E317 )</f>
      </c>
      <c r="P317" s="1" t="s">
        <v>782</v>
      </c>
      <c r="Q317" s="6">
        <v>1.01</v>
      </c>
      <c r="R317" s="6">
        <v>62.8</v>
      </c>
      <c r="S317" s="4">
        <v>57</v>
      </c>
      <c r="T317" s="1" t="s">
        <v>42</v>
      </c>
      <c r="U317" s="5">
        <f>HYPERLINK("https://www.gia.edu/report-check?reportno=6422979151","6422979151")</f>
      </c>
      <c r="V317" s="1" t="s">
        <v>43</v>
      </c>
      <c r="W317" s="1" t="s">
        <v>249</v>
      </c>
      <c r="X317" s="1" t="s">
        <v>40</v>
      </c>
      <c r="Y317" s="1" t="s">
        <v>40</v>
      </c>
      <c r="Z317" s="1" t="s">
        <v>46</v>
      </c>
      <c r="AA317" s="1" t="s">
        <v>40</v>
      </c>
      <c r="AB317" s="1" t="s">
        <v>47</v>
      </c>
      <c r="AC317" s="1" t="s">
        <v>48</v>
      </c>
      <c r="AD317" s="1" t="s">
        <v>43</v>
      </c>
      <c r="AE317" s="8">
        <f>IF(L317&lt;&gt;"",L317*E317,0)</f>
      </c>
    </row>
    <row r="318" spans="1:31" x14ac:dyDescent="0.25">
      <c r="A318" s="4">
        <v>313</v>
      </c>
      <c r="B318" s="1" t="s">
        <v>783</v>
      </c>
      <c r="C318" s="5">
        <f>HYPERLINK("https://client.unique.diamonds/dna/162-33","DNA")</f>
      </c>
      <c r="D318" s="1" t="s">
        <v>36</v>
      </c>
      <c r="E318" s="6">
        <v>2</v>
      </c>
      <c r="F318" s="1" t="s">
        <v>176</v>
      </c>
      <c r="G318" s="1" t="s">
        <v>659</v>
      </c>
      <c r="H318" s="1" t="s">
        <v>39</v>
      </c>
      <c r="I318" s="1" t="s">
        <v>39</v>
      </c>
      <c r="J318" s="1" t="s">
        <v>39</v>
      </c>
      <c r="K318" s="1" t="s">
        <v>40</v>
      </c>
      <c r="L318" s="4">
        <v>9900</v>
      </c>
      <c r="M318" s="6">
        <v>-42.1</v>
      </c>
      <c r="N318" s="7">
        <f>IF(AND(L318 &lt;&gt; "-", M318 &lt;&gt; "-"),L318*( 1 + M318%),0)</f>
      </c>
      <c r="O318" s="7">
        <f>( N318 * E318 )</f>
      </c>
      <c r="P318" s="1" t="s">
        <v>784</v>
      </c>
      <c r="Q318" s="6">
        <v>1</v>
      </c>
      <c r="R318" s="6">
        <v>62.5</v>
      </c>
      <c r="S318" s="4">
        <v>57</v>
      </c>
      <c r="T318" s="1" t="s">
        <v>42</v>
      </c>
      <c r="U318" s="5">
        <f>HYPERLINK("https://www.gia.edu/report-check?reportno=1439561574","1439561574")</f>
      </c>
      <c r="V318" s="1" t="s">
        <v>43</v>
      </c>
      <c r="W318" s="1" t="s">
        <v>785</v>
      </c>
      <c r="X318" s="1" t="s">
        <v>59</v>
      </c>
      <c r="Y318" s="1" t="s">
        <v>40</v>
      </c>
      <c r="Z318" s="1" t="s">
        <v>46</v>
      </c>
      <c r="AA318" s="1" t="s">
        <v>52</v>
      </c>
      <c r="AB318" s="1" t="s">
        <v>73</v>
      </c>
      <c r="AC318" s="1" t="s">
        <v>48</v>
      </c>
      <c r="AD318" s="1" t="s">
        <v>43</v>
      </c>
      <c r="AE318" s="8">
        <f>IF(L318&lt;&gt;"",L318*E318,0)</f>
      </c>
    </row>
    <row r="319" spans="1:31" x14ac:dyDescent="0.25">
      <c r="A319" s="4">
        <v>314</v>
      </c>
      <c r="B319" s="1" t="s">
        <v>786</v>
      </c>
      <c r="C319" s="5">
        <f>HYPERLINK("https://client.unique.diamonds/dna/11193-74","DNA")</f>
      </c>
      <c r="D319" s="1" t="s">
        <v>36</v>
      </c>
      <c r="E319" s="6">
        <v>2.01</v>
      </c>
      <c r="F319" s="1" t="s">
        <v>176</v>
      </c>
      <c r="G319" s="1" t="s">
        <v>659</v>
      </c>
      <c r="H319" s="1" t="s">
        <v>39</v>
      </c>
      <c r="I319" s="1" t="s">
        <v>39</v>
      </c>
      <c r="J319" s="1" t="s">
        <v>39</v>
      </c>
      <c r="K319" s="1" t="s">
        <v>40</v>
      </c>
      <c r="L319" s="4">
        <v>9900</v>
      </c>
      <c r="M319" s="6">
        <v>-46.5</v>
      </c>
      <c r="N319" s="7">
        <f>IF(AND(L319 &lt;&gt; "-", M319 &lt;&gt; "-"),L319*( 1 + M319%),0)</f>
      </c>
      <c r="O319" s="7">
        <f>( N319 * E319 )</f>
      </c>
      <c r="P319" s="1" t="s">
        <v>787</v>
      </c>
      <c r="Q319" s="6">
        <v>1.01</v>
      </c>
      <c r="R319" s="6">
        <v>62.9</v>
      </c>
      <c r="S319" s="4">
        <v>58</v>
      </c>
      <c r="T319" s="1" t="s">
        <v>42</v>
      </c>
      <c r="U319" s="5">
        <f>HYPERLINK("https://www.gia.edu/report-check?reportno=6445181352","6445181352")</f>
      </c>
      <c r="V319" s="1" t="s">
        <v>43</v>
      </c>
      <c r="W319" s="1" t="s">
        <v>788</v>
      </c>
      <c r="X319" s="1" t="s">
        <v>357</v>
      </c>
      <c r="Y319" s="1" t="s">
        <v>40</v>
      </c>
      <c r="Z319" s="1" t="s">
        <v>45</v>
      </c>
      <c r="AA319" s="1" t="s">
        <v>47</v>
      </c>
      <c r="AB319" s="1" t="s">
        <v>73</v>
      </c>
      <c r="AC319" s="1" t="s">
        <v>226</v>
      </c>
      <c r="AD319" s="1" t="s">
        <v>43</v>
      </c>
      <c r="AE319" s="8">
        <f>IF(L319&lt;&gt;"",L319*E319,0)</f>
      </c>
    </row>
    <row r="320" spans="1:31" x14ac:dyDescent="0.25">
      <c r="A320" s="4">
        <v>315</v>
      </c>
      <c r="B320" s="1" t="s">
        <v>789</v>
      </c>
      <c r="C320" s="5">
        <f>HYPERLINK("https://client.unique.diamonds/dna/11276-34","DNA")</f>
      </c>
      <c r="D320" s="1" t="s">
        <v>36</v>
      </c>
      <c r="E320" s="6">
        <v>2.02</v>
      </c>
      <c r="F320" s="1" t="s">
        <v>176</v>
      </c>
      <c r="G320" s="1" t="s">
        <v>659</v>
      </c>
      <c r="H320" s="1" t="s">
        <v>39</v>
      </c>
      <c r="I320" s="1" t="s">
        <v>39</v>
      </c>
      <c r="J320" s="1" t="s">
        <v>39</v>
      </c>
      <c r="K320" s="1" t="s">
        <v>90</v>
      </c>
      <c r="L320" s="4">
        <v>9900</v>
      </c>
      <c r="M320" s="6">
        <v>-45.14</v>
      </c>
      <c r="N320" s="7">
        <f>IF(AND(L320 &lt;&gt; "-", M320 &lt;&gt; "-"),L320*( 1 + M320%),0)</f>
      </c>
      <c r="O320" s="7">
        <f>( N320 * E320 )</f>
      </c>
      <c r="P320" s="1" t="s">
        <v>790</v>
      </c>
      <c r="Q320" s="6">
        <v>1</v>
      </c>
      <c r="R320" s="6">
        <v>62.4</v>
      </c>
      <c r="S320" s="4">
        <v>58</v>
      </c>
      <c r="T320" s="1" t="s">
        <v>42</v>
      </c>
      <c r="U320" s="5">
        <f>HYPERLINK("https://www.gia.edu/report-check?reportno=1449973339","1449973339")</f>
      </c>
      <c r="V320" s="1" t="s">
        <v>43</v>
      </c>
      <c r="W320" s="1" t="s">
        <v>79</v>
      </c>
      <c r="X320" s="1" t="s">
        <v>418</v>
      </c>
      <c r="Y320" s="1" t="s">
        <v>40</v>
      </c>
      <c r="Z320" s="1" t="s">
        <v>46</v>
      </c>
      <c r="AA320" s="1" t="s">
        <v>47</v>
      </c>
      <c r="AB320" s="1" t="s">
        <v>40</v>
      </c>
      <c r="AC320" s="1" t="s">
        <v>48</v>
      </c>
      <c r="AD320" s="1" t="s">
        <v>43</v>
      </c>
      <c r="AE320" s="8">
        <f>IF(L320&lt;&gt;"",L320*E320,0)</f>
      </c>
    </row>
    <row r="321" spans="1:31" x14ac:dyDescent="0.25">
      <c r="A321" s="4">
        <v>316</v>
      </c>
      <c r="B321" s="1" t="s">
        <v>791</v>
      </c>
      <c r="C321" s="5">
        <f>HYPERLINK("https://client.unique.diamonds/dna/11286-153","DNA")</f>
      </c>
      <c r="D321" s="1" t="s">
        <v>36</v>
      </c>
      <c r="E321" s="6">
        <v>2.04</v>
      </c>
      <c r="F321" s="1" t="s">
        <v>176</v>
      </c>
      <c r="G321" s="1" t="s">
        <v>659</v>
      </c>
      <c r="H321" s="1" t="s">
        <v>39</v>
      </c>
      <c r="I321" s="1" t="s">
        <v>39</v>
      </c>
      <c r="J321" s="1" t="s">
        <v>39</v>
      </c>
      <c r="K321" s="1" t="s">
        <v>40</v>
      </c>
      <c r="L321" s="4">
        <v>9900</v>
      </c>
      <c r="M321" s="6">
        <v>-42.1</v>
      </c>
      <c r="N321" s="7">
        <f>IF(AND(L321 &lt;&gt; "-", M321 &lt;&gt; "-"),L321*( 1 + M321%),0)</f>
      </c>
      <c r="O321" s="7">
        <f>( N321 * E321 )</f>
      </c>
      <c r="P321" s="1" t="s">
        <v>792</v>
      </c>
      <c r="Q321" s="6">
        <v>1</v>
      </c>
      <c r="R321" s="6">
        <v>62.4</v>
      </c>
      <c r="S321" s="4">
        <v>58</v>
      </c>
      <c r="T321" s="1" t="s">
        <v>42</v>
      </c>
      <c r="U321" s="5">
        <f>HYPERLINK("https://www.gia.edu/report-check?reportno=1458143798","1458143798")</f>
      </c>
      <c r="V321" s="1" t="s">
        <v>43</v>
      </c>
      <c r="W321" s="1" t="s">
        <v>67</v>
      </c>
      <c r="X321" s="1" t="s">
        <v>418</v>
      </c>
      <c r="Y321" s="1" t="s">
        <v>40</v>
      </c>
      <c r="Z321" s="1" t="s">
        <v>46</v>
      </c>
      <c r="AA321" s="1" t="s">
        <v>47</v>
      </c>
      <c r="AB321" s="1" t="s">
        <v>73</v>
      </c>
      <c r="AC321" s="1" t="s">
        <v>48</v>
      </c>
      <c r="AD321" s="1" t="s">
        <v>43</v>
      </c>
      <c r="AE321" s="8">
        <f>IF(L321&lt;&gt;"",L321*E321,0)</f>
      </c>
    </row>
    <row r="322" spans="1:31" x14ac:dyDescent="0.25">
      <c r="A322" s="4">
        <v>317</v>
      </c>
      <c r="B322" s="1" t="s">
        <v>793</v>
      </c>
      <c r="C322" s="5">
        <f>HYPERLINK("https://client.unique.diamonds/dna/12017-39","DNA")</f>
      </c>
      <c r="D322" s="1" t="s">
        <v>36</v>
      </c>
      <c r="E322" s="6">
        <v>1.5</v>
      </c>
      <c r="F322" s="1" t="s">
        <v>208</v>
      </c>
      <c r="G322" s="1" t="s">
        <v>659</v>
      </c>
      <c r="H322" s="1" t="s">
        <v>39</v>
      </c>
      <c r="I322" s="1" t="s">
        <v>39</v>
      </c>
      <c r="J322" s="1" t="s">
        <v>39</v>
      </c>
      <c r="K322" s="1" t="s">
        <v>94</v>
      </c>
      <c r="L322" s="4">
        <v>6400</v>
      </c>
      <c r="M322" s="6">
        <v>-50.19</v>
      </c>
      <c r="N322" s="7">
        <f>IF(AND(L322 &lt;&gt; "-", M322 &lt;&gt; "-"),L322*( 1 + M322%),0)</f>
      </c>
      <c r="O322" s="7">
        <f>( N322 * E322 )</f>
      </c>
      <c r="P322" s="1" t="s">
        <v>794</v>
      </c>
      <c r="Q322" s="6">
        <v>1.01</v>
      </c>
      <c r="R322" s="6">
        <v>63</v>
      </c>
      <c r="S322" s="4">
        <v>56</v>
      </c>
      <c r="T322" s="1" t="s">
        <v>42</v>
      </c>
      <c r="U322" s="5">
        <f>HYPERLINK("https://www.gia.edu/report-check?reportno=3425523854","3425523854")</f>
      </c>
      <c r="V322" s="1" t="s">
        <v>43</v>
      </c>
      <c r="W322" s="1" t="s">
        <v>785</v>
      </c>
      <c r="X322" s="1" t="s">
        <v>59</v>
      </c>
      <c r="Y322" s="1" t="s">
        <v>40</v>
      </c>
      <c r="Z322" s="1" t="s">
        <v>46</v>
      </c>
      <c r="AA322" s="1" t="s">
        <v>367</v>
      </c>
      <c r="AB322" s="1" t="s">
        <v>47</v>
      </c>
      <c r="AC322" s="1" t="s">
        <v>226</v>
      </c>
      <c r="AD322" s="1" t="s">
        <v>43</v>
      </c>
      <c r="AE322" s="8">
        <f>IF(L322&lt;&gt;"",L322*E322,0)</f>
      </c>
    </row>
    <row r="323" spans="1:31" x14ac:dyDescent="0.25">
      <c r="A323" s="4">
        <v>318</v>
      </c>
      <c r="B323" s="1" t="s">
        <v>795</v>
      </c>
      <c r="C323" s="5">
        <f>HYPERLINK("https://client.unique.diamonds/dna/12055-56","DNA")</f>
      </c>
      <c r="D323" s="1" t="s">
        <v>36</v>
      </c>
      <c r="E323" s="6">
        <v>1.5</v>
      </c>
      <c r="F323" s="1" t="s">
        <v>208</v>
      </c>
      <c r="G323" s="1" t="s">
        <v>659</v>
      </c>
      <c r="H323" s="1" t="s">
        <v>39</v>
      </c>
      <c r="I323" s="1" t="s">
        <v>39</v>
      </c>
      <c r="J323" s="1" t="s">
        <v>39</v>
      </c>
      <c r="K323" s="1" t="s">
        <v>40</v>
      </c>
      <c r="L323" s="4">
        <v>6400</v>
      </c>
      <c r="M323" s="6">
        <v>-40.5</v>
      </c>
      <c r="N323" s="7">
        <f>IF(AND(L323 &lt;&gt; "-", M323 &lt;&gt; "-"),L323*( 1 + M323%),0)</f>
      </c>
      <c r="O323" s="7">
        <f>( N323 * E323 )</f>
      </c>
      <c r="P323" s="1" t="s">
        <v>243</v>
      </c>
      <c r="Q323" s="6">
        <v>1.01</v>
      </c>
      <c r="R323" s="6">
        <v>62.4</v>
      </c>
      <c r="S323" s="4">
        <v>58</v>
      </c>
      <c r="T323" s="1" t="s">
        <v>42</v>
      </c>
      <c r="U323" s="5">
        <f>HYPERLINK("https://www.gia.edu/report-check?reportno=6432687577","6432687577")</f>
      </c>
      <c r="V323" s="1" t="s">
        <v>43</v>
      </c>
      <c r="W323" s="1" t="s">
        <v>796</v>
      </c>
      <c r="X323" s="1" t="s">
        <v>59</v>
      </c>
      <c r="Y323" s="1" t="s">
        <v>40</v>
      </c>
      <c r="Z323" s="1" t="s">
        <v>46</v>
      </c>
      <c r="AA323" s="1" t="s">
        <v>47</v>
      </c>
      <c r="AB323" s="1" t="s">
        <v>73</v>
      </c>
      <c r="AC323" s="1" t="s">
        <v>226</v>
      </c>
      <c r="AD323" s="1" t="s">
        <v>43</v>
      </c>
      <c r="AE323" s="8">
        <f>IF(L323&lt;&gt;"",L323*E323,0)</f>
      </c>
    </row>
    <row r="324" spans="1:31" x14ac:dyDescent="0.25">
      <c r="A324" s="4">
        <v>319</v>
      </c>
      <c r="B324" s="1" t="s">
        <v>797</v>
      </c>
      <c r="C324" s="5">
        <f>HYPERLINK("https://client.unique.diamonds/dna/11174-37","DNA")</f>
      </c>
      <c r="D324" s="1" t="s">
        <v>36</v>
      </c>
      <c r="E324" s="6">
        <v>1.5</v>
      </c>
      <c r="F324" s="1" t="s">
        <v>208</v>
      </c>
      <c r="G324" s="1" t="s">
        <v>659</v>
      </c>
      <c r="H324" s="1" t="s">
        <v>39</v>
      </c>
      <c r="I324" s="1" t="s">
        <v>39</v>
      </c>
      <c r="J324" s="1" t="s">
        <v>39</v>
      </c>
      <c r="K324" s="1" t="s">
        <v>40</v>
      </c>
      <c r="L324" s="4">
        <v>6400</v>
      </c>
      <c r="M324" s="6">
        <v>-47.65</v>
      </c>
      <c r="N324" s="7">
        <f>IF(AND(L324 &lt;&gt; "-", M324 &lt;&gt; "-"),L324*( 1 + M324%),0)</f>
      </c>
      <c r="O324" s="7">
        <f>( N324 * E324 )</f>
      </c>
      <c r="P324" s="1" t="s">
        <v>798</v>
      </c>
      <c r="Q324" s="6">
        <v>1</v>
      </c>
      <c r="R324" s="6">
        <v>62.3</v>
      </c>
      <c r="S324" s="4">
        <v>59</v>
      </c>
      <c r="T324" s="1" t="s">
        <v>42</v>
      </c>
      <c r="U324" s="5">
        <f>HYPERLINK("https://www.gia.edu/report-check?reportno=3435987762","3435987762")</f>
      </c>
      <c r="V324" s="1" t="s">
        <v>43</v>
      </c>
      <c r="W324" s="1" t="s">
        <v>396</v>
      </c>
      <c r="X324" s="1" t="s">
        <v>45</v>
      </c>
      <c r="Y324" s="1" t="s">
        <v>40</v>
      </c>
      <c r="Z324" s="1" t="s">
        <v>357</v>
      </c>
      <c r="AA324" s="1" t="s">
        <v>47</v>
      </c>
      <c r="AB324" s="1" t="s">
        <v>47</v>
      </c>
      <c r="AC324" s="1" t="s">
        <v>48</v>
      </c>
      <c r="AD324" s="1" t="s">
        <v>43</v>
      </c>
      <c r="AE324" s="8">
        <f>IF(L324&lt;&gt;"",L324*E324,0)</f>
      </c>
    </row>
    <row r="325" spans="1:31" x14ac:dyDescent="0.25">
      <c r="A325" s="4">
        <v>320</v>
      </c>
      <c r="B325" s="1" t="s">
        <v>799</v>
      </c>
      <c r="C325" s="5">
        <f>HYPERLINK("https://client.unique.diamonds/dna/11163-135","DNA")</f>
      </c>
      <c r="D325" s="1" t="s">
        <v>36</v>
      </c>
      <c r="E325" s="6">
        <v>1.5</v>
      </c>
      <c r="F325" s="1" t="s">
        <v>208</v>
      </c>
      <c r="G325" s="1" t="s">
        <v>659</v>
      </c>
      <c r="H325" s="1" t="s">
        <v>39</v>
      </c>
      <c r="I325" s="1" t="s">
        <v>39</v>
      </c>
      <c r="J325" s="1" t="s">
        <v>39</v>
      </c>
      <c r="K325" s="1" t="s">
        <v>40</v>
      </c>
      <c r="L325" s="4">
        <v>6400</v>
      </c>
      <c r="M325" s="6">
        <v>-41</v>
      </c>
      <c r="N325" s="7">
        <f>IF(AND(L325 &lt;&gt; "-", M325 &lt;&gt; "-"),L325*( 1 + M325%),0)</f>
      </c>
      <c r="O325" s="7">
        <f>( N325 * E325 )</f>
      </c>
      <c r="P325" s="1" t="s">
        <v>800</v>
      </c>
      <c r="Q325" s="6">
        <v>1.01</v>
      </c>
      <c r="R325" s="6">
        <v>63</v>
      </c>
      <c r="S325" s="4">
        <v>55</v>
      </c>
      <c r="T325" s="1" t="s">
        <v>42</v>
      </c>
      <c r="U325" s="5">
        <f>HYPERLINK("https://www.gia.edu/report-check?reportno=6432888040","6432888040")</f>
      </c>
      <c r="V325" s="1" t="s">
        <v>43</v>
      </c>
      <c r="W325" s="1" t="s">
        <v>572</v>
      </c>
      <c r="X325" s="1" t="s">
        <v>45</v>
      </c>
      <c r="Y325" s="1" t="s">
        <v>40</v>
      </c>
      <c r="Z325" s="1" t="s">
        <v>45</v>
      </c>
      <c r="AA325" s="1" t="s">
        <v>52</v>
      </c>
      <c r="AB325" s="1" t="s">
        <v>73</v>
      </c>
      <c r="AC325" s="1" t="s">
        <v>48</v>
      </c>
      <c r="AD325" s="1" t="s">
        <v>43</v>
      </c>
      <c r="AE325" s="8">
        <f>IF(L325&lt;&gt;"",L325*E325,0)</f>
      </c>
    </row>
    <row r="326" spans="1:31" x14ac:dyDescent="0.25">
      <c r="A326" s="4">
        <v>321</v>
      </c>
      <c r="B326" s="1" t="s">
        <v>801</v>
      </c>
      <c r="C326" s="5">
        <f>HYPERLINK("https://client.unique.diamonds/dna/22002-22","DNA")</f>
      </c>
      <c r="D326" s="1" t="s">
        <v>36</v>
      </c>
      <c r="E326" s="6">
        <v>1.7</v>
      </c>
      <c r="F326" s="1" t="s">
        <v>208</v>
      </c>
      <c r="G326" s="1" t="s">
        <v>659</v>
      </c>
      <c r="H326" s="1" t="s">
        <v>39</v>
      </c>
      <c r="I326" s="1" t="s">
        <v>39</v>
      </c>
      <c r="J326" s="1" t="s">
        <v>39</v>
      </c>
      <c r="K326" s="1" t="s">
        <v>40</v>
      </c>
      <c r="L326" s="4">
        <v>6400</v>
      </c>
      <c r="M326" s="6">
        <v>-32.93</v>
      </c>
      <c r="N326" s="7">
        <f>IF(AND(L326 &lt;&gt; "-", M326 &lt;&gt; "-"),L326*( 1 + M326%),0)</f>
      </c>
      <c r="O326" s="7">
        <f>( N326 * E326 )</f>
      </c>
      <c r="P326" s="1" t="s">
        <v>802</v>
      </c>
      <c r="Q326" s="6">
        <v>1.01</v>
      </c>
      <c r="R326" s="6">
        <v>62.7</v>
      </c>
      <c r="S326" s="4">
        <v>58</v>
      </c>
      <c r="T326" s="1" t="s">
        <v>42</v>
      </c>
      <c r="U326" s="5">
        <f>HYPERLINK("https://www.gia.edu/report-check?reportno=5456613743","5456613743")</f>
      </c>
      <c r="V326" s="1" t="s">
        <v>43</v>
      </c>
      <c r="W326" s="1" t="s">
        <v>803</v>
      </c>
      <c r="X326" s="1" t="s">
        <v>59</v>
      </c>
      <c r="Y326" s="1" t="s">
        <v>40</v>
      </c>
      <c r="Z326" s="1" t="s">
        <v>357</v>
      </c>
      <c r="AA326" s="1" t="s">
        <v>47</v>
      </c>
      <c r="AB326" s="1" t="s">
        <v>47</v>
      </c>
      <c r="AC326" s="1" t="s">
        <v>48</v>
      </c>
      <c r="AD326" s="1" t="s">
        <v>43</v>
      </c>
      <c r="AE326" s="8">
        <f>IF(L326&lt;&gt;"",L326*E326,0)</f>
      </c>
    </row>
    <row r="327" spans="1:31" x14ac:dyDescent="0.25">
      <c r="A327" s="4">
        <v>322</v>
      </c>
      <c r="B327" s="1" t="s">
        <v>804</v>
      </c>
      <c r="C327" s="5">
        <f>HYPERLINK("https://client.unique.diamonds/dna/22018-16","DNA")</f>
      </c>
      <c r="D327" s="1" t="s">
        <v>36</v>
      </c>
      <c r="E327" s="6">
        <v>1.7</v>
      </c>
      <c r="F327" s="1" t="s">
        <v>208</v>
      </c>
      <c r="G327" s="1" t="s">
        <v>659</v>
      </c>
      <c r="H327" s="1" t="s">
        <v>39</v>
      </c>
      <c r="I327" s="1" t="s">
        <v>39</v>
      </c>
      <c r="J327" s="1" t="s">
        <v>39</v>
      </c>
      <c r="K327" s="1" t="s">
        <v>40</v>
      </c>
      <c r="L327" s="4">
        <v>6400</v>
      </c>
      <c r="M327" s="6">
        <v>-32</v>
      </c>
      <c r="N327" s="7">
        <f>IF(AND(L327 &lt;&gt; "-", M327 &lt;&gt; "-"),L327*( 1 + M327%),0)</f>
      </c>
      <c r="O327" s="7">
        <f>( N327 * E327 )</f>
      </c>
      <c r="P327" s="1" t="s">
        <v>805</v>
      </c>
      <c r="Q327" s="6">
        <v>1.01</v>
      </c>
      <c r="R327" s="6">
        <v>61.7</v>
      </c>
      <c r="S327" s="4">
        <v>59</v>
      </c>
      <c r="T327" s="1" t="s">
        <v>42</v>
      </c>
      <c r="U327" s="5">
        <f>HYPERLINK("https://www.gia.edu/report-check?reportno=6462534784","6462534784")</f>
      </c>
      <c r="V327" s="1" t="s">
        <v>43</v>
      </c>
      <c r="W327" s="1" t="s">
        <v>297</v>
      </c>
      <c r="X327" s="1" t="s">
        <v>357</v>
      </c>
      <c r="Y327" s="1" t="s">
        <v>40</v>
      </c>
      <c r="Z327" s="1" t="s">
        <v>40</v>
      </c>
      <c r="AA327" s="1" t="s">
        <v>47</v>
      </c>
      <c r="AB327" s="1" t="s">
        <v>40</v>
      </c>
      <c r="AC327" s="1" t="s">
        <v>226</v>
      </c>
      <c r="AD327" s="1" t="s">
        <v>43</v>
      </c>
      <c r="AE327" s="8">
        <f>IF(L327&lt;&gt;"",L327*E327,0)</f>
      </c>
    </row>
    <row r="328" spans="1:31" x14ac:dyDescent="0.25">
      <c r="A328" s="4">
        <v>323</v>
      </c>
      <c r="B328" s="1" t="s">
        <v>806</v>
      </c>
      <c r="C328" s="5">
        <f>HYPERLINK("https://client.unique.diamonds/dna/11163-183","DNA")</f>
      </c>
      <c r="D328" s="1" t="s">
        <v>36</v>
      </c>
      <c r="E328" s="6">
        <v>1.75</v>
      </c>
      <c r="F328" s="1" t="s">
        <v>208</v>
      </c>
      <c r="G328" s="1" t="s">
        <v>659</v>
      </c>
      <c r="H328" s="1" t="s">
        <v>39</v>
      </c>
      <c r="I328" s="1" t="s">
        <v>39</v>
      </c>
      <c r="J328" s="1" t="s">
        <v>39</v>
      </c>
      <c r="K328" s="1" t="s">
        <v>40</v>
      </c>
      <c r="L328" s="4">
        <v>6400</v>
      </c>
      <c r="M328" s="6">
        <v>-32.5</v>
      </c>
      <c r="N328" s="7">
        <f>IF(AND(L328 &lt;&gt; "-", M328 &lt;&gt; "-"),L328*( 1 + M328%),0)</f>
      </c>
      <c r="O328" s="7">
        <f>( N328 * E328 )</f>
      </c>
      <c r="P328" s="1" t="s">
        <v>807</v>
      </c>
      <c r="Q328" s="6">
        <v>1.01</v>
      </c>
      <c r="R328" s="6">
        <v>62.5</v>
      </c>
      <c r="S328" s="4">
        <v>58</v>
      </c>
      <c r="T328" s="1" t="s">
        <v>42</v>
      </c>
      <c r="U328" s="5">
        <f>HYPERLINK("https://www.gia.edu/report-check?reportno=2447019221","2447019221")</f>
      </c>
      <c r="V328" s="1" t="s">
        <v>43</v>
      </c>
      <c r="W328" s="1" t="s">
        <v>808</v>
      </c>
      <c r="X328" s="1" t="s">
        <v>45</v>
      </c>
      <c r="Y328" s="1" t="s">
        <v>40</v>
      </c>
      <c r="Z328" s="1" t="s">
        <v>701</v>
      </c>
      <c r="AA328" s="1" t="s">
        <v>47</v>
      </c>
      <c r="AB328" s="1" t="s">
        <v>47</v>
      </c>
      <c r="AC328" s="1" t="s">
        <v>48</v>
      </c>
      <c r="AD328" s="1" t="s">
        <v>43</v>
      </c>
      <c r="AE328" s="8">
        <f>IF(L328&lt;&gt;"",L328*E328,0)</f>
      </c>
    </row>
    <row r="329" spans="1:31" x14ac:dyDescent="0.25">
      <c r="A329" s="4">
        <v>324</v>
      </c>
      <c r="B329" s="1" t="s">
        <v>809</v>
      </c>
      <c r="C329" s="5">
        <f>HYPERLINK("https://client.unique.diamonds/dna/162-3","DNA")</f>
      </c>
      <c r="D329" s="1" t="s">
        <v>36</v>
      </c>
      <c r="E329" s="6">
        <v>2</v>
      </c>
      <c r="F329" s="1" t="s">
        <v>208</v>
      </c>
      <c r="G329" s="1" t="s">
        <v>659</v>
      </c>
      <c r="H329" s="1" t="s">
        <v>39</v>
      </c>
      <c r="I329" s="1" t="s">
        <v>39</v>
      </c>
      <c r="J329" s="1" t="s">
        <v>39</v>
      </c>
      <c r="K329" s="1" t="s">
        <v>40</v>
      </c>
      <c r="L329" s="4">
        <v>8600</v>
      </c>
      <c r="M329" s="6">
        <v>-42.97</v>
      </c>
      <c r="N329" s="7">
        <f>IF(AND(L329 &lt;&gt; "-", M329 &lt;&gt; "-"),L329*( 1 + M329%),0)</f>
      </c>
      <c r="O329" s="7">
        <f>( N329 * E329 )</f>
      </c>
      <c r="P329" s="1" t="s">
        <v>810</v>
      </c>
      <c r="Q329" s="6">
        <v>1.01</v>
      </c>
      <c r="R329" s="6">
        <v>62.9</v>
      </c>
      <c r="S329" s="4">
        <v>55</v>
      </c>
      <c r="T329" s="1" t="s">
        <v>42</v>
      </c>
      <c r="U329" s="5">
        <f>HYPERLINK("https://www.gia.edu/report-check?reportno=2446044936","2446044936")</f>
      </c>
      <c r="V329" s="1" t="s">
        <v>43</v>
      </c>
      <c r="W329" s="1" t="s">
        <v>811</v>
      </c>
      <c r="X329" s="1" t="s">
        <v>45</v>
      </c>
      <c r="Y329" s="1" t="s">
        <v>40</v>
      </c>
      <c r="Z329" s="1" t="s">
        <v>45</v>
      </c>
      <c r="AA329" s="1" t="s">
        <v>47</v>
      </c>
      <c r="AB329" s="1" t="s">
        <v>47</v>
      </c>
      <c r="AC329" s="1" t="s">
        <v>48</v>
      </c>
      <c r="AD329" s="1" t="s">
        <v>43</v>
      </c>
      <c r="AE329" s="8">
        <f>IF(L329&lt;&gt;"",L329*E329,0)</f>
      </c>
    </row>
    <row r="330" spans="1:31" x14ac:dyDescent="0.25">
      <c r="A330" s="4">
        <v>325</v>
      </c>
      <c r="B330" s="1" t="s">
        <v>812</v>
      </c>
      <c r="C330" s="5">
        <f>HYPERLINK("https://client.unique.diamonds/dna/142088-92","DNA")</f>
      </c>
      <c r="D330" s="1" t="s">
        <v>36</v>
      </c>
      <c r="E330" s="6">
        <v>2.01</v>
      </c>
      <c r="F330" s="1" t="s">
        <v>208</v>
      </c>
      <c r="G330" s="1" t="s">
        <v>659</v>
      </c>
      <c r="H330" s="1" t="s">
        <v>39</v>
      </c>
      <c r="I330" s="1" t="s">
        <v>39</v>
      </c>
      <c r="J330" s="1" t="s">
        <v>39</v>
      </c>
      <c r="K330" s="1" t="s">
        <v>40</v>
      </c>
      <c r="L330" s="4">
        <v>8600</v>
      </c>
      <c r="M330" s="6">
        <v>-44</v>
      </c>
      <c r="N330" s="7">
        <f>IF(AND(L330 &lt;&gt; "-", M330 &lt;&gt; "-"),L330*( 1 + M330%),0)</f>
      </c>
      <c r="O330" s="7">
        <f>( N330 * E330 )</f>
      </c>
      <c r="P330" s="1" t="s">
        <v>813</v>
      </c>
      <c r="Q330" s="6">
        <v>1</v>
      </c>
      <c r="R330" s="6">
        <v>62.7</v>
      </c>
      <c r="S330" s="4">
        <v>59</v>
      </c>
      <c r="T330" s="1" t="s">
        <v>42</v>
      </c>
      <c r="U330" s="5">
        <f>HYPERLINK("https://www.gia.edu/report-check?reportno=5222200626","5222200626")</f>
      </c>
      <c r="V330" s="1" t="s">
        <v>43</v>
      </c>
      <c r="W330" s="1" t="s">
        <v>814</v>
      </c>
      <c r="X330" s="1" t="s">
        <v>46</v>
      </c>
      <c r="Y330" s="1" t="s">
        <v>40</v>
      </c>
      <c r="Z330" s="1" t="s">
        <v>46</v>
      </c>
      <c r="AA330" s="1" t="s">
        <v>47</v>
      </c>
      <c r="AB330" s="1" t="s">
        <v>47</v>
      </c>
      <c r="AC330" s="1" t="s">
        <v>48</v>
      </c>
      <c r="AD330" s="1" t="s">
        <v>43</v>
      </c>
      <c r="AE330" s="8">
        <f>IF(L330&lt;&gt;"",L330*E330,0)</f>
      </c>
    </row>
    <row r="331" spans="1:31" x14ac:dyDescent="0.25">
      <c r="A331" s="4">
        <v>326</v>
      </c>
      <c r="B331" s="1" t="s">
        <v>815</v>
      </c>
      <c r="C331" s="5">
        <f>HYPERLINK("https://client.unique.diamonds/dna/22005-42","DNA")</f>
      </c>
      <c r="D331" s="1" t="s">
        <v>36</v>
      </c>
      <c r="E331" s="6">
        <v>2.01</v>
      </c>
      <c r="F331" s="1" t="s">
        <v>208</v>
      </c>
      <c r="G331" s="1" t="s">
        <v>659</v>
      </c>
      <c r="H331" s="1" t="s">
        <v>39</v>
      </c>
      <c r="I331" s="1" t="s">
        <v>39</v>
      </c>
      <c r="J331" s="1" t="s">
        <v>39</v>
      </c>
      <c r="K331" s="1" t="s">
        <v>40</v>
      </c>
      <c r="L331" s="4">
        <v>8600</v>
      </c>
      <c r="M331" s="6">
        <v>-40</v>
      </c>
      <c r="N331" s="7">
        <f>IF(AND(L331 &lt;&gt; "-", M331 &lt;&gt; "-"),L331*( 1 + M331%),0)</f>
      </c>
      <c r="O331" s="7">
        <f>( N331 * E331 )</f>
      </c>
      <c r="P331" s="1" t="s">
        <v>816</v>
      </c>
      <c r="Q331" s="6">
        <v>1</v>
      </c>
      <c r="R331" s="6">
        <v>62.3</v>
      </c>
      <c r="S331" s="4">
        <v>57</v>
      </c>
      <c r="T331" s="1" t="s">
        <v>42</v>
      </c>
      <c r="U331" s="5">
        <f>HYPERLINK("https://www.gia.edu/report-check?reportno=1465246748","1465246748")</f>
      </c>
      <c r="V331" s="1" t="s">
        <v>43</v>
      </c>
      <c r="W331" s="1" t="s">
        <v>817</v>
      </c>
      <c r="X331" s="1" t="s">
        <v>46</v>
      </c>
      <c r="Y331" s="1" t="s">
        <v>40</v>
      </c>
      <c r="Z331" s="1" t="s">
        <v>46</v>
      </c>
      <c r="AA331" s="1" t="s">
        <v>47</v>
      </c>
      <c r="AB331" s="1" t="s">
        <v>47</v>
      </c>
      <c r="AC331" s="1" t="s">
        <v>48</v>
      </c>
      <c r="AD331" s="1" t="s">
        <v>43</v>
      </c>
      <c r="AE331" s="8">
        <f>IF(L331&lt;&gt;"",L331*E331,0)</f>
      </c>
    </row>
    <row r="332" spans="1:31" x14ac:dyDescent="0.25">
      <c r="A332" s="4">
        <v>327</v>
      </c>
      <c r="B332" s="1" t="s">
        <v>818</v>
      </c>
      <c r="C332" s="5">
        <f>HYPERLINK("https://client.unique.diamonds/dna/22003-5","DNA")</f>
      </c>
      <c r="D332" s="1" t="s">
        <v>36</v>
      </c>
      <c r="E332" s="6">
        <v>2.07</v>
      </c>
      <c r="F332" s="1" t="s">
        <v>208</v>
      </c>
      <c r="G332" s="1" t="s">
        <v>659</v>
      </c>
      <c r="H332" s="1" t="s">
        <v>39</v>
      </c>
      <c r="I332" s="1" t="s">
        <v>39</v>
      </c>
      <c r="J332" s="1" t="s">
        <v>39</v>
      </c>
      <c r="K332" s="1" t="s">
        <v>94</v>
      </c>
      <c r="L332" s="4">
        <v>8600</v>
      </c>
      <c r="M332" s="6">
        <v>-47.04</v>
      </c>
      <c r="N332" s="7">
        <f>IF(AND(L332 &lt;&gt; "-", M332 &lt;&gt; "-"),L332*( 1 + M332%),0)</f>
      </c>
      <c r="O332" s="7">
        <f>( N332 * E332 )</f>
      </c>
      <c r="P332" s="1" t="s">
        <v>819</v>
      </c>
      <c r="Q332" s="6">
        <v>1.01</v>
      </c>
      <c r="R332" s="6">
        <v>62.6</v>
      </c>
      <c r="S332" s="4">
        <v>58</v>
      </c>
      <c r="T332" s="1" t="s">
        <v>42</v>
      </c>
      <c r="U332" s="5">
        <f>HYPERLINK("https://www.gia.edu/report-check?reportno=6452729496","6452729496")</f>
      </c>
      <c r="V332" s="1" t="s">
        <v>43</v>
      </c>
      <c r="W332" s="1" t="s">
        <v>96</v>
      </c>
      <c r="X332" s="1" t="s">
        <v>59</v>
      </c>
      <c r="Y332" s="1" t="s">
        <v>40</v>
      </c>
      <c r="Z332" s="1" t="s">
        <v>45</v>
      </c>
      <c r="AA332" s="1" t="s">
        <v>47</v>
      </c>
      <c r="AB332" s="1" t="s">
        <v>47</v>
      </c>
      <c r="AC332" s="1" t="s">
        <v>48</v>
      </c>
      <c r="AD332" s="1" t="s">
        <v>43</v>
      </c>
      <c r="AE332" s="8">
        <f>IF(L332&lt;&gt;"",L332*E332,0)</f>
      </c>
    </row>
    <row r="333" spans="1:31" x14ac:dyDescent="0.25">
      <c r="A333" s="4">
        <v>328</v>
      </c>
      <c r="B333" s="1" t="s">
        <v>820</v>
      </c>
      <c r="C333" s="5">
        <f>HYPERLINK("https://client.unique.diamonds/dna/21001-94","DNA")</f>
      </c>
      <c r="D333" s="1" t="s">
        <v>36</v>
      </c>
      <c r="E333" s="6">
        <v>3.01</v>
      </c>
      <c r="F333" s="1" t="s">
        <v>208</v>
      </c>
      <c r="G333" s="1" t="s">
        <v>659</v>
      </c>
      <c r="H333" s="1" t="s">
        <v>39</v>
      </c>
      <c r="I333" s="1" t="s">
        <v>39</v>
      </c>
      <c r="J333" s="1" t="s">
        <v>39</v>
      </c>
      <c r="K333" s="1" t="s">
        <v>40</v>
      </c>
      <c r="L333" s="4">
        <v>12200</v>
      </c>
      <c r="M333" s="6">
        <v>-41</v>
      </c>
      <c r="N333" s="7">
        <f>IF(AND(L333 &lt;&gt; "-", M333 &lt;&gt; "-"),L333*( 1 + M333%),0)</f>
      </c>
      <c r="O333" s="7">
        <f>( N333 * E333 )</f>
      </c>
      <c r="P333" s="1" t="s">
        <v>821</v>
      </c>
      <c r="Q333" s="6">
        <v>1.01</v>
      </c>
      <c r="R333" s="6">
        <v>62.4</v>
      </c>
      <c r="S333" s="4">
        <v>59</v>
      </c>
      <c r="T333" s="1" t="s">
        <v>42</v>
      </c>
      <c r="U333" s="5">
        <f>HYPERLINK("https://www.gia.edu/report-check?reportno=2457456081","2457456081")</f>
      </c>
      <c r="V333" s="1" t="s">
        <v>43</v>
      </c>
      <c r="W333" s="1" t="s">
        <v>128</v>
      </c>
      <c r="X333" s="1" t="s">
        <v>45</v>
      </c>
      <c r="Y333" s="1" t="s">
        <v>40</v>
      </c>
      <c r="Z333" s="1" t="s">
        <v>46</v>
      </c>
      <c r="AA333" s="1" t="s">
        <v>47</v>
      </c>
      <c r="AB333" s="1" t="s">
        <v>73</v>
      </c>
      <c r="AC333" s="1" t="s">
        <v>226</v>
      </c>
      <c r="AD333" s="1" t="s">
        <v>43</v>
      </c>
      <c r="AE333" s="8">
        <f>IF(L333&lt;&gt;"",L333*E333,0)</f>
      </c>
    </row>
    <row r="334" spans="1:31" x14ac:dyDescent="0.25">
      <c r="A334" s="4">
        <v>329</v>
      </c>
      <c r="B334" s="1" t="s">
        <v>822</v>
      </c>
      <c r="C334" s="5">
        <f>HYPERLINK("https://client.unique.diamonds/dna/11041-44","DNA")</f>
      </c>
      <c r="D334" s="1" t="s">
        <v>36</v>
      </c>
      <c r="E334" s="6">
        <v>2.02</v>
      </c>
      <c r="F334" s="1" t="s">
        <v>37</v>
      </c>
      <c r="G334" s="1" t="s">
        <v>823</v>
      </c>
      <c r="H334" s="1" t="s">
        <v>39</v>
      </c>
      <c r="I334" s="1" t="s">
        <v>39</v>
      </c>
      <c r="J334" s="1" t="s">
        <v>39</v>
      </c>
      <c r="K334" s="1" t="s">
        <v>40</v>
      </c>
      <c r="L334" s="4">
        <v>9100</v>
      </c>
      <c r="M334" s="6">
        <v>-19.36</v>
      </c>
      <c r="N334" s="7">
        <f>IF(AND(L334 &lt;&gt; "-", M334 &lt;&gt; "-"),L334*( 1 + M334%),0)</f>
      </c>
      <c r="O334" s="7">
        <f>( N334 * E334 )</f>
      </c>
      <c r="P334" s="1" t="s">
        <v>824</v>
      </c>
      <c r="Q334" s="6">
        <v>1.01</v>
      </c>
      <c r="R334" s="6">
        <v>61.9</v>
      </c>
      <c r="S334" s="4">
        <v>59</v>
      </c>
      <c r="T334" s="1" t="s">
        <v>42</v>
      </c>
      <c r="U334" s="5">
        <f>HYPERLINK("https://www.gia.edu/report-check?reportno=1428394207","1428394207")</f>
      </c>
      <c r="V334" s="1" t="s">
        <v>43</v>
      </c>
      <c r="W334" s="1" t="s">
        <v>112</v>
      </c>
      <c r="X334" s="1" t="s">
        <v>357</v>
      </c>
      <c r="Y334" s="1" t="s">
        <v>40</v>
      </c>
      <c r="Z334" s="1" t="s">
        <v>46</v>
      </c>
      <c r="AA334" s="1" t="s">
        <v>52</v>
      </c>
      <c r="AB334" s="1" t="s">
        <v>40</v>
      </c>
      <c r="AC334" s="1" t="s">
        <v>226</v>
      </c>
      <c r="AD334" s="1" t="s">
        <v>43</v>
      </c>
      <c r="AE334" s="8">
        <f>IF(L334&lt;&gt;"",L334*E334,0)</f>
      </c>
    </row>
    <row r="335" spans="1:31" x14ac:dyDescent="0.25">
      <c r="A335" s="4">
        <v>330</v>
      </c>
      <c r="B335" s="1" t="s">
        <v>825</v>
      </c>
      <c r="C335" s="5">
        <f>HYPERLINK("https://client.unique.diamonds/dna/11241-203","DNA")</f>
      </c>
      <c r="D335" s="1" t="s">
        <v>36</v>
      </c>
      <c r="E335" s="6">
        <v>1.5</v>
      </c>
      <c r="F335" s="1" t="s">
        <v>138</v>
      </c>
      <c r="G335" s="1" t="s">
        <v>823</v>
      </c>
      <c r="H335" s="1" t="s">
        <v>39</v>
      </c>
      <c r="I335" s="1" t="s">
        <v>39</v>
      </c>
      <c r="J335" s="1" t="s">
        <v>39</v>
      </c>
      <c r="K335" s="1" t="s">
        <v>94</v>
      </c>
      <c r="L335" s="4">
        <v>6200</v>
      </c>
      <c r="M335" s="6">
        <v>-35.91</v>
      </c>
      <c r="N335" s="7">
        <f>IF(AND(L335 &lt;&gt; "-", M335 &lt;&gt; "-"),L335*( 1 + M335%),0)</f>
      </c>
      <c r="O335" s="7">
        <f>( N335 * E335 )</f>
      </c>
      <c r="P335" s="1" t="s">
        <v>826</v>
      </c>
      <c r="Q335" s="6">
        <v>1.01</v>
      </c>
      <c r="R335" s="6">
        <v>62.6</v>
      </c>
      <c r="S335" s="4">
        <v>56</v>
      </c>
      <c r="T335" s="1" t="s">
        <v>42</v>
      </c>
      <c r="U335" s="5">
        <f>HYPERLINK("https://www.gia.edu/report-check?reportno=1448682478","1448682478")</f>
      </c>
      <c r="V335" s="1" t="s">
        <v>43</v>
      </c>
      <c r="W335" s="1" t="s">
        <v>827</v>
      </c>
      <c r="X335" s="1" t="s">
        <v>46</v>
      </c>
      <c r="Y335" s="1" t="s">
        <v>40</v>
      </c>
      <c r="Z335" s="1" t="s">
        <v>357</v>
      </c>
      <c r="AA335" s="1" t="s">
        <v>47</v>
      </c>
      <c r="AB335" s="1" t="s">
        <v>40</v>
      </c>
      <c r="AC335" s="1" t="s">
        <v>48</v>
      </c>
      <c r="AD335" s="1" t="s">
        <v>43</v>
      </c>
      <c r="AE335" s="8">
        <f>IF(L335&lt;&gt;"",L335*E335,0)</f>
      </c>
    </row>
    <row r="336" spans="1:31" x14ac:dyDescent="0.25">
      <c r="A336" s="4">
        <v>331</v>
      </c>
      <c r="B336" s="1" t="s">
        <v>828</v>
      </c>
      <c r="C336" s="5">
        <f>HYPERLINK("https://client.unique.diamonds/dna/161-115","DNA")</f>
      </c>
      <c r="D336" s="1" t="s">
        <v>36</v>
      </c>
      <c r="E336" s="6">
        <v>1.65</v>
      </c>
      <c r="F336" s="1" t="s">
        <v>138</v>
      </c>
      <c r="G336" s="1" t="s">
        <v>823</v>
      </c>
      <c r="H336" s="1" t="s">
        <v>39</v>
      </c>
      <c r="I336" s="1" t="s">
        <v>39</v>
      </c>
      <c r="J336" s="1" t="s">
        <v>39</v>
      </c>
      <c r="K336" s="1" t="s">
        <v>94</v>
      </c>
      <c r="L336" s="4">
        <v>6200</v>
      </c>
      <c r="M336" s="6">
        <v>-21.68</v>
      </c>
      <c r="N336" s="7">
        <f>IF(AND(L336 &lt;&gt; "-", M336 &lt;&gt; "-"),L336*( 1 + M336%),0)</f>
      </c>
      <c r="O336" s="7">
        <f>( N336 * E336 )</f>
      </c>
      <c r="P336" s="1" t="s">
        <v>829</v>
      </c>
      <c r="Q336" s="6">
        <v>1.01</v>
      </c>
      <c r="R336" s="6">
        <v>62.4</v>
      </c>
      <c r="S336" s="4">
        <v>59</v>
      </c>
      <c r="T336" s="1" t="s">
        <v>42</v>
      </c>
      <c r="U336" s="5">
        <f>HYPERLINK("https://www.gia.edu/report-check?reportno=1437559337","1437559337")</f>
      </c>
      <c r="V336" s="1" t="s">
        <v>43</v>
      </c>
      <c r="W336" s="1" t="s">
        <v>740</v>
      </c>
      <c r="X336" s="1" t="s">
        <v>46</v>
      </c>
      <c r="Y336" s="1" t="s">
        <v>40</v>
      </c>
      <c r="Z336" s="1" t="s">
        <v>357</v>
      </c>
      <c r="AA336" s="1" t="s">
        <v>40</v>
      </c>
      <c r="AB336" s="1" t="s">
        <v>40</v>
      </c>
      <c r="AC336" s="1" t="s">
        <v>48</v>
      </c>
      <c r="AD336" s="1" t="s">
        <v>43</v>
      </c>
      <c r="AE336" s="8">
        <f>IF(L336&lt;&gt;"",L336*E336,0)</f>
      </c>
    </row>
    <row r="337" spans="1:31" x14ac:dyDescent="0.25">
      <c r="A337" s="4">
        <v>332</v>
      </c>
      <c r="B337" s="1" t="s">
        <v>830</v>
      </c>
      <c r="C337" s="5">
        <f>HYPERLINK("https://client.unique.diamonds/dna/11046-19","DNA")</f>
      </c>
      <c r="D337" s="1" t="s">
        <v>36</v>
      </c>
      <c r="E337" s="6">
        <v>2.01</v>
      </c>
      <c r="F337" s="1" t="s">
        <v>138</v>
      </c>
      <c r="G337" s="1" t="s">
        <v>823</v>
      </c>
      <c r="H337" s="1" t="s">
        <v>39</v>
      </c>
      <c r="I337" s="1" t="s">
        <v>39</v>
      </c>
      <c r="J337" s="1" t="s">
        <v>39</v>
      </c>
      <c r="K337" s="1" t="s">
        <v>40</v>
      </c>
      <c r="L337" s="4">
        <v>7900</v>
      </c>
      <c r="M337" s="6">
        <v>-43.1</v>
      </c>
      <c r="N337" s="7">
        <f>IF(AND(L337 &lt;&gt; "-", M337 &lt;&gt; "-"),L337*( 1 + M337%),0)</f>
      </c>
      <c r="O337" s="7">
        <f>( N337 * E337 )</f>
      </c>
      <c r="P337" s="1" t="s">
        <v>831</v>
      </c>
      <c r="Q337" s="6">
        <v>1</v>
      </c>
      <c r="R337" s="6">
        <v>62.8</v>
      </c>
      <c r="S337" s="4">
        <v>60</v>
      </c>
      <c r="T337" s="1" t="s">
        <v>42</v>
      </c>
      <c r="U337" s="5">
        <f>HYPERLINK("https://www.gia.edu/report-check?reportno=3425463108","3425463108")</f>
      </c>
      <c r="V337" s="1" t="s">
        <v>43</v>
      </c>
      <c r="W337" s="1" t="s">
        <v>704</v>
      </c>
      <c r="X337" s="1" t="s">
        <v>45</v>
      </c>
      <c r="Y337" s="1" t="s">
        <v>40</v>
      </c>
      <c r="Z337" s="1" t="s">
        <v>357</v>
      </c>
      <c r="AA337" s="1" t="s">
        <v>47</v>
      </c>
      <c r="AB337" s="1" t="s">
        <v>47</v>
      </c>
      <c r="AC337" s="1" t="s">
        <v>48</v>
      </c>
      <c r="AD337" s="1" t="s">
        <v>43</v>
      </c>
      <c r="AE337" s="8">
        <f>IF(L337&lt;&gt;"",L337*E337,0)</f>
      </c>
    </row>
    <row r="338" spans="1:31" x14ac:dyDescent="0.25">
      <c r="A338" s="4">
        <v>333</v>
      </c>
      <c r="B338" s="1" t="s">
        <v>832</v>
      </c>
      <c r="C338" s="5">
        <f>HYPERLINK("https://client.unique.diamonds/dna/11136-34","DNA")</f>
      </c>
      <c r="D338" s="1" t="s">
        <v>36</v>
      </c>
      <c r="E338" s="6">
        <v>1.52</v>
      </c>
      <c r="F338" s="1" t="s">
        <v>162</v>
      </c>
      <c r="G338" s="1" t="s">
        <v>823</v>
      </c>
      <c r="H338" s="1" t="s">
        <v>39</v>
      </c>
      <c r="I338" s="1" t="s">
        <v>39</v>
      </c>
      <c r="J338" s="1" t="s">
        <v>39</v>
      </c>
      <c r="K338" s="1" t="s">
        <v>90</v>
      </c>
      <c r="L338" s="4">
        <v>5800</v>
      </c>
      <c r="M338" s="6">
        <v>-34.3</v>
      </c>
      <c r="N338" s="7">
        <f>IF(AND(L338 &lt;&gt; "-", M338 &lt;&gt; "-"),L338*( 1 + M338%),0)</f>
      </c>
      <c r="O338" s="7">
        <f>( N338 * E338 )</f>
      </c>
      <c r="P338" s="1" t="s">
        <v>833</v>
      </c>
      <c r="Q338" s="6">
        <v>1.01</v>
      </c>
      <c r="R338" s="6">
        <v>60.2</v>
      </c>
      <c r="S338" s="4">
        <v>59</v>
      </c>
      <c r="T338" s="1" t="s">
        <v>42</v>
      </c>
      <c r="U338" s="5">
        <f>HYPERLINK("https://www.gia.edu/report-check?reportno=6431347786","6431347786")</f>
      </c>
      <c r="V338" s="1" t="s">
        <v>43</v>
      </c>
      <c r="W338" s="1" t="s">
        <v>834</v>
      </c>
      <c r="X338" s="1" t="s">
        <v>45</v>
      </c>
      <c r="Y338" s="1" t="s">
        <v>40</v>
      </c>
      <c r="Z338" s="1" t="s">
        <v>357</v>
      </c>
      <c r="AA338" s="1" t="s">
        <v>47</v>
      </c>
      <c r="AB338" s="1" t="s">
        <v>73</v>
      </c>
      <c r="AC338" s="1" t="s">
        <v>48</v>
      </c>
      <c r="AD338" s="1" t="s">
        <v>43</v>
      </c>
      <c r="AE338" s="8">
        <f>IF(L338&lt;&gt;"",L338*E338,0)</f>
      </c>
    </row>
    <row r="339" spans="1:31" x14ac:dyDescent="0.25">
      <c r="A339" s="4">
        <v>334</v>
      </c>
      <c r="B339" s="1" t="s">
        <v>835</v>
      </c>
      <c r="C339" s="5">
        <f>HYPERLINK("https://client.unique.diamonds/dna/12005-3","DNA")</f>
      </c>
      <c r="D339" s="1" t="s">
        <v>36</v>
      </c>
      <c r="E339" s="6">
        <v>2.01</v>
      </c>
      <c r="F339" s="1" t="s">
        <v>162</v>
      </c>
      <c r="G339" s="1" t="s">
        <v>823</v>
      </c>
      <c r="H339" s="1" t="s">
        <v>39</v>
      </c>
      <c r="I339" s="1" t="s">
        <v>39</v>
      </c>
      <c r="J339" s="1" t="s">
        <v>39</v>
      </c>
      <c r="K339" s="1" t="s">
        <v>90</v>
      </c>
      <c r="L339" s="4">
        <v>7500</v>
      </c>
      <c r="M339" s="6">
        <v>-24.93</v>
      </c>
      <c r="N339" s="7">
        <f>IF(AND(L339 &lt;&gt; "-", M339 &lt;&gt; "-"),L339*( 1 + M339%),0)</f>
      </c>
      <c r="O339" s="7">
        <f>( N339 * E339 )</f>
      </c>
      <c r="P339" s="1" t="s">
        <v>836</v>
      </c>
      <c r="Q339" s="6">
        <v>1.01</v>
      </c>
      <c r="R339" s="6">
        <v>61.5</v>
      </c>
      <c r="S339" s="4">
        <v>61</v>
      </c>
      <c r="T339" s="1" t="s">
        <v>42</v>
      </c>
      <c r="U339" s="5">
        <f>HYPERLINK("https://www.gia.edu/report-check?reportno=1226217118","1226217118")</f>
      </c>
      <c r="V339" s="1" t="s">
        <v>43</v>
      </c>
      <c r="W339" s="1" t="s">
        <v>341</v>
      </c>
      <c r="X339" s="1" t="s">
        <v>357</v>
      </c>
      <c r="Y339" s="1" t="s">
        <v>40</v>
      </c>
      <c r="Z339" s="1" t="s">
        <v>357</v>
      </c>
      <c r="AA339" s="1" t="s">
        <v>52</v>
      </c>
      <c r="AB339" s="1" t="s">
        <v>73</v>
      </c>
      <c r="AC339" s="1" t="s">
        <v>48</v>
      </c>
      <c r="AD339" s="1" t="s">
        <v>43</v>
      </c>
      <c r="AE339" s="8">
        <f>IF(L339&lt;&gt;"",L339*E339,0)</f>
      </c>
    </row>
    <row r="340" spans="1:31" x14ac:dyDescent="0.25">
      <c r="A340" s="4">
        <v>335</v>
      </c>
      <c r="B340" s="1" t="s">
        <v>837</v>
      </c>
      <c r="C340" s="5">
        <f>HYPERLINK("https://client.unique.diamonds/dna/11076-36","DNA")</f>
      </c>
      <c r="D340" s="1" t="s">
        <v>36</v>
      </c>
      <c r="E340" s="6">
        <v>1.5</v>
      </c>
      <c r="F340" s="1" t="s">
        <v>176</v>
      </c>
      <c r="G340" s="1" t="s">
        <v>823</v>
      </c>
      <c r="H340" s="1" t="s">
        <v>39</v>
      </c>
      <c r="I340" s="1" t="s">
        <v>39</v>
      </c>
      <c r="J340" s="1" t="s">
        <v>39</v>
      </c>
      <c r="K340" s="1" t="s">
        <v>40</v>
      </c>
      <c r="L340" s="4">
        <v>5300</v>
      </c>
      <c r="M340" s="6">
        <v>-40.3</v>
      </c>
      <c r="N340" s="7">
        <f>IF(AND(L340 &lt;&gt; "-", M340 &lt;&gt; "-"),L340*( 1 + M340%),0)</f>
      </c>
      <c r="O340" s="7">
        <f>( N340 * E340 )</f>
      </c>
      <c r="P340" s="1" t="s">
        <v>838</v>
      </c>
      <c r="Q340" s="6">
        <v>1.01</v>
      </c>
      <c r="R340" s="6">
        <v>62.8</v>
      </c>
      <c r="S340" s="4">
        <v>58</v>
      </c>
      <c r="T340" s="1" t="s">
        <v>42</v>
      </c>
      <c r="U340" s="5">
        <f>HYPERLINK("https://www.gia.edu/report-check?reportno=2427694305","2427694305")</f>
      </c>
      <c r="V340" s="1" t="s">
        <v>43</v>
      </c>
      <c r="W340" s="1" t="s">
        <v>566</v>
      </c>
      <c r="X340" s="1" t="s">
        <v>46</v>
      </c>
      <c r="Y340" s="1" t="s">
        <v>40</v>
      </c>
      <c r="Z340" s="1" t="s">
        <v>357</v>
      </c>
      <c r="AA340" s="1" t="s">
        <v>47</v>
      </c>
      <c r="AB340" s="1" t="s">
        <v>47</v>
      </c>
      <c r="AC340" s="1" t="s">
        <v>48</v>
      </c>
      <c r="AD340" s="1" t="s">
        <v>43</v>
      </c>
      <c r="AE340" s="8">
        <f>IF(L340&lt;&gt;"",L340*E340,0)</f>
      </c>
    </row>
    <row r="341" spans="1:31" x14ac:dyDescent="0.25">
      <c r="A341" s="4">
        <v>336</v>
      </c>
      <c r="B341" s="1" t="s">
        <v>839</v>
      </c>
      <c r="C341" s="5">
        <f>HYPERLINK("https://client.unique.diamonds/dna/11041-28","DNA")</f>
      </c>
      <c r="D341" s="1" t="s">
        <v>36</v>
      </c>
      <c r="E341" s="6">
        <v>2.01</v>
      </c>
      <c r="F341" s="1" t="s">
        <v>176</v>
      </c>
      <c r="G341" s="1" t="s">
        <v>823</v>
      </c>
      <c r="H341" s="1" t="s">
        <v>39</v>
      </c>
      <c r="I341" s="1" t="s">
        <v>39</v>
      </c>
      <c r="J341" s="1" t="s">
        <v>39</v>
      </c>
      <c r="K341" s="1" t="s">
        <v>90</v>
      </c>
      <c r="L341" s="4">
        <v>7000</v>
      </c>
      <c r="M341" s="6">
        <v>-29.44</v>
      </c>
      <c r="N341" s="7">
        <f>IF(AND(L341 &lt;&gt; "-", M341 &lt;&gt; "-"),L341*( 1 + M341%),0)</f>
      </c>
      <c r="O341" s="7">
        <f>( N341 * E341 )</f>
      </c>
      <c r="P341" s="1" t="s">
        <v>840</v>
      </c>
      <c r="Q341" s="6">
        <v>1.01</v>
      </c>
      <c r="R341" s="6">
        <v>62.8</v>
      </c>
      <c r="S341" s="4">
        <v>58</v>
      </c>
      <c r="T341" s="1" t="s">
        <v>42</v>
      </c>
      <c r="U341" s="5">
        <f>HYPERLINK("https://www.gia.edu/report-check?reportno=7428319280","7428319280")</f>
      </c>
      <c r="V341" s="1" t="s">
        <v>43</v>
      </c>
      <c r="W341" s="1" t="s">
        <v>644</v>
      </c>
      <c r="X341" s="1" t="s">
        <v>701</v>
      </c>
      <c r="Y341" s="1" t="s">
        <v>40</v>
      </c>
      <c r="Z341" s="1" t="s">
        <v>357</v>
      </c>
      <c r="AA341" s="1" t="s">
        <v>52</v>
      </c>
      <c r="AB341" s="1" t="s">
        <v>73</v>
      </c>
      <c r="AC341" s="1" t="s">
        <v>48</v>
      </c>
      <c r="AD341" s="1" t="s">
        <v>43</v>
      </c>
      <c r="AE341" s="8">
        <f>IF(L341&lt;&gt;"",L341*E341,0)</f>
      </c>
    </row>
    <row r="342" hidden="1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hidden="1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1" x14ac:dyDescent="0.25">
      <c r="A344" s="1"/>
      <c r="B344" s="1"/>
      <c r="C344" s="1"/>
      <c r="D344" s="1"/>
      <c r="E344" s="9">
        <f>ROUND(SUBTOTAL(9,E6:E341),2)</f>
      </c>
      <c r="F344" s="1"/>
      <c r="G344" s="1"/>
      <c r="H344" s="1"/>
      <c r="I344" s="1"/>
      <c r="J344" s="1"/>
      <c r="K344" s="1"/>
      <c r="L344" s="9">
        <f>ROUND(AY3/E3,2)</f>
      </c>
      <c r="M344" s="9">
        <f>ROUND((I3/AY3*100)-100,2)</f>
      </c>
      <c r="N344" s="9">
        <f>ROUND(I3/E3,2)</f>
      </c>
      <c r="O344" s="9">
        <f>ROUND(SUBTOTAL(9,O6:O341),2)</f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9">
        <f>ROUND(SUBTOTAL(9,AE6:AE341),2)</f>
      </c>
    </row>
  </sheetData>
  <autoFilter ref="A5:AE341"/>
  <mergeCells count="3">
    <mergeCell ref="A1:B3"/>
    <mergeCell ref="A342:AM342"/>
    <mergeCell ref="A343:AM34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14-06-2023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2023-06-14T21:29:35Z</dcterms:created>
  <dcterms:modified xsi:type="dcterms:W3CDTF">2023-06-14T21:29:35Z</dcterms:modified>
</cp:coreProperties>
</file>