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5-06-2023" sheetId="1" r:id="rId1"/>
  </sheets>
  <definedNames>
    <definedName name="_xlnm._FilterDatabase" localSheetId="0" hidden="1">'15-06-2023'!$A$6:$AS$6</definedName>
  </definedNames>
  <calcPr fullCalcOnLoad="1"/>
</workbook>
</file>

<file path=xl/sharedStrings.xml><?xml version="1.0" encoding="utf-8"?>
<sst xmlns="http://schemas.openxmlformats.org/spreadsheetml/2006/main" count="149" uniqueCount="149">
  <si>
    <t>SHAIRU GEMS DIAMOND INVENTORY FOR THE DATE 15-06-2023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</si>
  <si>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</si>
  <si>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</si>
  <si>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</si>
  <si>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</si>
  <si>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</si>
  <si>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</si>
  <si>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</si>
  <si>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</si>
  <si>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</si>
  <si>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</si>
  <si>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</si>
  <si>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</si>
  <si>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</si>
  <si>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</si>
  <si>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</si>
  <si>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</si>
  <si>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</si>
  <si>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</si>
  <si>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</si>
  <si>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</si>
  <si>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</si>
  <si>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</si>
  <si>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</si>
  <si>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</si>
  <si>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</si>
  <si>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</si>
  <si>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</si>
  <si>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</si>
  <si>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</si>
  <si>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</si>
  <si>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</si>
  <si>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</si>
  <si>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</si>
  <si>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</si>
  <si>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</si>
  <si>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</si>
  <si>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</si>
  <si>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</si>
  <si>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</si>
  <si>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</si>
  <si>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</si>
  <si>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</si>
  <si>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</si>
  <si>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</si>
  <si>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</si>
  <si>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</si>
  <si>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</si>
  <si>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</si>
  <si>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</si>
  <si>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CYG-484923</t>
  </si>
  <si>
    <t>India</t>
  </si>
  <si>
    <t>Available</t>
  </si>
  <si>
    <t>PRINCESS</t>
  </si>
  <si>
    <t>3.00-3.99</t>
  </si>
  <si>
    <t>6452605154</t>
  </si>
  <si>
    <t>NO BGM</t>
  </si>
  <si>
    <t/>
  </si>
  <si>
    <t>F</t>
  </si>
  <si>
    <t>SI2</t>
  </si>
  <si>
    <t>-</t>
  </si>
  <si>
    <t>EX</t>
  </si>
  <si>
    <t>MED</t>
  </si>
  <si>
    <t>Crystal, Feather</t>
  </si>
  <si>
    <t>Non</t>
  </si>
  <si>
    <t>Small</t>
  </si>
  <si>
    <t>None</t>
  </si>
  <si>
    <t>STK TO THK</t>
  </si>
  <si>
    <t>Polished</t>
  </si>
  <si>
    <t>CYA-484233</t>
  </si>
  <si>
    <t>3455516745</t>
  </si>
  <si>
    <t>H</t>
  </si>
  <si>
    <t>VS2</t>
  </si>
  <si>
    <t>Crystal, Cloud</t>
  </si>
  <si>
    <t>Minor</t>
  </si>
  <si>
    <t>THK TO VTK</t>
  </si>
  <si>
    <t>Additional Clouds Are Not Shown. Pinpoints Are Not Shown.</t>
  </si>
  <si>
    <t>CXW-483872</t>
  </si>
  <si>
    <t>1453465809</t>
  </si>
  <si>
    <t>I</t>
  </si>
  <si>
    <t>FNT</t>
  </si>
  <si>
    <t>Feather, Crystal, Pinpoint</t>
  </si>
  <si>
    <t>Additional Pinpoints Are Not Shown.</t>
  </si>
  <si>
    <t>CZF-488459</t>
  </si>
  <si>
    <t>1455884063</t>
  </si>
  <si>
    <t>VG</t>
  </si>
  <si>
    <t>NON</t>
  </si>
  <si>
    <t>Crystal, Cloud, Needle</t>
  </si>
  <si>
    <t>Pinpoints Are Not Shown. Internal Graining Is Not Shown.</t>
  </si>
  <si>
    <t>CXX-483995</t>
  </si>
  <si>
    <t>1459483001</t>
  </si>
  <si>
    <t>Cloud, Feather, Crystal, Needle</t>
  </si>
  <si>
    <t>CZB-487909</t>
  </si>
  <si>
    <t>2457839611</t>
  </si>
  <si>
    <t>Feather, Cloud, Crystal, Needle, Pinpoint</t>
  </si>
  <si>
    <t>STK</t>
  </si>
  <si>
    <t>CWU-480201</t>
  </si>
  <si>
    <t>2.00-2.99</t>
  </si>
  <si>
    <t>7452160165</t>
  </si>
  <si>
    <t>E</t>
  </si>
  <si>
    <t>Feather, Crystal, Cloud, Needle</t>
  </si>
  <si>
    <t>Pinpoints Are Not Shown.</t>
  </si>
  <si>
    <t>CXY-484121</t>
  </si>
  <si>
    <t>6452502182</t>
  </si>
  <si>
    <t>VS1</t>
  </si>
  <si>
    <t>Crystal, Feather, Needle, Natural</t>
  </si>
  <si>
    <t>MED TO STK</t>
  </si>
  <si>
    <t>DAW-496935</t>
  </si>
  <si>
    <t>2466464544</t>
  </si>
  <si>
    <t>Crystal, Feather, Pinpoint, Cloud</t>
  </si>
  <si>
    <t>BW-02-23-408</t>
  </si>
  <si>
    <t>Dubai</t>
  </si>
  <si>
    <t>1455566982</t>
  </si>
  <si>
    <t>3EX</t>
  </si>
  <si>
    <t>Crystal, Feather, Needle</t>
  </si>
  <si>
    <t>Medium</t>
  </si>
  <si>
    <t>Clouds Are Not Shown. Pinpoints Are Not Shown.</t>
  </si>
  <si>
    <t>CYA-484284</t>
  </si>
  <si>
    <t>6452516742</t>
  </si>
  <si>
    <t>Twinning Wisp, Cloud, Feather, Cavity</t>
  </si>
  <si>
    <t>MED TO THK</t>
  </si>
  <si>
    <t>Additional Twinning Wisps, Additional Clouds, Pinpoints And Surface Graining Are Not Shown.</t>
  </si>
  <si>
    <t>CZB-487917</t>
  </si>
  <si>
    <t>2457839643</t>
  </si>
  <si>
    <t>Crystal, Feather, Cloud, Needle</t>
  </si>
  <si>
    <t>CWY-480789</t>
  </si>
  <si>
    <t>1.50-1.99</t>
  </si>
  <si>
    <t>6455219568</t>
  </si>
  <si>
    <t>SI1</t>
  </si>
  <si>
    <t>Feather, Crystal, Needle, Cloud</t>
  </si>
  <si>
    <t>DAQ-495615</t>
  </si>
  <si>
    <t>2468388400</t>
  </si>
  <si>
    <t>G</t>
  </si>
  <si>
    <t>VVS2</t>
  </si>
  <si>
    <t>Cloud, Feather</t>
  </si>
  <si>
    <t>P.P</t>
  </si>
  <si>
    <t>VTK</t>
  </si>
  <si>
    <t>Surface Graining Is Not Shown.</t>
  </si>
  <si>
    <t>DAZ-497662</t>
  </si>
  <si>
    <t>7461511942</t>
  </si>
  <si>
    <t>Cloud, Crystal, Feather</t>
  </si>
  <si>
    <t>DAG-493709</t>
  </si>
  <si>
    <t>6465273233</t>
  </si>
  <si>
    <t>THK</t>
  </si>
  <si>
    <t>DAQ-495618</t>
  </si>
  <si>
    <t>2464388846</t>
  </si>
  <si>
    <t>Crystal, Needle</t>
  </si>
  <si>
    <t>BW-02-23-404</t>
  </si>
  <si>
    <t>7453555547</t>
  </si>
</sst>
</file>

<file path=xl/styles.xml><?xml version="1.0" encoding="utf-8"?>
<styleSheet xmlns="http://schemas.openxmlformats.org/spreadsheetml/2006/main">
  <numFmts count="1">
    <numFmt numFmtId="164" formatCode="#,##"/>
  </numFmts>
  <fonts count="9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0" applyNumberFormat="1" fontId="7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8" applyFont="1" fillId="4" applyFill="1" xfId="0" applyProtection="1" applyAlignment="1">
      <alignment horizontal="center"/>
    </xf>
    <xf numFmtId="4" applyNumberFormat="1" fontId="8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25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9">
        <f>ROUND(SUBTOTAL(102,A7:A24),2)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0">
        <f>ROUND(SUBTOTAL(109,P7:P24),2)</f>
      </c>
      <c r="Q5" s="6"/>
      <c r="R5" s="21">
        <f>ROUND(SUBTOTAL(109,R7:R24),2)</f>
      </c>
      <c r="S5" s="22">
        <f>ROUND((1-(SUBTOTAL(109,U7:U24)/SUBTOTAL(109,R7:R24)))*(-100),2)</f>
      </c>
      <c r="T5" s="6"/>
      <c r="U5" s="21">
        <f>ROUND(SUBTOTAL(109,U7:U24),2)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=HYPERLINK("https://diamview.com/DNA/Index?sRefNo=CYG-484923"," DNA ")</f>
      </c>
      <c r="F7" s="12">
        <f>=HYPERLINK("https://diamview.com/DNA/Image?sRefNo=CYG-484923"," Image ")</f>
      </c>
      <c r="G7" s="12">
        <f>=HYPERLINK("https://diamview.com/DNA/Vision360?d=CYG-484923&amp;sv=0,1,2,3,4&amp;z=1&amp;i=HDInfo?SeqNo=CYG-484923"," Video ")</f>
      </c>
      <c r="H7" s="11" t="s">
        <v>53</v>
      </c>
      <c r="I7" s="15" t="s">
        <v>54</v>
      </c>
      <c r="J7" s="12">
        <f>=HYPERLINK("https://diamview.com/DNA/certi?SeqNo=6452605154","GIA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4">
        <v>3</v>
      </c>
      <c r="Q7" s="14">
        <v>15500</v>
      </c>
      <c r="R7" s="14">
        <f>=Q7*P7</f>
      </c>
      <c r="S7" s="16">
        <v>-56.39</v>
      </c>
      <c r="T7" s="17">
        <f>=U7/P7</f>
      </c>
      <c r="U7" s="16">
        <f>=R7+(R7*S7/100)</f>
      </c>
      <c r="V7" s="11" t="s">
        <v>60</v>
      </c>
      <c r="W7" s="11" t="s">
        <v>61</v>
      </c>
      <c r="X7" s="11" t="s">
        <v>61</v>
      </c>
      <c r="Y7" s="11" t="s">
        <v>62</v>
      </c>
      <c r="Z7" s="18">
        <v>7.87</v>
      </c>
      <c r="AA7" s="18">
        <v>7.85</v>
      </c>
      <c r="AB7" s="18">
        <v>5.77</v>
      </c>
      <c r="AC7" s="18">
        <v>73.6</v>
      </c>
      <c r="AD7" s="18">
        <v>71</v>
      </c>
      <c r="AE7" s="11" t="s">
        <v>63</v>
      </c>
      <c r="AF7" s="11" t="s">
        <v>64</v>
      </c>
      <c r="AG7" s="11" t="s">
        <v>65</v>
      </c>
      <c r="AH7" s="11" t="s">
        <v>66</v>
      </c>
      <c r="AI7" s="11" t="s">
        <v>65</v>
      </c>
      <c r="AJ7" s="11" t="s">
        <v>66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1" t="s">
        <v>67</v>
      </c>
      <c r="AQ7" s="11" t="s">
        <v>68</v>
      </c>
      <c r="AR7" s="11" t="s">
        <v>57</v>
      </c>
      <c r="AS7" s="11" t="s">
        <v>57</v>
      </c>
    </row>
    <row r="8">
      <c r="A8" s="11">
        <v>2</v>
      </c>
      <c r="B8" s="11" t="s">
        <v>69</v>
      </c>
      <c r="C8" s="11" t="s">
        <v>51</v>
      </c>
      <c r="D8" s="11" t="s">
        <v>52</v>
      </c>
      <c r="E8" s="12">
        <f>=HYPERLINK("https://diamview.com/DNA/Index?sRefNo=CYA-484233"," DNA ")</f>
      </c>
      <c r="F8" s="12">
        <f>=HYPERLINK("https://diamview.com/DNA/Image?sRefNo=CYA-484233"," Image ")</f>
      </c>
      <c r="G8" s="12">
        <f>=HYPERLINK("https://diamview.com/DNA/Vision360?d=CYA-484233&amp;sv=0,1,2,3,4&amp;z=1&amp;i=HDInfo?SeqNo=CYA-484233"," Video ")</f>
      </c>
      <c r="H8" s="11" t="s">
        <v>53</v>
      </c>
      <c r="I8" s="15" t="s">
        <v>54</v>
      </c>
      <c r="J8" s="12">
        <f>=HYPERLINK("https://diamview.com/DNA/certi?SeqNo=3455516745","GIA ")</f>
      </c>
      <c r="K8" s="11" t="s">
        <v>70</v>
      </c>
      <c r="L8" s="11" t="s">
        <v>56</v>
      </c>
      <c r="M8" s="11" t="s">
        <v>57</v>
      </c>
      <c r="N8" s="11" t="s">
        <v>71</v>
      </c>
      <c r="O8" s="11" t="s">
        <v>72</v>
      </c>
      <c r="P8" s="14">
        <v>3</v>
      </c>
      <c r="Q8" s="14">
        <v>18000</v>
      </c>
      <c r="R8" s="14">
        <f>=Q8*P8</f>
      </c>
      <c r="S8" s="16">
        <v>-56.88</v>
      </c>
      <c r="T8" s="17">
        <f>=U8/P8</f>
      </c>
      <c r="U8" s="16">
        <f>=R8+(R8*S8/100)</f>
      </c>
      <c r="V8" s="11" t="s">
        <v>60</v>
      </c>
      <c r="W8" s="11" t="s">
        <v>61</v>
      </c>
      <c r="X8" s="11" t="s">
        <v>61</v>
      </c>
      <c r="Y8" s="11" t="s">
        <v>62</v>
      </c>
      <c r="Z8" s="18">
        <v>7.75</v>
      </c>
      <c r="AA8" s="18">
        <v>7.65</v>
      </c>
      <c r="AB8" s="18">
        <v>5.77</v>
      </c>
      <c r="AC8" s="18">
        <v>75.4</v>
      </c>
      <c r="AD8" s="18">
        <v>73</v>
      </c>
      <c r="AE8" s="11" t="s">
        <v>73</v>
      </c>
      <c r="AF8" s="11" t="s">
        <v>64</v>
      </c>
      <c r="AG8" s="11" t="s">
        <v>74</v>
      </c>
      <c r="AH8" s="11" t="s">
        <v>74</v>
      </c>
      <c r="AI8" s="11" t="s">
        <v>74</v>
      </c>
      <c r="AJ8" s="11" t="s">
        <v>74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1" t="s">
        <v>75</v>
      </c>
      <c r="AQ8" s="11" t="s">
        <v>68</v>
      </c>
      <c r="AR8" s="11" t="s">
        <v>57</v>
      </c>
      <c r="AS8" s="11" t="s">
        <v>76</v>
      </c>
    </row>
    <row r="9">
      <c r="A9" s="11">
        <v>3</v>
      </c>
      <c r="B9" s="11" t="s">
        <v>77</v>
      </c>
      <c r="C9" s="11" t="s">
        <v>51</v>
      </c>
      <c r="D9" s="11" t="s">
        <v>52</v>
      </c>
      <c r="E9" s="12">
        <f>=HYPERLINK("https://diamview.com/DNA/Index?sRefNo=CXW-483872"," DNA ")</f>
      </c>
      <c r="F9" s="12">
        <f>=HYPERLINK("https://diamview.com/DNA/Image?sRefNo=CXW-483872"," Image ")</f>
      </c>
      <c r="G9" s="12">
        <f>=HYPERLINK("https://diamview.com/DNA/Vision360?d=CXW-483872&amp;sv=0,1,2,3,4&amp;z=1&amp;i=HDInfo?SeqNo=CXW-483872"," Video ")</f>
      </c>
      <c r="H9" s="11" t="s">
        <v>53</v>
      </c>
      <c r="I9" s="15" t="s">
        <v>54</v>
      </c>
      <c r="J9" s="12">
        <f>=HYPERLINK("https://diamview.com/DNA/certi?SeqNo=1453465809","GIA ")</f>
      </c>
      <c r="K9" s="11" t="s">
        <v>78</v>
      </c>
      <c r="L9" s="11" t="s">
        <v>56</v>
      </c>
      <c r="M9" s="11" t="s">
        <v>57</v>
      </c>
      <c r="N9" s="11" t="s">
        <v>79</v>
      </c>
      <c r="O9" s="11" t="s">
        <v>72</v>
      </c>
      <c r="P9" s="14">
        <v>3</v>
      </c>
      <c r="Q9" s="14">
        <v>15500</v>
      </c>
      <c r="R9" s="14">
        <f>=Q9*P9</f>
      </c>
      <c r="S9" s="16">
        <v>-51.98</v>
      </c>
      <c r="T9" s="17">
        <f>=U9/P9</f>
      </c>
      <c r="U9" s="16">
        <f>=R9+(R9*S9/100)</f>
      </c>
      <c r="V9" s="11" t="s">
        <v>60</v>
      </c>
      <c r="W9" s="11" t="s">
        <v>61</v>
      </c>
      <c r="X9" s="11" t="s">
        <v>61</v>
      </c>
      <c r="Y9" s="11" t="s">
        <v>80</v>
      </c>
      <c r="Z9" s="18">
        <v>7.66</v>
      </c>
      <c r="AA9" s="18">
        <v>7.65</v>
      </c>
      <c r="AB9" s="18">
        <v>5.81</v>
      </c>
      <c r="AC9" s="18">
        <v>75.9</v>
      </c>
      <c r="AD9" s="18">
        <v>68</v>
      </c>
      <c r="AE9" s="11" t="s">
        <v>81</v>
      </c>
      <c r="AF9" s="11" t="s">
        <v>64</v>
      </c>
      <c r="AG9" s="11" t="s">
        <v>74</v>
      </c>
      <c r="AH9" s="11" t="s">
        <v>66</v>
      </c>
      <c r="AI9" s="11" t="s">
        <v>74</v>
      </c>
      <c r="AJ9" s="11" t="s">
        <v>65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1" t="s">
        <v>67</v>
      </c>
      <c r="AQ9" s="11" t="s">
        <v>68</v>
      </c>
      <c r="AR9" s="11" t="s">
        <v>57</v>
      </c>
      <c r="AS9" s="11" t="s">
        <v>82</v>
      </c>
    </row>
    <row r="10">
      <c r="A10" s="11">
        <v>4</v>
      </c>
      <c r="B10" s="11" t="s">
        <v>83</v>
      </c>
      <c r="C10" s="11" t="s">
        <v>51</v>
      </c>
      <c r="D10" s="11" t="s">
        <v>52</v>
      </c>
      <c r="E10" s="12">
        <f>=HYPERLINK("https://diamview.com/DNA/Index?sRefNo=CZF-488459"," DNA ")</f>
      </c>
      <c r="F10" s="12">
        <f>=HYPERLINK("https://diamview.com/DNA/Image?sRefNo=CZF-488459"," Image ")</f>
      </c>
      <c r="G10" s="12">
        <f>=HYPERLINK("https://diamview.com/DNA/Vision360?d=CZF-488459&amp;sv=0,1,2,3,4&amp;z=1&amp;i=HDInfo?SeqNo=CZF-488459"," Video ")</f>
      </c>
      <c r="H10" s="11" t="s">
        <v>53</v>
      </c>
      <c r="I10" s="15" t="s">
        <v>54</v>
      </c>
      <c r="J10" s="12">
        <f>=HYPERLINK("https://diamview.com/DNA/certi?SeqNo=1455884063","GIA ")</f>
      </c>
      <c r="K10" s="11" t="s">
        <v>84</v>
      </c>
      <c r="L10" s="11" t="s">
        <v>56</v>
      </c>
      <c r="M10" s="11" t="s">
        <v>57</v>
      </c>
      <c r="N10" s="11" t="s">
        <v>79</v>
      </c>
      <c r="O10" s="11" t="s">
        <v>72</v>
      </c>
      <c r="P10" s="14">
        <v>3.01</v>
      </c>
      <c r="Q10" s="14">
        <v>15500</v>
      </c>
      <c r="R10" s="14">
        <f>=Q10*P10</f>
      </c>
      <c r="S10" s="16">
        <v>-51</v>
      </c>
      <c r="T10" s="17">
        <f>=U10/P10</f>
      </c>
      <c r="U10" s="16">
        <f>=R10+(R10*S10/100)</f>
      </c>
      <c r="V10" s="11" t="s">
        <v>60</v>
      </c>
      <c r="W10" s="11" t="s">
        <v>61</v>
      </c>
      <c r="X10" s="11" t="s">
        <v>85</v>
      </c>
      <c r="Y10" s="11" t="s">
        <v>86</v>
      </c>
      <c r="Z10" s="18">
        <v>8.27</v>
      </c>
      <c r="AA10" s="18">
        <v>7.87</v>
      </c>
      <c r="AB10" s="18">
        <v>5.66</v>
      </c>
      <c r="AC10" s="18">
        <v>71.9</v>
      </c>
      <c r="AD10" s="18">
        <v>75</v>
      </c>
      <c r="AE10" s="11" t="s">
        <v>87</v>
      </c>
      <c r="AF10" s="11" t="s">
        <v>64</v>
      </c>
      <c r="AG10" s="11" t="s">
        <v>74</v>
      </c>
      <c r="AH10" s="11" t="s">
        <v>66</v>
      </c>
      <c r="AI10" s="11" t="s">
        <v>74</v>
      </c>
      <c r="AJ10" s="11" t="s">
        <v>66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1" t="s">
        <v>62</v>
      </c>
      <c r="AQ10" s="11" t="s">
        <v>68</v>
      </c>
      <c r="AR10" s="11" t="s">
        <v>57</v>
      </c>
      <c r="AS10" s="11" t="s">
        <v>88</v>
      </c>
    </row>
    <row r="11">
      <c r="A11" s="11">
        <v>5</v>
      </c>
      <c r="B11" s="11" t="s">
        <v>89</v>
      </c>
      <c r="C11" s="11" t="s">
        <v>51</v>
      </c>
      <c r="D11" s="11" t="s">
        <v>52</v>
      </c>
      <c r="E11" s="12">
        <f>=HYPERLINK("https://diamview.com/DNA/Index?sRefNo=CXX-483995"," DNA ")</f>
      </c>
      <c r="F11" s="12">
        <f>=HYPERLINK("https://diamview.com/DNA/Image?sRefNo=CXX-483995"," Image ")</f>
      </c>
      <c r="G11" s="12">
        <f>=HYPERLINK("https://diamview.com/DNA/Vision360?d=CXX-483995&amp;sv=0,1,2,3,4&amp;z=1&amp;i=HDInfo?SeqNo=CXX-483995"," Video ")</f>
      </c>
      <c r="H11" s="11" t="s">
        <v>53</v>
      </c>
      <c r="I11" s="15" t="s">
        <v>54</v>
      </c>
      <c r="J11" s="12">
        <f>=HYPERLINK("https://diamview.com/DNA/certi?SeqNo=1459483001","GIA ")</f>
      </c>
      <c r="K11" s="11" t="s">
        <v>90</v>
      </c>
      <c r="L11" s="11" t="s">
        <v>56</v>
      </c>
      <c r="M11" s="11" t="s">
        <v>57</v>
      </c>
      <c r="N11" s="11" t="s">
        <v>79</v>
      </c>
      <c r="O11" s="11" t="s">
        <v>59</v>
      </c>
      <c r="P11" s="14">
        <v>3</v>
      </c>
      <c r="Q11" s="14">
        <v>12000</v>
      </c>
      <c r="R11" s="14">
        <f>=Q11*P11</f>
      </c>
      <c r="S11" s="16">
        <v>-45.61</v>
      </c>
      <c r="T11" s="17">
        <f>=U11/P11</f>
      </c>
      <c r="U11" s="16">
        <f>=R11+(R11*S11/100)</f>
      </c>
      <c r="V11" s="11" t="s">
        <v>60</v>
      </c>
      <c r="W11" s="11" t="s">
        <v>61</v>
      </c>
      <c r="X11" s="11" t="s">
        <v>85</v>
      </c>
      <c r="Y11" s="11" t="s">
        <v>86</v>
      </c>
      <c r="Z11" s="18">
        <v>7.85</v>
      </c>
      <c r="AA11" s="18">
        <v>7.62</v>
      </c>
      <c r="AB11" s="18">
        <v>5.78</v>
      </c>
      <c r="AC11" s="18">
        <v>75.9</v>
      </c>
      <c r="AD11" s="18">
        <v>72</v>
      </c>
      <c r="AE11" s="11" t="s">
        <v>91</v>
      </c>
      <c r="AF11" s="11" t="s">
        <v>64</v>
      </c>
      <c r="AG11" s="11" t="s">
        <v>74</v>
      </c>
      <c r="AH11" s="11" t="s">
        <v>66</v>
      </c>
      <c r="AI11" s="11" t="s">
        <v>65</v>
      </c>
      <c r="AJ11" s="11" t="s">
        <v>65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1" t="s">
        <v>67</v>
      </c>
      <c r="AQ11" s="11" t="s">
        <v>68</v>
      </c>
      <c r="AR11" s="11" t="s">
        <v>57</v>
      </c>
      <c r="AS11" s="11" t="s">
        <v>76</v>
      </c>
    </row>
    <row r="12">
      <c r="A12" s="11">
        <v>6</v>
      </c>
      <c r="B12" s="11" t="s">
        <v>92</v>
      </c>
      <c r="C12" s="11" t="s">
        <v>51</v>
      </c>
      <c r="D12" s="11" t="s">
        <v>52</v>
      </c>
      <c r="E12" s="12">
        <f>=HYPERLINK("https://diamview.com/DNA/Index?sRefNo=CZB-487909"," DNA ")</f>
      </c>
      <c r="F12" s="12">
        <f>=HYPERLINK("https://diamview.com/DNA/Image?sRefNo=CZB-487909"," Image ")</f>
      </c>
      <c r="G12" s="12">
        <f>=HYPERLINK("https://diamview.com/DNA/Vision360?d=CZB-487909&amp;sv=0,1,2,3,4&amp;z=1&amp;i=HDInfo?SeqNo=CZB-487909"," Video ")</f>
      </c>
      <c r="H12" s="11" t="s">
        <v>53</v>
      </c>
      <c r="I12" s="15" t="s">
        <v>54</v>
      </c>
      <c r="J12" s="12">
        <f>=HYPERLINK("https://diamview.com/DNA/certi?SeqNo=2457839611","GIA ")</f>
      </c>
      <c r="K12" s="11" t="s">
        <v>93</v>
      </c>
      <c r="L12" s="11" t="s">
        <v>56</v>
      </c>
      <c r="M12" s="11" t="s">
        <v>57</v>
      </c>
      <c r="N12" s="11" t="s">
        <v>79</v>
      </c>
      <c r="O12" s="11" t="s">
        <v>59</v>
      </c>
      <c r="P12" s="14">
        <v>3.03</v>
      </c>
      <c r="Q12" s="14">
        <v>12000</v>
      </c>
      <c r="R12" s="14">
        <f>=Q12*P12</f>
      </c>
      <c r="S12" s="16">
        <v>-44.63</v>
      </c>
      <c r="T12" s="17">
        <f>=U12/P12</f>
      </c>
      <c r="U12" s="16">
        <f>=R12+(R12*S12/100)</f>
      </c>
      <c r="V12" s="11" t="s">
        <v>60</v>
      </c>
      <c r="W12" s="11" t="s">
        <v>61</v>
      </c>
      <c r="X12" s="11" t="s">
        <v>61</v>
      </c>
      <c r="Y12" s="11" t="s">
        <v>86</v>
      </c>
      <c r="Z12" s="18">
        <v>8.15</v>
      </c>
      <c r="AA12" s="18">
        <v>7.84</v>
      </c>
      <c r="AB12" s="18">
        <v>5.89</v>
      </c>
      <c r="AC12" s="18">
        <v>75.1</v>
      </c>
      <c r="AD12" s="18">
        <v>73</v>
      </c>
      <c r="AE12" s="11" t="s">
        <v>94</v>
      </c>
      <c r="AF12" s="11" t="s">
        <v>64</v>
      </c>
      <c r="AG12" s="11" t="s">
        <v>66</v>
      </c>
      <c r="AH12" s="11" t="s">
        <v>66</v>
      </c>
      <c r="AI12" s="11" t="s">
        <v>65</v>
      </c>
      <c r="AJ12" s="11" t="s">
        <v>66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1" t="s">
        <v>95</v>
      </c>
      <c r="AQ12" s="11" t="s">
        <v>68</v>
      </c>
      <c r="AR12" s="11" t="s">
        <v>57</v>
      </c>
      <c r="AS12" s="11" t="s">
        <v>82</v>
      </c>
    </row>
    <row r="13">
      <c r="A13" s="11">
        <v>7</v>
      </c>
      <c r="B13" s="11" t="s">
        <v>96</v>
      </c>
      <c r="C13" s="11" t="s">
        <v>51</v>
      </c>
      <c r="D13" s="11" t="s">
        <v>52</v>
      </c>
      <c r="E13" s="12">
        <f>=HYPERLINK("https://diamview.com/DNA/Index?sRefNo=CWU-480201"," DNA ")</f>
      </c>
      <c r="F13" s="12">
        <f>=HYPERLINK("https://diamview.com/DNA/Image?sRefNo=CWU-480201"," Image ")</f>
      </c>
      <c r="G13" s="12">
        <f>=HYPERLINK("https://diamview.com/DNA/Vision360?d=CWU-480201&amp;sv=0,1,2,3,4&amp;z=1&amp;i=HDInfo?SeqNo=CWU-480201"," Video ")</f>
      </c>
      <c r="H13" s="11" t="s">
        <v>53</v>
      </c>
      <c r="I13" s="15" t="s">
        <v>97</v>
      </c>
      <c r="J13" s="12">
        <f>=HYPERLINK("https://diamview.com/DNA/certi?SeqNo=7452160165","GIA ")</f>
      </c>
      <c r="K13" s="11" t="s">
        <v>98</v>
      </c>
      <c r="L13" s="11" t="s">
        <v>56</v>
      </c>
      <c r="M13" s="11" t="s">
        <v>57</v>
      </c>
      <c r="N13" s="11" t="s">
        <v>99</v>
      </c>
      <c r="O13" s="11" t="s">
        <v>72</v>
      </c>
      <c r="P13" s="14">
        <v>2</v>
      </c>
      <c r="Q13" s="14">
        <v>16500</v>
      </c>
      <c r="R13" s="14">
        <f>=Q13*P13</f>
      </c>
      <c r="S13" s="16">
        <v>-60.02</v>
      </c>
      <c r="T13" s="17">
        <f>=U13/P13</f>
      </c>
      <c r="U13" s="16">
        <f>=R13+(R13*S13/100)</f>
      </c>
      <c r="V13" s="11" t="s">
        <v>60</v>
      </c>
      <c r="W13" s="11" t="s">
        <v>61</v>
      </c>
      <c r="X13" s="11" t="s">
        <v>85</v>
      </c>
      <c r="Y13" s="11" t="s">
        <v>86</v>
      </c>
      <c r="Z13" s="18">
        <v>7.09</v>
      </c>
      <c r="AA13" s="18">
        <v>6.89</v>
      </c>
      <c r="AB13" s="18">
        <v>4.95</v>
      </c>
      <c r="AC13" s="18">
        <v>71.9</v>
      </c>
      <c r="AD13" s="18">
        <v>72</v>
      </c>
      <c r="AE13" s="11" t="s">
        <v>100</v>
      </c>
      <c r="AF13" s="11" t="s">
        <v>64</v>
      </c>
      <c r="AG13" s="11" t="s">
        <v>74</v>
      </c>
      <c r="AH13" s="11" t="s">
        <v>66</v>
      </c>
      <c r="AI13" s="11" t="s">
        <v>74</v>
      </c>
      <c r="AJ13" s="11" t="s">
        <v>66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1" t="s">
        <v>95</v>
      </c>
      <c r="AQ13" s="11" t="s">
        <v>68</v>
      </c>
      <c r="AR13" s="11" t="s">
        <v>57</v>
      </c>
      <c r="AS13" s="11" t="s">
        <v>101</v>
      </c>
    </row>
    <row r="14">
      <c r="A14" s="11">
        <v>8</v>
      </c>
      <c r="B14" s="11" t="s">
        <v>102</v>
      </c>
      <c r="C14" s="11" t="s">
        <v>51</v>
      </c>
      <c r="D14" s="11" t="s">
        <v>52</v>
      </c>
      <c r="E14" s="12">
        <f>=HYPERLINK("https://diamview.com/DNA/Index?sRefNo=CXY-484121"," DNA ")</f>
      </c>
      <c r="F14" s="12">
        <f>=HYPERLINK("https://diamview.com/DNA/Image?sRefNo=CXY-484121"," Image ")</f>
      </c>
      <c r="G14" s="12">
        <f>=HYPERLINK("https://diamview.com/DNA/Vision360?d=CXY-484121&amp;sv=0,1,2,3,4&amp;z=1&amp;i=HDInfo?SeqNo=CXY-484121"," Video ")</f>
      </c>
      <c r="H14" s="11" t="s">
        <v>53</v>
      </c>
      <c r="I14" s="15" t="s">
        <v>97</v>
      </c>
      <c r="J14" s="12">
        <f>=HYPERLINK("https://diamview.com/DNA/certi?SeqNo=6452502182","GIA ")</f>
      </c>
      <c r="K14" s="11" t="s">
        <v>103</v>
      </c>
      <c r="L14" s="11" t="s">
        <v>56</v>
      </c>
      <c r="M14" s="11" t="s">
        <v>57</v>
      </c>
      <c r="N14" s="11" t="s">
        <v>58</v>
      </c>
      <c r="O14" s="11" t="s">
        <v>104</v>
      </c>
      <c r="P14" s="14">
        <v>2.03</v>
      </c>
      <c r="Q14" s="14">
        <v>17000</v>
      </c>
      <c r="R14" s="14">
        <f>=Q14*P14</f>
      </c>
      <c r="S14" s="16">
        <v>-56.88</v>
      </c>
      <c r="T14" s="17">
        <f>=U14/P14</f>
      </c>
      <c r="U14" s="16">
        <f>=R14+(R14*S14/100)</f>
      </c>
      <c r="V14" s="11" t="s">
        <v>60</v>
      </c>
      <c r="W14" s="11" t="s">
        <v>61</v>
      </c>
      <c r="X14" s="11" t="s">
        <v>85</v>
      </c>
      <c r="Y14" s="11" t="s">
        <v>86</v>
      </c>
      <c r="Z14" s="18">
        <v>6.97</v>
      </c>
      <c r="AA14" s="18">
        <v>6.96</v>
      </c>
      <c r="AB14" s="18">
        <v>5.06</v>
      </c>
      <c r="AC14" s="18">
        <v>72.8</v>
      </c>
      <c r="AD14" s="18">
        <v>73</v>
      </c>
      <c r="AE14" s="11" t="s">
        <v>105</v>
      </c>
      <c r="AF14" s="11" t="s">
        <v>64</v>
      </c>
      <c r="AG14" s="11" t="s">
        <v>74</v>
      </c>
      <c r="AH14" s="11" t="s">
        <v>74</v>
      </c>
      <c r="AI14" s="11" t="s">
        <v>74</v>
      </c>
      <c r="AJ14" s="11" t="s">
        <v>66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1" t="s">
        <v>106</v>
      </c>
      <c r="AQ14" s="11" t="s">
        <v>68</v>
      </c>
      <c r="AR14" s="11" t="s">
        <v>57</v>
      </c>
      <c r="AS14" s="11" t="s">
        <v>101</v>
      </c>
    </row>
    <row r="15">
      <c r="A15" s="11">
        <v>9</v>
      </c>
      <c r="B15" s="11" t="s">
        <v>107</v>
      </c>
      <c r="C15" s="11" t="s">
        <v>51</v>
      </c>
      <c r="D15" s="11" t="s">
        <v>52</v>
      </c>
      <c r="E15" s="12">
        <f>=HYPERLINK("https://diamview.com/DNA/Index?sRefNo=DAW-496935"," DNA ")</f>
      </c>
      <c r="F15" s="12">
        <f>=HYPERLINK("https://diamview.com/DNA/Image?sRefNo=DAW-496935"," Image ")</f>
      </c>
      <c r="G15" s="12">
        <f>=HYPERLINK("https://diamview.com/DNA/Vision360?d=DAW-496935&amp;sv=0,1,2,3,4&amp;z=1&amp;i=HDInfo?SeqNo=DAW-496935"," Video ")</f>
      </c>
      <c r="H15" s="11" t="s">
        <v>53</v>
      </c>
      <c r="I15" s="15" t="s">
        <v>97</v>
      </c>
      <c r="J15" s="12">
        <f>=HYPERLINK("https://diamview.com/DNA/certi?SeqNo=2466464544","GIA ")</f>
      </c>
      <c r="K15" s="11" t="s">
        <v>108</v>
      </c>
      <c r="L15" s="11" t="s">
        <v>56</v>
      </c>
      <c r="M15" s="11" t="s">
        <v>57</v>
      </c>
      <c r="N15" s="11" t="s">
        <v>71</v>
      </c>
      <c r="O15" s="11" t="s">
        <v>72</v>
      </c>
      <c r="P15" s="14">
        <v>2.51</v>
      </c>
      <c r="Q15" s="14">
        <v>12000</v>
      </c>
      <c r="R15" s="14">
        <f>=Q15*P15</f>
      </c>
      <c r="S15" s="16">
        <v>-26.5</v>
      </c>
      <c r="T15" s="17">
        <f>=U15/P15</f>
      </c>
      <c r="U15" s="16">
        <f>=R15+(R15*S15/100)</f>
      </c>
      <c r="V15" s="11" t="s">
        <v>60</v>
      </c>
      <c r="W15" s="11" t="s">
        <v>61</v>
      </c>
      <c r="X15" s="11" t="s">
        <v>61</v>
      </c>
      <c r="Y15" s="11" t="s">
        <v>86</v>
      </c>
      <c r="Z15" s="18">
        <v>7.48</v>
      </c>
      <c r="AA15" s="18">
        <v>7.45</v>
      </c>
      <c r="AB15" s="18">
        <v>5.4</v>
      </c>
      <c r="AC15" s="18">
        <v>72.4</v>
      </c>
      <c r="AD15" s="18">
        <v>71</v>
      </c>
      <c r="AE15" s="11" t="s">
        <v>109</v>
      </c>
      <c r="AF15" s="11" t="s">
        <v>64</v>
      </c>
      <c r="AG15" s="11" t="s">
        <v>66</v>
      </c>
      <c r="AH15" s="11" t="s">
        <v>66</v>
      </c>
      <c r="AI15" s="11" t="s">
        <v>74</v>
      </c>
      <c r="AJ15" s="11" t="s">
        <v>66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1" t="s">
        <v>95</v>
      </c>
      <c r="AQ15" s="11" t="s">
        <v>68</v>
      </c>
      <c r="AR15" s="11" t="s">
        <v>57</v>
      </c>
      <c r="AS15" s="11" t="s">
        <v>82</v>
      </c>
    </row>
    <row r="16">
      <c r="A16" s="11">
        <v>10</v>
      </c>
      <c r="B16" s="11" t="s">
        <v>110</v>
      </c>
      <c r="C16" s="11" t="s">
        <v>111</v>
      </c>
      <c r="D16" s="11" t="s">
        <v>52</v>
      </c>
      <c r="E16" s="12">
        <f>=HYPERLINK("https://diamview.com/DNA/Index?sRefNo=BW-02-23-408"," DNA ")</f>
      </c>
      <c r="F16" s="12">
        <f>=HYPERLINK("https://diamview.com/DNA/Image?sRefNo=BW-02-23-408"," Image ")</f>
      </c>
      <c r="G16" s="12">
        <f>=HYPERLINK("https://diamview.com/DNA/Vision360?d=BW-02-23-408&amp;sv=0,1,2,3,4&amp;z=1&amp;i=HDInfo?SeqNo=BW-02-23-408"," Video ")</f>
      </c>
      <c r="H16" s="11" t="s">
        <v>53</v>
      </c>
      <c r="I16" s="15" t="s">
        <v>97</v>
      </c>
      <c r="J16" s="12">
        <f>=HYPERLINK("https://diamview.com/DNA/certi?SeqNo=1455566982","GIA ")</f>
      </c>
      <c r="K16" s="11" t="s">
        <v>112</v>
      </c>
      <c r="L16" s="11" t="s">
        <v>56</v>
      </c>
      <c r="M16" s="11" t="s">
        <v>57</v>
      </c>
      <c r="N16" s="11" t="s">
        <v>71</v>
      </c>
      <c r="O16" s="11" t="s">
        <v>59</v>
      </c>
      <c r="P16" s="14">
        <v>2.02</v>
      </c>
      <c r="Q16" s="14">
        <v>9200</v>
      </c>
      <c r="R16" s="14">
        <f>=Q16*P16</f>
      </c>
      <c r="S16" s="16">
        <v>-52.96</v>
      </c>
      <c r="T16" s="17">
        <f>=U16/P16</f>
      </c>
      <c r="U16" s="16">
        <f>=R16+(R16*S16/100)</f>
      </c>
      <c r="V16" s="13" t="s">
        <v>113</v>
      </c>
      <c r="W16" s="13" t="s">
        <v>61</v>
      </c>
      <c r="X16" s="13" t="s">
        <v>61</v>
      </c>
      <c r="Y16" s="11" t="s">
        <v>86</v>
      </c>
      <c r="Z16" s="18">
        <v>6.76</v>
      </c>
      <c r="AA16" s="18">
        <v>6.76</v>
      </c>
      <c r="AB16" s="18">
        <v>5.11</v>
      </c>
      <c r="AC16" s="18">
        <v>75.7</v>
      </c>
      <c r="AD16" s="18">
        <v>72</v>
      </c>
      <c r="AE16" s="11" t="s">
        <v>114</v>
      </c>
      <c r="AF16" s="11" t="s">
        <v>64</v>
      </c>
      <c r="AG16" s="11" t="s">
        <v>65</v>
      </c>
      <c r="AH16" s="11" t="s">
        <v>66</v>
      </c>
      <c r="AI16" s="11" t="s">
        <v>115</v>
      </c>
      <c r="AJ16" s="11" t="s">
        <v>66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1" t="s">
        <v>75</v>
      </c>
      <c r="AQ16" s="11" t="s">
        <v>68</v>
      </c>
      <c r="AR16" s="11" t="s">
        <v>57</v>
      </c>
      <c r="AS16" s="11" t="s">
        <v>116</v>
      </c>
    </row>
    <row r="17">
      <c r="A17" s="11">
        <v>11</v>
      </c>
      <c r="B17" s="11" t="s">
        <v>117</v>
      </c>
      <c r="C17" s="11" t="s">
        <v>51</v>
      </c>
      <c r="D17" s="11" t="s">
        <v>52</v>
      </c>
      <c r="E17" s="12">
        <f>=HYPERLINK("https://diamview.com/DNA/Index?sRefNo=CYA-484284"," DNA ")</f>
      </c>
      <c r="F17" s="12">
        <f>=HYPERLINK("https://diamview.com/DNA/Image?sRefNo=CYA-484284"," Image ")</f>
      </c>
      <c r="G17" s="12">
        <f>=HYPERLINK("https://diamview.com/DNA/Vision360?d=CYA-484284&amp;sv=0,1,2,3,4&amp;z=1&amp;i=HDInfo?SeqNo=CYA-484284"," Video ")</f>
      </c>
      <c r="H17" s="11" t="s">
        <v>53</v>
      </c>
      <c r="I17" s="15" t="s">
        <v>97</v>
      </c>
      <c r="J17" s="12">
        <f>=HYPERLINK("https://diamview.com/DNA/certi?SeqNo=6452516742","GIA ")</f>
      </c>
      <c r="K17" s="11" t="s">
        <v>118</v>
      </c>
      <c r="L17" s="11" t="s">
        <v>56</v>
      </c>
      <c r="M17" s="11" t="s">
        <v>57</v>
      </c>
      <c r="N17" s="11" t="s">
        <v>71</v>
      </c>
      <c r="O17" s="11" t="s">
        <v>59</v>
      </c>
      <c r="P17" s="14">
        <v>2.5</v>
      </c>
      <c r="Q17" s="14">
        <v>9200</v>
      </c>
      <c r="R17" s="14">
        <f>=Q17*P17</f>
      </c>
      <c r="S17" s="16">
        <v>-38.75</v>
      </c>
      <c r="T17" s="17">
        <f>=U17/P17</f>
      </c>
      <c r="U17" s="16">
        <f>=R17+(R17*S17/100)</f>
      </c>
      <c r="V17" s="11" t="s">
        <v>60</v>
      </c>
      <c r="W17" s="11" t="s">
        <v>61</v>
      </c>
      <c r="X17" s="11" t="s">
        <v>85</v>
      </c>
      <c r="Y17" s="11" t="s">
        <v>86</v>
      </c>
      <c r="Z17" s="18">
        <v>7.38</v>
      </c>
      <c r="AA17" s="18">
        <v>7.3</v>
      </c>
      <c r="AB17" s="18">
        <v>5.31</v>
      </c>
      <c r="AC17" s="18">
        <v>72.8</v>
      </c>
      <c r="AD17" s="18">
        <v>71</v>
      </c>
      <c r="AE17" s="11" t="s">
        <v>119</v>
      </c>
      <c r="AF17" s="11" t="s">
        <v>64</v>
      </c>
      <c r="AG17" s="11" t="s">
        <v>66</v>
      </c>
      <c r="AH17" s="11" t="s">
        <v>66</v>
      </c>
      <c r="AI17" s="11" t="s">
        <v>65</v>
      </c>
      <c r="AJ17" s="11" t="s">
        <v>115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1" t="s">
        <v>120</v>
      </c>
      <c r="AQ17" s="11" t="s">
        <v>68</v>
      </c>
      <c r="AR17" s="11" t="s">
        <v>57</v>
      </c>
      <c r="AS17" s="11" t="s">
        <v>121</v>
      </c>
    </row>
    <row r="18">
      <c r="A18" s="11">
        <v>12</v>
      </c>
      <c r="B18" s="11" t="s">
        <v>122</v>
      </c>
      <c r="C18" s="11" t="s">
        <v>51</v>
      </c>
      <c r="D18" s="11" t="s">
        <v>52</v>
      </c>
      <c r="E18" s="12">
        <f>=HYPERLINK("https://diamview.com/DNA/Index?sRefNo=CZB-487917"," DNA ")</f>
      </c>
      <c r="F18" s="12">
        <f>=HYPERLINK("https://diamview.com/DNA/Image?sRefNo=CZB-487917"," Image ")</f>
      </c>
      <c r="G18" s="12">
        <f>=HYPERLINK("https://diamview.com/DNA/Vision360?d=CZB-487917&amp;sv=0,1,2,3,4&amp;z=1&amp;i=HDInfo?SeqNo=CZB-487917"," Video ")</f>
      </c>
      <c r="H18" s="11" t="s">
        <v>53</v>
      </c>
      <c r="I18" s="15" t="s">
        <v>97</v>
      </c>
      <c r="J18" s="12">
        <f>=HYPERLINK("https://diamview.com/DNA/certi?SeqNo=2457839643","GIA ")</f>
      </c>
      <c r="K18" s="11" t="s">
        <v>123</v>
      </c>
      <c r="L18" s="11" t="s">
        <v>56</v>
      </c>
      <c r="M18" s="11" t="s">
        <v>57</v>
      </c>
      <c r="N18" s="11" t="s">
        <v>79</v>
      </c>
      <c r="O18" s="11" t="s">
        <v>59</v>
      </c>
      <c r="P18" s="14">
        <v>2.01</v>
      </c>
      <c r="Q18" s="14">
        <v>8500</v>
      </c>
      <c r="R18" s="14">
        <f>=Q18*P18</f>
      </c>
      <c r="S18" s="16">
        <v>-54.92</v>
      </c>
      <c r="T18" s="17">
        <f>=U18/P18</f>
      </c>
      <c r="U18" s="16">
        <f>=R18+(R18*S18/100)</f>
      </c>
      <c r="V18" s="11" t="s">
        <v>60</v>
      </c>
      <c r="W18" s="11" t="s">
        <v>61</v>
      </c>
      <c r="X18" s="11" t="s">
        <v>61</v>
      </c>
      <c r="Y18" s="11" t="s">
        <v>86</v>
      </c>
      <c r="Z18" s="18">
        <v>7.07</v>
      </c>
      <c r="AA18" s="18">
        <v>7</v>
      </c>
      <c r="AB18" s="18">
        <v>5.07</v>
      </c>
      <c r="AC18" s="18">
        <v>72.5</v>
      </c>
      <c r="AD18" s="18">
        <v>75</v>
      </c>
      <c r="AE18" s="11" t="s">
        <v>124</v>
      </c>
      <c r="AF18" s="11" t="s">
        <v>64</v>
      </c>
      <c r="AG18" s="11" t="s">
        <v>65</v>
      </c>
      <c r="AH18" s="11" t="s">
        <v>66</v>
      </c>
      <c r="AI18" s="11" t="s">
        <v>65</v>
      </c>
      <c r="AJ18" s="11" t="s">
        <v>65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1" t="s">
        <v>106</v>
      </c>
      <c r="AQ18" s="11" t="s">
        <v>68</v>
      </c>
      <c r="AR18" s="11" t="s">
        <v>57</v>
      </c>
      <c r="AS18" s="11" t="s">
        <v>76</v>
      </c>
    </row>
    <row r="19">
      <c r="A19" s="11">
        <v>13</v>
      </c>
      <c r="B19" s="11" t="s">
        <v>125</v>
      </c>
      <c r="C19" s="11" t="s">
        <v>51</v>
      </c>
      <c r="D19" s="11" t="s">
        <v>52</v>
      </c>
      <c r="E19" s="12">
        <f>=HYPERLINK("https://diamview.com/DNA/Index?sRefNo=CWY-480789"," DNA ")</f>
      </c>
      <c r="F19" s="12">
        <f>=HYPERLINK("https://diamview.com/DNA/Image?sRefNo=CWY-480789"," Image ")</f>
      </c>
      <c r="G19" s="12">
        <f>=HYPERLINK("https://diamview.com/DNA/Vision360?d=CWY-480789&amp;sv=0,1,2,3,4&amp;z=1&amp;i=HDInfo?SeqNo=CWY-480789"," Video ")</f>
      </c>
      <c r="H19" s="11" t="s">
        <v>53</v>
      </c>
      <c r="I19" s="15" t="s">
        <v>126</v>
      </c>
      <c r="J19" s="12">
        <f>=HYPERLINK("https://diamview.com/DNA/certi?SeqNo=6455219568","GIA ")</f>
      </c>
      <c r="K19" s="11" t="s">
        <v>127</v>
      </c>
      <c r="L19" s="11" t="s">
        <v>56</v>
      </c>
      <c r="M19" s="11" t="s">
        <v>57</v>
      </c>
      <c r="N19" s="11" t="s">
        <v>58</v>
      </c>
      <c r="O19" s="11" t="s">
        <v>128</v>
      </c>
      <c r="P19" s="14">
        <v>1.73</v>
      </c>
      <c r="Q19" s="14">
        <v>9600</v>
      </c>
      <c r="R19" s="14">
        <f>=Q19*P19</f>
      </c>
      <c r="S19" s="16">
        <v>-61</v>
      </c>
      <c r="T19" s="17">
        <f>=U19/P19</f>
      </c>
      <c r="U19" s="16">
        <f>=R19+(R19*S19/100)</f>
      </c>
      <c r="V19" s="11" t="s">
        <v>60</v>
      </c>
      <c r="W19" s="11" t="s">
        <v>61</v>
      </c>
      <c r="X19" s="11" t="s">
        <v>85</v>
      </c>
      <c r="Y19" s="11" t="s">
        <v>86</v>
      </c>
      <c r="Z19" s="18">
        <v>6.65</v>
      </c>
      <c r="AA19" s="18">
        <v>6.32</v>
      </c>
      <c r="AB19" s="18">
        <v>4.74</v>
      </c>
      <c r="AC19" s="18">
        <v>75</v>
      </c>
      <c r="AD19" s="18">
        <v>75</v>
      </c>
      <c r="AE19" s="11" t="s">
        <v>129</v>
      </c>
      <c r="AF19" s="11" t="s">
        <v>64</v>
      </c>
      <c r="AG19" s="11" t="s">
        <v>65</v>
      </c>
      <c r="AH19" s="11" t="s">
        <v>74</v>
      </c>
      <c r="AI19" s="11" t="s">
        <v>74</v>
      </c>
      <c r="AJ19" s="11" t="s">
        <v>74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1" t="s">
        <v>67</v>
      </c>
      <c r="AQ19" s="11" t="s">
        <v>68</v>
      </c>
      <c r="AR19" s="11" t="s">
        <v>57</v>
      </c>
      <c r="AS19" s="11" t="s">
        <v>76</v>
      </c>
    </row>
    <row r="20">
      <c r="A20" s="11">
        <v>14</v>
      </c>
      <c r="B20" s="11" t="s">
        <v>130</v>
      </c>
      <c r="C20" s="11" t="s">
        <v>51</v>
      </c>
      <c r="D20" s="11" t="s">
        <v>52</v>
      </c>
      <c r="E20" s="12">
        <f>=HYPERLINK("https://diamview.com/DNA/Index?sRefNo=DAQ-495615"," DNA ")</f>
      </c>
      <c r="F20" s="12">
        <f>=HYPERLINK("https://diamview.com/DNA/Image?sRefNo=DAQ-495615"," Image ")</f>
      </c>
      <c r="G20" s="12">
        <f>=HYPERLINK("https://diamview.com/DNA/Vision360?d=DAQ-495615&amp;sv=0,1,2,3,4&amp;z=1&amp;i=HDInfo?SeqNo=DAQ-495615"," Video ")</f>
      </c>
      <c r="H20" s="11" t="s">
        <v>53</v>
      </c>
      <c r="I20" s="15" t="s">
        <v>126</v>
      </c>
      <c r="J20" s="12">
        <f>=HYPERLINK("https://diamview.com/DNA/certi?SeqNo=2468388400","GIA ")</f>
      </c>
      <c r="K20" s="11" t="s">
        <v>131</v>
      </c>
      <c r="L20" s="11" t="s">
        <v>56</v>
      </c>
      <c r="M20" s="11" t="s">
        <v>57</v>
      </c>
      <c r="N20" s="11" t="s">
        <v>132</v>
      </c>
      <c r="O20" s="11" t="s">
        <v>133</v>
      </c>
      <c r="P20" s="14">
        <v>1.5</v>
      </c>
      <c r="Q20" s="14">
        <v>11700</v>
      </c>
      <c r="R20" s="14">
        <f>=Q20*P20</f>
      </c>
      <c r="S20" s="16">
        <v>-52.96</v>
      </c>
      <c r="T20" s="17">
        <f>=U20/P20</f>
      </c>
      <c r="U20" s="16">
        <f>=R20+(R20*S20/100)</f>
      </c>
      <c r="V20" s="11" t="s">
        <v>60</v>
      </c>
      <c r="W20" s="11" t="s">
        <v>61</v>
      </c>
      <c r="X20" s="11" t="s">
        <v>85</v>
      </c>
      <c r="Y20" s="11" t="s">
        <v>62</v>
      </c>
      <c r="Z20" s="18">
        <v>6.15</v>
      </c>
      <c r="AA20" s="18">
        <v>5.97</v>
      </c>
      <c r="AB20" s="18">
        <v>4.5</v>
      </c>
      <c r="AC20" s="18">
        <v>75.4</v>
      </c>
      <c r="AD20" s="18">
        <v>71</v>
      </c>
      <c r="AE20" s="11" t="s">
        <v>134</v>
      </c>
      <c r="AF20" s="11" t="s">
        <v>64</v>
      </c>
      <c r="AG20" s="11" t="s">
        <v>66</v>
      </c>
      <c r="AH20" s="11" t="s">
        <v>66</v>
      </c>
      <c r="AI20" s="11" t="s">
        <v>135</v>
      </c>
      <c r="AJ20" s="11" t="s">
        <v>66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1" t="s">
        <v>136</v>
      </c>
      <c r="AQ20" s="11" t="s">
        <v>68</v>
      </c>
      <c r="AR20" s="11" t="s">
        <v>57</v>
      </c>
      <c r="AS20" s="11" t="s">
        <v>137</v>
      </c>
    </row>
    <row r="21">
      <c r="A21" s="11">
        <v>15</v>
      </c>
      <c r="B21" s="11" t="s">
        <v>138</v>
      </c>
      <c r="C21" s="11" t="s">
        <v>51</v>
      </c>
      <c r="D21" s="11" t="s">
        <v>52</v>
      </c>
      <c r="E21" s="12">
        <f>=HYPERLINK("https://diamview.com/DNA/Index?sRefNo=DAZ-497662"," DNA ")</f>
      </c>
      <c r="F21" s="12">
        <f>=HYPERLINK("https://diamview.com/DNA/Image?sRefNo=DAZ-497662"," Image ")</f>
      </c>
      <c r="G21" s="12">
        <f>=HYPERLINK("https://diamview.com/DNA/Vision360?d=DAZ-497662&amp;sv=0,1,2,3,4&amp;z=1&amp;i=HDInfo?SeqNo=DAZ-497662"," Video ")</f>
      </c>
      <c r="H21" s="11" t="s">
        <v>53</v>
      </c>
      <c r="I21" s="15" t="s">
        <v>126</v>
      </c>
      <c r="J21" s="12">
        <f>=HYPERLINK("https://diamview.com/DNA/certi?SeqNo=7461511942","GIA ")</f>
      </c>
      <c r="K21" s="11" t="s">
        <v>139</v>
      </c>
      <c r="L21" s="11" t="s">
        <v>56</v>
      </c>
      <c r="M21" s="11" t="s">
        <v>57</v>
      </c>
      <c r="N21" s="11" t="s">
        <v>132</v>
      </c>
      <c r="O21" s="11" t="s">
        <v>128</v>
      </c>
      <c r="P21" s="14">
        <v>1.73</v>
      </c>
      <c r="Q21" s="14">
        <v>8900</v>
      </c>
      <c r="R21" s="14">
        <f>=Q21*P21</f>
      </c>
      <c r="S21" s="16">
        <v>-41.4</v>
      </c>
      <c r="T21" s="17">
        <f>=U21/P21</f>
      </c>
      <c r="U21" s="16">
        <f>=R21+(R21*S21/100)</f>
      </c>
      <c r="V21" s="11" t="s">
        <v>60</v>
      </c>
      <c r="W21" s="11" t="s">
        <v>61</v>
      </c>
      <c r="X21" s="11" t="s">
        <v>61</v>
      </c>
      <c r="Y21" s="11" t="s">
        <v>86</v>
      </c>
      <c r="Z21" s="18">
        <v>6.55</v>
      </c>
      <c r="AA21" s="18">
        <v>6.43</v>
      </c>
      <c r="AB21" s="18">
        <v>4.83</v>
      </c>
      <c r="AC21" s="18">
        <v>75.2</v>
      </c>
      <c r="AD21" s="18">
        <v>71</v>
      </c>
      <c r="AE21" s="11" t="s">
        <v>140</v>
      </c>
      <c r="AF21" s="11" t="s">
        <v>64</v>
      </c>
      <c r="AG21" s="11" t="s">
        <v>74</v>
      </c>
      <c r="AH21" s="11" t="s">
        <v>66</v>
      </c>
      <c r="AI21" s="11" t="s">
        <v>65</v>
      </c>
      <c r="AJ21" s="11" t="s">
        <v>74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1" t="s">
        <v>75</v>
      </c>
      <c r="AQ21" s="11" t="s">
        <v>68</v>
      </c>
      <c r="AR21" s="11" t="s">
        <v>57</v>
      </c>
      <c r="AS21" s="11" t="s">
        <v>76</v>
      </c>
    </row>
    <row r="22">
      <c r="A22" s="11">
        <v>16</v>
      </c>
      <c r="B22" s="11" t="s">
        <v>141</v>
      </c>
      <c r="C22" s="11" t="s">
        <v>51</v>
      </c>
      <c r="D22" s="11" t="s">
        <v>52</v>
      </c>
      <c r="E22" s="12">
        <f>=HYPERLINK("https://diamview.com/DNA/Index?sRefNo=DAG-493709"," DNA ")</f>
      </c>
      <c r="F22" s="12">
        <f>=HYPERLINK("https://diamview.com/DNA/Image?sRefNo=DAG-493709"," Image ")</f>
      </c>
      <c r="G22" s="12">
        <f>=HYPERLINK("https://diamview.com/DNA/Vision360?d=DAG-493709&amp;sv=0,1,2,3,4&amp;z=1&amp;i=HDInfo?SeqNo=DAG-493709"," Video ")</f>
      </c>
      <c r="H22" s="11" t="s">
        <v>53</v>
      </c>
      <c r="I22" s="15" t="s">
        <v>126</v>
      </c>
      <c r="J22" s="12">
        <f>=HYPERLINK("https://diamview.com/DNA/certi?SeqNo=6465273233","GIA ")</f>
      </c>
      <c r="K22" s="11" t="s">
        <v>142</v>
      </c>
      <c r="L22" s="11" t="s">
        <v>56</v>
      </c>
      <c r="M22" s="11" t="s">
        <v>57</v>
      </c>
      <c r="N22" s="11" t="s">
        <v>71</v>
      </c>
      <c r="O22" s="11" t="s">
        <v>59</v>
      </c>
      <c r="P22" s="14">
        <v>1.77</v>
      </c>
      <c r="Q22" s="14">
        <v>6900</v>
      </c>
      <c r="R22" s="14">
        <f>=Q22*P22</f>
      </c>
      <c r="S22" s="16">
        <v>-43.16</v>
      </c>
      <c r="T22" s="17">
        <f>=U22/P22</f>
      </c>
      <c r="U22" s="16">
        <f>=R22+(R22*S22/100)</f>
      </c>
      <c r="V22" s="11" t="s">
        <v>60</v>
      </c>
      <c r="W22" s="11" t="s">
        <v>61</v>
      </c>
      <c r="X22" s="11" t="s">
        <v>61</v>
      </c>
      <c r="Y22" s="11" t="s">
        <v>86</v>
      </c>
      <c r="Z22" s="18">
        <v>6.56</v>
      </c>
      <c r="AA22" s="18">
        <v>6.54</v>
      </c>
      <c r="AB22" s="18">
        <v>4.8</v>
      </c>
      <c r="AC22" s="18">
        <v>73.4</v>
      </c>
      <c r="AD22" s="18">
        <v>71</v>
      </c>
      <c r="AE22" s="11" t="s">
        <v>91</v>
      </c>
      <c r="AF22" s="11" t="s">
        <v>64</v>
      </c>
      <c r="AG22" s="11" t="s">
        <v>74</v>
      </c>
      <c r="AH22" s="11" t="s">
        <v>74</v>
      </c>
      <c r="AI22" s="11" t="s">
        <v>65</v>
      </c>
      <c r="AJ22" s="11" t="s">
        <v>65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1" t="s">
        <v>143</v>
      </c>
      <c r="AQ22" s="11" t="s">
        <v>68</v>
      </c>
      <c r="AR22" s="11" t="s">
        <v>57</v>
      </c>
      <c r="AS22" s="11" t="s">
        <v>76</v>
      </c>
    </row>
    <row r="23">
      <c r="A23" s="11">
        <v>17</v>
      </c>
      <c r="B23" s="11" t="s">
        <v>144</v>
      </c>
      <c r="C23" s="11" t="s">
        <v>51</v>
      </c>
      <c r="D23" s="11" t="s">
        <v>52</v>
      </c>
      <c r="E23" s="12">
        <f>=HYPERLINK("https://diamview.com/DNA/Index?sRefNo=DAQ-495618"," DNA ")</f>
      </c>
      <c r="F23" s="12">
        <f>=HYPERLINK("https://diamview.com/DNA/Image?sRefNo=DAQ-495618"," Image ")</f>
      </c>
      <c r="G23" s="12">
        <f>=HYPERLINK("https://diamview.com/DNA/Vision360?d=DAQ-495618&amp;sv=0,1,2,3,4&amp;z=1&amp;i=HDInfo?SeqNo=DAQ-495618"," Video ")</f>
      </c>
      <c r="H23" s="11" t="s">
        <v>53</v>
      </c>
      <c r="I23" s="15" t="s">
        <v>126</v>
      </c>
      <c r="J23" s="12">
        <f>=HYPERLINK("https://diamview.com/DNA/certi?SeqNo=2464388846","GIA ")</f>
      </c>
      <c r="K23" s="11" t="s">
        <v>145</v>
      </c>
      <c r="L23" s="11" t="s">
        <v>56</v>
      </c>
      <c r="M23" s="11" t="s">
        <v>57</v>
      </c>
      <c r="N23" s="11" t="s">
        <v>79</v>
      </c>
      <c r="O23" s="11" t="s">
        <v>104</v>
      </c>
      <c r="P23" s="14">
        <v>1.51</v>
      </c>
      <c r="Q23" s="14">
        <v>7900</v>
      </c>
      <c r="R23" s="14">
        <f>=Q23*P23</f>
      </c>
      <c r="S23" s="16">
        <v>-47.08</v>
      </c>
      <c r="T23" s="17">
        <f>=U23/P23</f>
      </c>
      <c r="U23" s="16">
        <f>=R23+(R23*S23/100)</f>
      </c>
      <c r="V23" s="11" t="s">
        <v>60</v>
      </c>
      <c r="W23" s="11" t="s">
        <v>61</v>
      </c>
      <c r="X23" s="11" t="s">
        <v>61</v>
      </c>
      <c r="Y23" s="11" t="s">
        <v>86</v>
      </c>
      <c r="Z23" s="18">
        <v>6.43</v>
      </c>
      <c r="AA23" s="18">
        <v>6.23</v>
      </c>
      <c r="AB23" s="18">
        <v>4.58</v>
      </c>
      <c r="AC23" s="18">
        <v>73.5</v>
      </c>
      <c r="AD23" s="18">
        <v>71</v>
      </c>
      <c r="AE23" s="11" t="s">
        <v>146</v>
      </c>
      <c r="AF23" s="11" t="s">
        <v>64</v>
      </c>
      <c r="AG23" s="11" t="s">
        <v>74</v>
      </c>
      <c r="AH23" s="11" t="s">
        <v>66</v>
      </c>
      <c r="AI23" s="11" t="s">
        <v>74</v>
      </c>
      <c r="AJ23" s="11" t="s">
        <v>66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1" t="s">
        <v>95</v>
      </c>
      <c r="AQ23" s="11" t="s">
        <v>68</v>
      </c>
      <c r="AR23" s="11" t="s">
        <v>57</v>
      </c>
      <c r="AS23" s="11" t="s">
        <v>116</v>
      </c>
    </row>
    <row r="24">
      <c r="A24" s="11">
        <v>18</v>
      </c>
      <c r="B24" s="11" t="s">
        <v>147</v>
      </c>
      <c r="C24" s="11" t="s">
        <v>111</v>
      </c>
      <c r="D24" s="11" t="s">
        <v>52</v>
      </c>
      <c r="E24" s="12">
        <f>=HYPERLINK("https://diamview.com/DNA/Index?sRefNo=BW-02-23-404"," DNA ")</f>
      </c>
      <c r="F24" s="12">
        <f>=HYPERLINK("https://diamview.com/DNA/Image?sRefNo=BW-02-23-404"," Image ")</f>
      </c>
      <c r="G24" s="12">
        <f>=HYPERLINK("https://diamview.com/DNA/Vision360?d=BW-02-23-404&amp;sv=0,1,2,3,4&amp;z=1&amp;i=HDInfo?SeqNo=BW-02-23-404"," Video ")</f>
      </c>
      <c r="H24" s="11" t="s">
        <v>53</v>
      </c>
      <c r="I24" s="15" t="s">
        <v>126</v>
      </c>
      <c r="J24" s="12">
        <f>=HYPERLINK("https://diamview.com/DNA/certi?SeqNo=7453555547","GIA ")</f>
      </c>
      <c r="K24" s="11" t="s">
        <v>148</v>
      </c>
      <c r="L24" s="11" t="s">
        <v>56</v>
      </c>
      <c r="M24" s="11" t="s">
        <v>57</v>
      </c>
      <c r="N24" s="11" t="s">
        <v>79</v>
      </c>
      <c r="O24" s="11" t="s">
        <v>59</v>
      </c>
      <c r="P24" s="14">
        <v>1.53</v>
      </c>
      <c r="Q24" s="14">
        <v>6200</v>
      </c>
      <c r="R24" s="14">
        <f>=Q24*P24</f>
      </c>
      <c r="S24" s="16">
        <v>-46.1</v>
      </c>
      <c r="T24" s="17">
        <f>=U24/P24</f>
      </c>
      <c r="U24" s="16">
        <f>=R24+(R24*S24/100)</f>
      </c>
      <c r="V24" s="13" t="s">
        <v>113</v>
      </c>
      <c r="W24" s="13" t="s">
        <v>61</v>
      </c>
      <c r="X24" s="13" t="s">
        <v>61</v>
      </c>
      <c r="Y24" s="11" t="s">
        <v>86</v>
      </c>
      <c r="Z24" s="18">
        <v>6.07</v>
      </c>
      <c r="AA24" s="18">
        <v>6.02</v>
      </c>
      <c r="AB24" s="18">
        <v>4.53</v>
      </c>
      <c r="AC24" s="18">
        <v>75.2</v>
      </c>
      <c r="AD24" s="18">
        <v>70</v>
      </c>
      <c r="AE24" s="11" t="s">
        <v>146</v>
      </c>
      <c r="AF24" s="11" t="s">
        <v>64</v>
      </c>
      <c r="AG24" s="11" t="s">
        <v>74</v>
      </c>
      <c r="AH24" s="11" t="s">
        <v>74</v>
      </c>
      <c r="AI24" s="11" t="s">
        <v>115</v>
      </c>
      <c r="AJ24" s="11" t="s">
        <v>65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1" t="s">
        <v>75</v>
      </c>
      <c r="AQ24" s="11" t="s">
        <v>68</v>
      </c>
      <c r="AR24" s="11" t="s">
        <v>57</v>
      </c>
      <c r="AS24" s="11" t="s">
        <v>116</v>
      </c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</sheetData>
  <autoFilter ref="A6:AS6"/>
  <headerFooter/>
  <ignoredErrors>
    <ignoredError sqref="A1:CV25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