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5-06-2023" sheetId="1" r:id="rId1"/>
  </sheets>
  <definedNames>
    <definedName name="_xlnm._FilterDatabase" localSheetId="0" hidden="1">'15-06-2023'!$A$6:$AS$6</definedName>
  </definedNames>
  <calcPr fullCalcOnLoad="1"/>
</workbook>
</file>

<file path=xl/sharedStrings.xml><?xml version="1.0" encoding="utf-8"?>
<sst xmlns="http://schemas.openxmlformats.org/spreadsheetml/2006/main" count="149" uniqueCount="149">
  <si>
    <t>SHAIRU GEMS DIAMOND INVENTORY FOR THE DATE 15-06-2023</t>
  </si>
  <si>
    <t>All Prices are final Selling Cash Price</t>
  </si>
  <si>
    <t>DE-9012A(Entrance from DC), Bharat Diamond Bourse, Bandra Kurla Complex, Bandra (E), Mumbai 400 051, India T: +91 22 4050 5050 F: +91 22 2363 0039 QQ: 2292451628</t>
  </si>
  <si>
    <t>Email-Id : prasad@shairugems.net Web : www.shairugems.net Rapnet Id : 12458 Download Apps on Android, IOS and Windows</t>
  </si>
  <si>
    <t>Total</t>
  </si>
  <si>
    <t>Sr. No</t>
  </si>
  <si>
    <t>Stock Id</t>
  </si>
  <si>
    <t>Location</t>
  </si>
  <si>
    <t>Status</t>
  </si>
  <si>
    <t>DNA</t>
  </si>
  <si>
    <t>View Image</t>
  </si>
  <si>
    <t>HD Movie</t>
  </si>
  <si>
    <t>Shape</t>
  </si>
  <si>
    <t>Pointer</t>
  </si>
  <si>
    <t>Lab</t>
  </si>
  <si>
    <t>Certi No.</t>
  </si>
  <si>
    <t>BGM</t>
  </si>
  <si>
    <t>User Comments</t>
  </si>
  <si>
    <t>Color</t>
  </si>
  <si>
    <t>Clarity</t>
  </si>
  <si>
    <t>Cts</t>
  </si>
  <si>
    <t>Rap Price($)</t>
  </si>
  <si>
    <t>Rap Amt($)</t>
  </si>
  <si>
    <t>Disc(%)</t>
  </si>
  <si>
    <t>Price/Cts</t>
  </si>
  <si>
    <t>Net Amt($)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</si>
  <si>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</si>
  <si>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</si>
  <si>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</si>
  <si>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</si>
  <si>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</si>
  <si>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</si>
  <si>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</si>
  <si>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</si>
  <si>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</si>
  <si>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</si>
  <si>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Culet</t>
  </si>
  <si>
    <t>Table Black</t>
  </si>
  <si>
    <t>Crown Black</t>
  </si>
  <si>
    <t>Table White</t>
  </si>
  <si>
    <t>Crown White</t>
  </si>
  <si>
    <t>Cr Ang</t>
  </si>
  <si>
    <t>Cr Ht</t>
  </si>
  <si>
    <t>Pav Ang</t>
  </si>
  <si>
    <t>Pav Ht</t>
  </si>
  <si>
    <t>Girdle(%)</t>
  </si>
  <si>
    <t>Girdle Thickness</t>
  </si>
  <si>
    <t>Girdle Type</t>
  </si>
  <si>
    <t>Laser Insc</t>
  </si>
  <si>
    <t>GIA Comments</t>
  </si>
  <si>
    <t>CXW-483928</t>
  </si>
  <si>
    <t>India</t>
  </si>
  <si>
    <t>Available</t>
  </si>
  <si>
    <t>OVAL</t>
  </si>
  <si>
    <t>3.00-3.99</t>
  </si>
  <si>
    <t>2454465808</t>
  </si>
  <si>
    <t>NO BGM</t>
  </si>
  <si>
    <t/>
  </si>
  <si>
    <t>H</t>
  </si>
  <si>
    <t>VS1</t>
  </si>
  <si>
    <t>-</t>
  </si>
  <si>
    <t>EX</t>
  </si>
  <si>
    <t>NON</t>
  </si>
  <si>
    <t>Cloud, Needle, Indented Natural</t>
  </si>
  <si>
    <t>Non</t>
  </si>
  <si>
    <t>None</t>
  </si>
  <si>
    <t>Minor</t>
  </si>
  <si>
    <t>THK TO VTK</t>
  </si>
  <si>
    <t>Faceted</t>
  </si>
  <si>
    <t>Additional Clouds, Pinpoints And Surface Graining Are Not Shown.</t>
  </si>
  <si>
    <t>DBD-498181</t>
  </si>
  <si>
    <t>2.00-2.99</t>
  </si>
  <si>
    <t>7461574279</t>
  </si>
  <si>
    <t>E</t>
  </si>
  <si>
    <t>VS2</t>
  </si>
  <si>
    <t>VG</t>
  </si>
  <si>
    <t>FNT</t>
  </si>
  <si>
    <t>Crystal, Feather, Needle</t>
  </si>
  <si>
    <t>STK TO THK</t>
  </si>
  <si>
    <t>Clouds Are Not Shown. Pinpoints Are Not Shown.</t>
  </si>
  <si>
    <t>CZR-490879</t>
  </si>
  <si>
    <t>2466045695</t>
  </si>
  <si>
    <t>SI1</t>
  </si>
  <si>
    <t>Crystal, Feather, Cloud</t>
  </si>
  <si>
    <t>Small</t>
  </si>
  <si>
    <t>Additional Clouds Are Not Shown. Pinpoints Are Not Shown.</t>
  </si>
  <si>
    <t>CZJ-489138</t>
  </si>
  <si>
    <t>1459922219</t>
  </si>
  <si>
    <t>SI2</t>
  </si>
  <si>
    <t>Pinpoints Are Not Shown. Clouds Are Not Shown.</t>
  </si>
  <si>
    <t>CZM-489791</t>
  </si>
  <si>
    <t>6451963949</t>
  </si>
  <si>
    <t>G</t>
  </si>
  <si>
    <t>MED</t>
  </si>
  <si>
    <t>Crystal, Feather, Pinpoint, Indented Natural</t>
  </si>
  <si>
    <t>Additional Pinpoints Are Not Shown.</t>
  </si>
  <si>
    <t>CZN-489969</t>
  </si>
  <si>
    <t>1458974915</t>
  </si>
  <si>
    <t>Pinpoints Are Not Shown.</t>
  </si>
  <si>
    <t>CSW-461433</t>
  </si>
  <si>
    <t>2437498681</t>
  </si>
  <si>
    <t>Pinpoints Are Not Shown. Surface Graining Is Not Shown.</t>
  </si>
  <si>
    <t>DAE-493442</t>
  </si>
  <si>
    <t>1.50-1.99</t>
  </si>
  <si>
    <t>6462229033</t>
  </si>
  <si>
    <t>Crystal, Needle</t>
  </si>
  <si>
    <t>P.P</t>
  </si>
  <si>
    <t>CYV-487211</t>
  </si>
  <si>
    <t>7451769188</t>
  </si>
  <si>
    <t>Cloud, Crystal, Feather, Needle</t>
  </si>
  <si>
    <t>CYR-486610</t>
  </si>
  <si>
    <t>6455724528</t>
  </si>
  <si>
    <t>F</t>
  </si>
  <si>
    <t>VVS2</t>
  </si>
  <si>
    <t>Needle, Pinpoint</t>
  </si>
  <si>
    <t>MED TO STK</t>
  </si>
  <si>
    <t>Surface Graining Is Not Shown.</t>
  </si>
  <si>
    <t>CZJ-489214</t>
  </si>
  <si>
    <t>6451918787</t>
  </si>
  <si>
    <t>Feather, Crystal, Cloud, Needle, Indented Natural, Natural</t>
  </si>
  <si>
    <t>THK TO ETK</t>
  </si>
  <si>
    <t>DBE-498615</t>
  </si>
  <si>
    <t>New</t>
  </si>
  <si>
    <t>2466577002</t>
  </si>
  <si>
    <t>Pinpoint, Feather, Needle</t>
  </si>
  <si>
    <t>Additional Pinpoints Are Not Shown. Internal Graining Is Not Shown.</t>
  </si>
  <si>
    <t>DAD-493200</t>
  </si>
  <si>
    <t>1468213418</t>
  </si>
  <si>
    <t>Crystal, Cloud, Pinpoint</t>
  </si>
  <si>
    <t>VTK TO ETK</t>
  </si>
  <si>
    <t>Additional Clouds Are Not Shown. Additional Pinpoints Are Not Shown.</t>
  </si>
  <si>
    <t>CZW-491614</t>
  </si>
  <si>
    <t>6461109200</t>
  </si>
  <si>
    <t>Crystal, Cloud, Needle, Natural</t>
  </si>
  <si>
    <t>VTK</t>
  </si>
  <si>
    <t>CYD-484517</t>
  </si>
  <si>
    <t>7456557367</t>
  </si>
  <si>
    <t>CZI-488937</t>
  </si>
  <si>
    <t>6455910026</t>
  </si>
  <si>
    <t>Crystal, Cloud, Feather, Needle</t>
  </si>
  <si>
    <t>MED TO THK</t>
  </si>
  <si>
    <t>Additional Clouds, Pinpoints And Internal Graining Are Not Shown.</t>
  </si>
  <si>
    <t>CZC-488202</t>
  </si>
  <si>
    <t>5456866093</t>
  </si>
  <si>
    <t>Crystal, Feather, Cloud, Needle</t>
  </si>
  <si>
    <t>DBJ-499358</t>
  </si>
  <si>
    <t>6462826213</t>
  </si>
  <si>
    <t>Feather, Crystal, Needle, Natural</t>
  </si>
  <si>
    <t>Clouds, Pinpoints And Internal Graining Are Not Shown.</t>
  </si>
</sst>
</file>

<file path=xl/styles.xml><?xml version="1.0" encoding="utf-8"?>
<styleSheet xmlns="http://schemas.openxmlformats.org/spreadsheetml/2006/main">
  <numFmts count="1">
    <numFmt numFmtId="164" formatCode="#,##"/>
  </numFmts>
  <fonts count="8">
    <font>
      <sz val="11"/>
      <name val="Calibri"/>
    </font>
    <font>
      <b/>
      <sz val="11"/>
      <name val="Calibri"/>
    </font>
    <font>
      <b/>
      <sz val="24"/>
      <color rgb="FF8497B0" tint="0"/>
      <name val="Calibri"/>
    </font>
    <font>
      <b/>
      <sz val="11"/>
      <color rgb="FF8497B0" tint="0"/>
      <name val="Calibri"/>
    </font>
    <font>
      <b/>
      <sz val="10"/>
      <name val="Calibri"/>
    </font>
    <font>
      <sz val="9"/>
      <name val="Calibri"/>
    </font>
    <font>
      <u/>
      <sz val="9"/>
      <color rgb="FF0000FF" tint="0"/>
      <name val="Calibri"/>
    </font>
    <font>
      <b/>
      <sz val="9"/>
      <color rgb="FFFF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C6E0B4" tint="0"/>
      </patternFill>
    </fill>
    <fill>
      <patternFill patternType="solid">
        <fgColor rgb="FFCCFFFF" tint="0"/>
      </patternFill>
    </fill>
    <fill>
      <patternFill patternType="solid">
        <fgColor rgb="FFD9E1F2" tint="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22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0" applyFont="1" xfId="0" applyProtection="1">
      <alignment wrapText="1"/>
    </xf>
    <xf numFmtId="0" applyNumberFormat="1" fontId="1" applyFont="1" xfId="0" applyProtection="1" applyAlignment="1">
      <alignment horizontal="left"/>
    </xf>
    <xf numFmtId="0" applyNumberFormat="1" fontId="3" applyFont="1" xfId="0" applyProtection="1" applyAlignment="1">
      <alignment horizontal="left"/>
    </xf>
    <xf numFmtId="0" applyNumberFormat="1" fontId="1" applyFont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top" wrapText="1"/>
    </xf>
    <xf numFmtId="0" applyNumberFormat="1" fontId="4" applyFont="1" fillId="3" applyFill="1" borderId="1" applyBorder="1" xfId="0" applyProtection="1" applyAlignment="1">
      <alignment horizontal="center" vertical="top" wrapText="1"/>
    </xf>
    <xf numFmtId="0" applyNumberFormat="1" fontId="4" applyFont="1" fillId="4" applyFill="1" borderId="1" applyBorder="1" xfId="0" applyProtection="1" applyAlignment="1">
      <alignment horizontal="center" vertical="top" wrapText="1"/>
    </xf>
    <xf numFmtId="0" applyNumberFormat="1" fontId="0" applyFont="1" xfId="0" applyProtection="1" applyAlignment="1">
      <alignment horizontal="center"/>
    </xf>
    <xf numFmtId="0" applyNumberFormat="1" fontId="5" applyFont="1" xfId="0" applyProtection="1" applyAlignment="1">
      <alignment horizontal="center"/>
    </xf>
    <xf numFmtId="0" applyNumberFormat="1" fontId="6" applyFont="1" xfId="0" applyProtection="1" applyAlignment="1">
      <alignment horizontal="center"/>
    </xf>
    <xf numFmtId="4" applyNumberFormat="1" fontId="5" applyFont="1" xfId="0" applyProtection="1" applyAlignment="1">
      <alignment horizontal="center"/>
    </xf>
    <xf numFmtId="0" applyNumberFormat="1" fontId="5" applyFont="1" fillId="3" applyFill="1" xfId="0" applyProtection="1" applyAlignment="1">
      <alignment horizontal="center"/>
    </xf>
    <xf numFmtId="4" applyNumberFormat="1" fontId="7" applyFont="1" fillId="4" applyFill="1" xfId="0" applyProtection="1" applyAlignment="1">
      <alignment horizontal="center"/>
    </xf>
    <xf numFmtId="4" applyNumberFormat="1" fontId="7" applyFont="1" xfId="0" applyProtection="1" applyAlignment="1">
      <alignment horizontal="center"/>
    </xf>
    <xf numFmtId="2" applyNumberFormat="1" fontId="5" applyFont="1" xfId="0" applyProtection="1" applyAlignment="1">
      <alignment horizontal="center"/>
    </xf>
    <xf numFmtId="164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fillId="5" applyFill="1" borderId="1" applyBorder="1" xfId="0" applyProtection="1" applyAlignment="1">
      <alignment horizontal="center" vertical="center"/>
    </xf>
    <xf numFmtId="3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borderId="1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S25"/>
  <sheetViews>
    <sheetView workbookViewId="0">
      <pane ySplit="6" topLeftCell="A7" state="frozen" activePane="bottomLeft"/>
      <selection pane="bottomLeft" activeCell="A1" sqref="A1"/>
    </sheetView>
  </sheetViews>
  <sheetFormatPr defaultRowHeight="15"/>
  <cols>
    <col min="1" max="1" width="5.43" customWidth="1"/>
    <col min="2" max="2" width="12" customWidth="1"/>
    <col min="3" max="3" width="10.14" customWidth="1"/>
    <col min="4" max="4" hidden="1" width="8.43" customWidth="1"/>
    <col min="5" max="5" width="8.86" customWidth="1"/>
    <col min="6" max="6" width="9" customWidth="1"/>
    <col min="7" max="7" width="12" customWidth="1"/>
    <col min="8" max="8" width="9.57" customWidth="1"/>
    <col min="9" max="9" width="8.14" customWidth="1"/>
    <col min="10" max="10" width="8.14" customWidth="1"/>
    <col min="11" max="11" width="13.5" customWidth="1"/>
    <col min="12" max="12" width="8.43" customWidth="1"/>
    <col min="13" max="13" width="30" customWidth="1"/>
    <col min="14" max="14" width="9.29" customWidth="1"/>
    <col min="15" max="15" width="13" customWidth="1"/>
    <col min="16" max="16" width="8.14" customWidth="1"/>
    <col min="17" max="17" width="8.14" customWidth="1"/>
    <col min="18" max="18" width="12" customWidth="1"/>
    <col min="19" max="19" width="8.14" customWidth="1"/>
    <col min="20" max="20" width="8.14" customWidth="1"/>
    <col min="21" max="21" width="12" customWidth="1"/>
    <col min="22" max="22" width="7.86" customWidth="1"/>
    <col min="23" max="23" width="7.86" customWidth="1"/>
    <col min="24" max="24" width="7.86" customWidth="1"/>
    <col min="25" max="25" width="7.86" customWidth="1"/>
    <col min="26" max="26" width="7.86" customWidth="1"/>
    <col min="27" max="27" width="7.86" customWidth="1"/>
    <col min="28" max="28" width="7.86" customWidth="1"/>
    <col min="29" max="29" width="9" customWidth="1"/>
    <col min="30" max="30" width="7.9" customWidth="1"/>
    <col min="31" max="31" width="35.29" customWidth="1"/>
    <col min="32" max="32" width="7.86" customWidth="1"/>
    <col min="33" max="33" width="7.86" customWidth="1"/>
    <col min="34" max="34" width="7.86" customWidth="1"/>
    <col min="35" max="35" width="7.86" customWidth="1"/>
    <col min="36" max="36" width="7.86" customWidth="1"/>
    <col min="37" max="37" width="7.86" customWidth="1"/>
    <col min="38" max="38" width="7.86" customWidth="1"/>
    <col min="39" max="39" width="7.86" customWidth="1"/>
    <col min="40" max="40" width="7.86" customWidth="1"/>
    <col min="41" max="41" width="7.86" customWidth="1"/>
    <col min="42" max="42" width="20" customWidth="1"/>
    <col min="43" max="43" width="7.86" customWidth="1"/>
    <col min="44" max="44" width="7.86" customWidth="1"/>
    <col min="45" max="45" width="35.29" customWidth="1"/>
    <col min="46" max="16384" width="35.29" customWidth="1"/>
  </cols>
  <sheetData>
    <row r="1">
      <c r="C1" s="1"/>
      <c r="D1" s="1"/>
      <c r="E1" s="1"/>
      <c r="F1" s="4"/>
      <c r="G1" s="2" t="s">
        <v>0</v>
      </c>
      <c r="H1" s="1"/>
      <c r="I1" s="1"/>
      <c r="J1" s="1"/>
      <c r="K1" s="1"/>
      <c r="L1" s="1"/>
    </row>
    <row r="2">
      <c r="B2" s="5" t="s">
        <v>1</v>
      </c>
      <c r="C2" s="1"/>
      <c r="D2" s="1"/>
      <c r="E2" s="1"/>
      <c r="F2" s="4"/>
      <c r="G2" s="5" t="s">
        <v>2</v>
      </c>
      <c r="H2" s="1"/>
      <c r="I2" s="1"/>
      <c r="J2" s="1"/>
      <c r="K2" s="1"/>
      <c r="L2" s="1"/>
    </row>
    <row r="3">
      <c r="C3" s="1"/>
      <c r="D3" s="1"/>
      <c r="E3" s="1"/>
      <c r="F3" s="4"/>
      <c r="G3" s="5" t="s">
        <v>3</v>
      </c>
      <c r="H3" s="1"/>
      <c r="I3" s="1"/>
      <c r="J3" s="1"/>
      <c r="K3" s="1"/>
      <c r="L3" s="1"/>
    </row>
    <row r="5" ht="40" customHeight="1">
      <c r="A5" s="6" t="s">
        <v>4</v>
      </c>
      <c r="B5" s="18">
        <f>ROUND(SUBTOTAL(102,A7:A24),2)</f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9">
        <f>ROUND(SUBTOTAL(109,P7:P24),2)</f>
      </c>
      <c r="Q5" s="6"/>
      <c r="R5" s="20">
        <f>ROUND(SUBTOTAL(109,R7:R24),2)</f>
      </c>
      <c r="S5" s="21">
        <f>ROUND((1-(SUBTOTAL(109,U7:U24)/SUBTOTAL(109,R7:R24)))*(-100),2)</f>
      </c>
      <c r="T5" s="6"/>
      <c r="U5" s="20">
        <f>ROUND(SUBTOTAL(109,U7:U24),2)</f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40" customHeight="1" s="3" customForma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7" t="s">
        <v>21</v>
      </c>
      <c r="R6" s="7" t="s">
        <v>22</v>
      </c>
      <c r="S6" s="9" t="s">
        <v>23</v>
      </c>
      <c r="T6" s="7" t="s">
        <v>24</v>
      </c>
      <c r="U6" s="9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7" t="s">
        <v>33</v>
      </c>
      <c r="AD6" s="7" t="s">
        <v>34</v>
      </c>
      <c r="AE6" s="7" t="s">
        <v>35</v>
      </c>
      <c r="AF6" s="7" t="s">
        <v>36</v>
      </c>
      <c r="AG6" s="7" t="s">
        <v>37</v>
      </c>
      <c r="AH6" s="7" t="s">
        <v>38</v>
      </c>
      <c r="AI6" s="7" t="s">
        <v>39</v>
      </c>
      <c r="AJ6" s="7" t="s">
        <v>40</v>
      </c>
      <c r="AK6" s="7" t="s">
        <v>41</v>
      </c>
      <c r="AL6" s="7" t="s">
        <v>42</v>
      </c>
      <c r="AM6" s="7" t="s">
        <v>43</v>
      </c>
      <c r="AN6" s="7" t="s">
        <v>44</v>
      </c>
      <c r="AO6" s="7" t="s">
        <v>45</v>
      </c>
      <c r="AP6" s="7" t="s">
        <v>46</v>
      </c>
      <c r="AQ6" s="7" t="s">
        <v>47</v>
      </c>
      <c r="AR6" s="7" t="s">
        <v>48</v>
      </c>
      <c r="AS6" s="7" t="s">
        <v>49</v>
      </c>
    </row>
    <row r="7">
      <c r="A7" s="11">
        <v>1</v>
      </c>
      <c r="B7" s="11" t="s">
        <v>50</v>
      </c>
      <c r="C7" s="11" t="s">
        <v>51</v>
      </c>
      <c r="D7" s="11" t="s">
        <v>52</v>
      </c>
      <c r="E7" s="12">
        <f>=HYPERLINK("https://diamview.com/DNA/Index?sRefNo=CXW-483928"," DNA ")</f>
      </c>
      <c r="F7" s="12">
        <f>=HYPERLINK("https://diamview.com/DNA/Image?sRefNo=CXW-483928"," Image ")</f>
      </c>
      <c r="G7" s="12">
        <f>=HYPERLINK("https://diamview.com/DNA/Vision360?d=CXW-483928&amp;sv=0,1,2,3,4&amp;z=1&amp;i=HDInfo?SeqNo=CXW-483928"," Video ")</f>
      </c>
      <c r="H7" s="11" t="s">
        <v>53</v>
      </c>
      <c r="I7" s="14" t="s">
        <v>54</v>
      </c>
      <c r="J7" s="12">
        <f>=HYPERLINK("https://diamview.com/DNA/certi?SeqNo=2454465808","GIA ")</f>
      </c>
      <c r="K7" s="11" t="s">
        <v>55</v>
      </c>
      <c r="L7" s="11" t="s">
        <v>56</v>
      </c>
      <c r="M7" s="11" t="s">
        <v>57</v>
      </c>
      <c r="N7" s="11" t="s">
        <v>58</v>
      </c>
      <c r="O7" s="11" t="s">
        <v>59</v>
      </c>
      <c r="P7" s="13">
        <v>3.02</v>
      </c>
      <c r="Q7" s="13">
        <v>20000</v>
      </c>
      <c r="R7" s="13">
        <f>=Q7*P7</f>
      </c>
      <c r="S7" s="15">
        <v>-37.48</v>
      </c>
      <c r="T7" s="16">
        <f>=U7/P7</f>
      </c>
      <c r="U7" s="15">
        <f>=R7+(R7*S7/100)</f>
      </c>
      <c r="V7" s="11" t="s">
        <v>60</v>
      </c>
      <c r="W7" s="11" t="s">
        <v>61</v>
      </c>
      <c r="X7" s="11" t="s">
        <v>61</v>
      </c>
      <c r="Y7" s="11" t="s">
        <v>62</v>
      </c>
      <c r="Z7" s="17">
        <v>10.59</v>
      </c>
      <c r="AA7" s="17">
        <v>8.12</v>
      </c>
      <c r="AB7" s="17">
        <v>5.35</v>
      </c>
      <c r="AC7" s="17">
        <v>65.8</v>
      </c>
      <c r="AD7" s="17">
        <v>60</v>
      </c>
      <c r="AE7" s="11" t="s">
        <v>63</v>
      </c>
      <c r="AF7" s="11" t="s">
        <v>64</v>
      </c>
      <c r="AG7" s="11" t="s">
        <v>65</v>
      </c>
      <c r="AH7" s="11" t="s">
        <v>65</v>
      </c>
      <c r="AI7" s="11" t="s">
        <v>66</v>
      </c>
      <c r="AJ7" s="11" t="s">
        <v>66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1" t="s">
        <v>67</v>
      </c>
      <c r="AQ7" s="11" t="s">
        <v>68</v>
      </c>
      <c r="AR7" s="11" t="s">
        <v>57</v>
      </c>
      <c r="AS7" s="11" t="s">
        <v>69</v>
      </c>
    </row>
    <row r="8">
      <c r="A8" s="11">
        <v>2</v>
      </c>
      <c r="B8" s="11" t="s">
        <v>70</v>
      </c>
      <c r="C8" s="11" t="s">
        <v>51</v>
      </c>
      <c r="D8" s="11" t="s">
        <v>52</v>
      </c>
      <c r="E8" s="12">
        <f>=HYPERLINK("https://diamview.com/DNA/Index?sRefNo=DBD-498181"," DNA ")</f>
      </c>
      <c r="F8" s="12">
        <f>=HYPERLINK("https://diamview.com/DNA/Image?sRefNo=DBD-498181"," Image ")</f>
      </c>
      <c r="G8" s="12">
        <f>=HYPERLINK("https://diamview.com/DNA/Vision360?d=DBD-498181&amp;sv=0,1,2,3,4&amp;z=1&amp;i=HDInfo?SeqNo=DBD-498181"," Video ")</f>
      </c>
      <c r="H8" s="11" t="s">
        <v>53</v>
      </c>
      <c r="I8" s="14" t="s">
        <v>71</v>
      </c>
      <c r="J8" s="12">
        <f>=HYPERLINK("https://diamview.com/DNA/certi?SeqNo=7461574279","GIA ")</f>
      </c>
      <c r="K8" s="11" t="s">
        <v>72</v>
      </c>
      <c r="L8" s="11" t="s">
        <v>56</v>
      </c>
      <c r="M8" s="11" t="s">
        <v>57</v>
      </c>
      <c r="N8" s="11" t="s">
        <v>73</v>
      </c>
      <c r="O8" s="11" t="s">
        <v>74</v>
      </c>
      <c r="P8" s="13">
        <v>2</v>
      </c>
      <c r="Q8" s="13">
        <v>16500</v>
      </c>
      <c r="R8" s="13">
        <f>=Q8*P8</f>
      </c>
      <c r="S8" s="15">
        <v>-39.14</v>
      </c>
      <c r="T8" s="16">
        <f>=U8/P8</f>
      </c>
      <c r="U8" s="15">
        <f>=R8+(R8*S8/100)</f>
      </c>
      <c r="V8" s="11" t="s">
        <v>60</v>
      </c>
      <c r="W8" s="11" t="s">
        <v>61</v>
      </c>
      <c r="X8" s="11" t="s">
        <v>75</v>
      </c>
      <c r="Y8" s="11" t="s">
        <v>76</v>
      </c>
      <c r="Z8" s="17">
        <v>9.33</v>
      </c>
      <c r="AA8" s="17">
        <v>7.03</v>
      </c>
      <c r="AB8" s="17">
        <v>4.64</v>
      </c>
      <c r="AC8" s="17">
        <v>65.9</v>
      </c>
      <c r="AD8" s="17">
        <v>58</v>
      </c>
      <c r="AE8" s="11" t="s">
        <v>77</v>
      </c>
      <c r="AF8" s="11" t="s">
        <v>64</v>
      </c>
      <c r="AG8" s="11" t="s">
        <v>66</v>
      </c>
      <c r="AH8" s="11" t="s">
        <v>66</v>
      </c>
      <c r="AI8" s="11" t="s">
        <v>66</v>
      </c>
      <c r="AJ8" s="11" t="s">
        <v>65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1" t="s">
        <v>78</v>
      </c>
      <c r="AQ8" s="11" t="s">
        <v>68</v>
      </c>
      <c r="AR8" s="11" t="s">
        <v>57</v>
      </c>
      <c r="AS8" s="11" t="s">
        <v>79</v>
      </c>
    </row>
    <row r="9">
      <c r="A9" s="11">
        <v>3</v>
      </c>
      <c r="B9" s="11" t="s">
        <v>80</v>
      </c>
      <c r="C9" s="11" t="s">
        <v>51</v>
      </c>
      <c r="D9" s="11" t="s">
        <v>52</v>
      </c>
      <c r="E9" s="12">
        <f>=HYPERLINK("https://diamview.com/DNA/Index?sRefNo=CZR-490879"," DNA ")</f>
      </c>
      <c r="F9" s="12">
        <f>=HYPERLINK("https://diamview.com/DNA/Image?sRefNo=CZR-490879"," Image ")</f>
      </c>
      <c r="G9" s="12">
        <f>=HYPERLINK("https://diamview.com/DNA/Vision360?d=CZR-490879&amp;sv=0,1,2,3,4&amp;z=1&amp;i=HDInfo?SeqNo=CZR-490879"," Video ")</f>
      </c>
      <c r="H9" s="11" t="s">
        <v>53</v>
      </c>
      <c r="I9" s="14" t="s">
        <v>71</v>
      </c>
      <c r="J9" s="12">
        <f>=HYPERLINK("https://diamview.com/DNA/certi?SeqNo=2466045695","GIA ")</f>
      </c>
      <c r="K9" s="11" t="s">
        <v>81</v>
      </c>
      <c r="L9" s="11" t="s">
        <v>56</v>
      </c>
      <c r="M9" s="11" t="s">
        <v>57</v>
      </c>
      <c r="N9" s="11" t="s">
        <v>73</v>
      </c>
      <c r="O9" s="11" t="s">
        <v>82</v>
      </c>
      <c r="P9" s="13">
        <v>2</v>
      </c>
      <c r="Q9" s="13">
        <v>13500</v>
      </c>
      <c r="R9" s="13">
        <f>=Q9*P9</f>
      </c>
      <c r="S9" s="15">
        <v>-31.4</v>
      </c>
      <c r="T9" s="16">
        <f>=U9/P9</f>
      </c>
      <c r="U9" s="15">
        <f>=R9+(R9*S9/100)</f>
      </c>
      <c r="V9" s="11" t="s">
        <v>60</v>
      </c>
      <c r="W9" s="11" t="s">
        <v>61</v>
      </c>
      <c r="X9" s="11" t="s">
        <v>75</v>
      </c>
      <c r="Y9" s="11" t="s">
        <v>62</v>
      </c>
      <c r="Z9" s="17">
        <v>10.28</v>
      </c>
      <c r="AA9" s="17">
        <v>7.05</v>
      </c>
      <c r="AB9" s="17">
        <v>4.3</v>
      </c>
      <c r="AC9" s="17">
        <v>61.1</v>
      </c>
      <c r="AD9" s="17">
        <v>64</v>
      </c>
      <c r="AE9" s="11" t="s">
        <v>83</v>
      </c>
      <c r="AF9" s="11" t="s">
        <v>64</v>
      </c>
      <c r="AG9" s="11" t="s">
        <v>66</v>
      </c>
      <c r="AH9" s="11" t="s">
        <v>65</v>
      </c>
      <c r="AI9" s="11" t="s">
        <v>84</v>
      </c>
      <c r="AJ9" s="11" t="s">
        <v>65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1" t="s">
        <v>67</v>
      </c>
      <c r="AQ9" s="11" t="s">
        <v>68</v>
      </c>
      <c r="AR9" s="11" t="s">
        <v>57</v>
      </c>
      <c r="AS9" s="11" t="s">
        <v>85</v>
      </c>
    </row>
    <row r="10">
      <c r="A10" s="11">
        <v>4</v>
      </c>
      <c r="B10" s="11" t="s">
        <v>86</v>
      </c>
      <c r="C10" s="11" t="s">
        <v>51</v>
      </c>
      <c r="D10" s="11" t="s">
        <v>52</v>
      </c>
      <c r="E10" s="12">
        <f>=HYPERLINK("https://diamview.com/DNA/Index?sRefNo=CZJ-489138"," DNA ")</f>
      </c>
      <c r="F10" s="12">
        <f>=HYPERLINK("https://diamview.com/DNA/Image?sRefNo=CZJ-489138"," Image ")</f>
      </c>
      <c r="G10" s="12">
        <f>=HYPERLINK("https://diamview.com/DNA/Vision360?d=CZJ-489138&amp;sv=0,1,2,3,4&amp;z=1&amp;i=HDInfo?SeqNo=CZJ-489138"," Video ")</f>
      </c>
      <c r="H10" s="11" t="s">
        <v>53</v>
      </c>
      <c r="I10" s="14" t="s">
        <v>71</v>
      </c>
      <c r="J10" s="12">
        <f>=HYPERLINK("https://diamview.com/DNA/certi?SeqNo=1459922219","GIA ")</f>
      </c>
      <c r="K10" s="11" t="s">
        <v>87</v>
      </c>
      <c r="L10" s="11" t="s">
        <v>56</v>
      </c>
      <c r="M10" s="11" t="s">
        <v>57</v>
      </c>
      <c r="N10" s="11" t="s">
        <v>73</v>
      </c>
      <c r="O10" s="11" t="s">
        <v>88</v>
      </c>
      <c r="P10" s="13">
        <v>2.03</v>
      </c>
      <c r="Q10" s="13">
        <v>10900</v>
      </c>
      <c r="R10" s="13">
        <f>=Q10*P10</f>
      </c>
      <c r="S10" s="15">
        <v>-46.1</v>
      </c>
      <c r="T10" s="16">
        <f>=U10/P10</f>
      </c>
      <c r="U10" s="15">
        <f>=R10+(R10*S10/100)</f>
      </c>
      <c r="V10" s="11" t="s">
        <v>60</v>
      </c>
      <c r="W10" s="11" t="s">
        <v>61</v>
      </c>
      <c r="X10" s="11" t="s">
        <v>61</v>
      </c>
      <c r="Y10" s="11" t="s">
        <v>62</v>
      </c>
      <c r="Z10" s="17">
        <v>9.24</v>
      </c>
      <c r="AA10" s="17">
        <v>7.08</v>
      </c>
      <c r="AB10" s="17">
        <v>4.66</v>
      </c>
      <c r="AC10" s="17">
        <v>65.9</v>
      </c>
      <c r="AD10" s="17">
        <v>60</v>
      </c>
      <c r="AE10" s="11" t="s">
        <v>77</v>
      </c>
      <c r="AF10" s="11" t="s">
        <v>64</v>
      </c>
      <c r="AG10" s="11" t="s">
        <v>84</v>
      </c>
      <c r="AH10" s="11" t="s">
        <v>65</v>
      </c>
      <c r="AI10" s="11" t="s">
        <v>66</v>
      </c>
      <c r="AJ10" s="11" t="s">
        <v>66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1" t="s">
        <v>67</v>
      </c>
      <c r="AQ10" s="11" t="s">
        <v>68</v>
      </c>
      <c r="AR10" s="11" t="s">
        <v>57</v>
      </c>
      <c r="AS10" s="11" t="s">
        <v>89</v>
      </c>
    </row>
    <row r="11">
      <c r="A11" s="11">
        <v>5</v>
      </c>
      <c r="B11" s="11" t="s">
        <v>90</v>
      </c>
      <c r="C11" s="11" t="s">
        <v>51</v>
      </c>
      <c r="D11" s="11" t="s">
        <v>52</v>
      </c>
      <c r="E11" s="12">
        <f>=HYPERLINK("https://diamview.com/DNA/Index?sRefNo=CZM-489791"," DNA ")</f>
      </c>
      <c r="F11" s="12">
        <f>=HYPERLINK("https://diamview.com/DNA/Image?sRefNo=CZM-489791"," Image ")</f>
      </c>
      <c r="G11" s="12">
        <f>=HYPERLINK("https://diamview.com/DNA/Vision360?d=CZM-489791&amp;sv=0,1,2,3,4&amp;z=1&amp;i=HDInfo?SeqNo=CZM-489791"," Video ")</f>
      </c>
      <c r="H11" s="11" t="s">
        <v>53</v>
      </c>
      <c r="I11" s="14" t="s">
        <v>71</v>
      </c>
      <c r="J11" s="12">
        <f>=HYPERLINK("https://diamview.com/DNA/certi?SeqNo=6451963949","GIA ")</f>
      </c>
      <c r="K11" s="11" t="s">
        <v>91</v>
      </c>
      <c r="L11" s="11" t="s">
        <v>56</v>
      </c>
      <c r="M11" s="11" t="s">
        <v>57</v>
      </c>
      <c r="N11" s="11" t="s">
        <v>92</v>
      </c>
      <c r="O11" s="11" t="s">
        <v>74</v>
      </c>
      <c r="P11" s="13">
        <v>2.01</v>
      </c>
      <c r="Q11" s="13">
        <v>14500</v>
      </c>
      <c r="R11" s="13">
        <f>=Q11*P11</f>
      </c>
      <c r="S11" s="15">
        <v>-43.16</v>
      </c>
      <c r="T11" s="16">
        <f>=U11/P11</f>
      </c>
      <c r="U11" s="15">
        <f>=R11+(R11*S11/100)</f>
      </c>
      <c r="V11" s="11" t="s">
        <v>60</v>
      </c>
      <c r="W11" s="11" t="s">
        <v>61</v>
      </c>
      <c r="X11" s="11" t="s">
        <v>61</v>
      </c>
      <c r="Y11" s="11" t="s">
        <v>93</v>
      </c>
      <c r="Z11" s="17">
        <v>9.71</v>
      </c>
      <c r="AA11" s="17">
        <v>6.97</v>
      </c>
      <c r="AB11" s="17">
        <v>4.54</v>
      </c>
      <c r="AC11" s="17">
        <v>65.1</v>
      </c>
      <c r="AD11" s="17">
        <v>60</v>
      </c>
      <c r="AE11" s="11" t="s">
        <v>94</v>
      </c>
      <c r="AF11" s="11" t="s">
        <v>64</v>
      </c>
      <c r="AG11" s="11" t="s">
        <v>65</v>
      </c>
      <c r="AH11" s="11" t="s">
        <v>65</v>
      </c>
      <c r="AI11" s="11" t="s">
        <v>66</v>
      </c>
      <c r="AJ11" s="11" t="s">
        <v>66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1" t="s">
        <v>67</v>
      </c>
      <c r="AQ11" s="11" t="s">
        <v>68</v>
      </c>
      <c r="AR11" s="11" t="s">
        <v>57</v>
      </c>
      <c r="AS11" s="11" t="s">
        <v>95</v>
      </c>
    </row>
    <row r="12">
      <c r="A12" s="11">
        <v>6</v>
      </c>
      <c r="B12" s="11" t="s">
        <v>96</v>
      </c>
      <c r="C12" s="11" t="s">
        <v>51</v>
      </c>
      <c r="D12" s="11" t="s">
        <v>52</v>
      </c>
      <c r="E12" s="12">
        <f>=HYPERLINK("https://diamview.com/DNA/Index?sRefNo=CZN-489969"," DNA ")</f>
      </c>
      <c r="F12" s="12">
        <f>=HYPERLINK("https://diamview.com/DNA/Image?sRefNo=CZN-489969"," Image ")</f>
      </c>
      <c r="G12" s="12">
        <f>=HYPERLINK("https://diamview.com/DNA/Vision360?d=CZN-489969&amp;sv=0,1,2,3,4&amp;z=1&amp;i=HDInfo?SeqNo=CZN-489969"," Video ")</f>
      </c>
      <c r="H12" s="11" t="s">
        <v>53</v>
      </c>
      <c r="I12" s="14" t="s">
        <v>71</v>
      </c>
      <c r="J12" s="12">
        <f>=HYPERLINK("https://diamview.com/DNA/certi?SeqNo=1458974915","GIA ")</f>
      </c>
      <c r="K12" s="11" t="s">
        <v>97</v>
      </c>
      <c r="L12" s="11" t="s">
        <v>56</v>
      </c>
      <c r="M12" s="11" t="s">
        <v>57</v>
      </c>
      <c r="N12" s="11" t="s">
        <v>92</v>
      </c>
      <c r="O12" s="11" t="s">
        <v>88</v>
      </c>
      <c r="P12" s="13">
        <v>2.25</v>
      </c>
      <c r="Q12" s="13">
        <v>9900</v>
      </c>
      <c r="R12" s="13">
        <f>=Q12*P12</f>
      </c>
      <c r="S12" s="15">
        <v>-27.48</v>
      </c>
      <c r="T12" s="16">
        <f>=U12/P12</f>
      </c>
      <c r="U12" s="15">
        <f>=R12+(R12*S12/100)</f>
      </c>
      <c r="V12" s="11" t="s">
        <v>60</v>
      </c>
      <c r="W12" s="11" t="s">
        <v>61</v>
      </c>
      <c r="X12" s="11" t="s">
        <v>61</v>
      </c>
      <c r="Y12" s="11" t="s">
        <v>62</v>
      </c>
      <c r="Z12" s="17">
        <v>10.19</v>
      </c>
      <c r="AA12" s="17">
        <v>7.39</v>
      </c>
      <c r="AB12" s="17">
        <v>4.69</v>
      </c>
      <c r="AC12" s="17">
        <v>63.4</v>
      </c>
      <c r="AD12" s="17">
        <v>60</v>
      </c>
      <c r="AE12" s="11" t="s">
        <v>77</v>
      </c>
      <c r="AF12" s="11" t="s">
        <v>64</v>
      </c>
      <c r="AG12" s="11" t="s">
        <v>84</v>
      </c>
      <c r="AH12" s="11" t="s">
        <v>65</v>
      </c>
      <c r="AI12" s="11" t="s">
        <v>65</v>
      </c>
      <c r="AJ12" s="11" t="s">
        <v>66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1" t="s">
        <v>78</v>
      </c>
      <c r="AQ12" s="11" t="s">
        <v>68</v>
      </c>
      <c r="AR12" s="11" t="s">
        <v>57</v>
      </c>
      <c r="AS12" s="11" t="s">
        <v>98</v>
      </c>
    </row>
    <row r="13">
      <c r="A13" s="11">
        <v>7</v>
      </c>
      <c r="B13" s="11" t="s">
        <v>99</v>
      </c>
      <c r="C13" s="11" t="s">
        <v>51</v>
      </c>
      <c r="D13" s="11" t="s">
        <v>52</v>
      </c>
      <c r="E13" s="12">
        <f>=HYPERLINK("https://diamview.com/DNA/Index?sRefNo=CSW-461433"," DNA ")</f>
      </c>
      <c r="F13" s="12">
        <f>=HYPERLINK("https://diamview.com/DNA/Image?sRefNo=CSW-461433"," Image ")</f>
      </c>
      <c r="G13" s="12">
        <f>=HYPERLINK("https://diamview.com/DNA/Vision360?d=CSW-461433&amp;sv=0,1,2,3,4&amp;z=1&amp;i=HDInfo?SeqNo=CSW-461433"," Video ")</f>
      </c>
      <c r="H13" s="11" t="s">
        <v>53</v>
      </c>
      <c r="I13" s="14" t="s">
        <v>71</v>
      </c>
      <c r="J13" s="12">
        <f>=HYPERLINK("https://diamview.com/DNA/certi?SeqNo=2437498681","GIA ")</f>
      </c>
      <c r="K13" s="11" t="s">
        <v>100</v>
      </c>
      <c r="L13" s="11" t="s">
        <v>56</v>
      </c>
      <c r="M13" s="11" t="s">
        <v>57</v>
      </c>
      <c r="N13" s="11" t="s">
        <v>58</v>
      </c>
      <c r="O13" s="11" t="s">
        <v>82</v>
      </c>
      <c r="P13" s="13">
        <v>2.03</v>
      </c>
      <c r="Q13" s="13">
        <v>10700</v>
      </c>
      <c r="R13" s="13">
        <f>=Q13*P13</f>
      </c>
      <c r="S13" s="15">
        <v>-46.1</v>
      </c>
      <c r="T13" s="16">
        <f>=U13/P13</f>
      </c>
      <c r="U13" s="15">
        <f>=R13+(R13*S13/100)</f>
      </c>
      <c r="V13" s="11" t="s">
        <v>60</v>
      </c>
      <c r="W13" s="11" t="s">
        <v>61</v>
      </c>
      <c r="X13" s="11" t="s">
        <v>61</v>
      </c>
      <c r="Y13" s="11" t="s">
        <v>62</v>
      </c>
      <c r="Z13" s="17">
        <v>9.67</v>
      </c>
      <c r="AA13" s="17">
        <v>7.13</v>
      </c>
      <c r="AB13" s="17">
        <v>4.52</v>
      </c>
      <c r="AC13" s="17">
        <v>63.4</v>
      </c>
      <c r="AD13" s="17">
        <v>61</v>
      </c>
      <c r="AE13" s="11" t="s">
        <v>77</v>
      </c>
      <c r="AF13" s="11" t="s">
        <v>64</v>
      </c>
      <c r="AG13" s="11" t="s">
        <v>84</v>
      </c>
      <c r="AH13" s="11" t="s">
        <v>66</v>
      </c>
      <c r="AI13" s="11" t="s">
        <v>84</v>
      </c>
      <c r="AJ13" s="11" t="s">
        <v>65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1" t="s">
        <v>78</v>
      </c>
      <c r="AQ13" s="11" t="s">
        <v>68</v>
      </c>
      <c r="AR13" s="11" t="s">
        <v>57</v>
      </c>
      <c r="AS13" s="11" t="s">
        <v>101</v>
      </c>
    </row>
    <row r="14">
      <c r="A14" s="11">
        <v>8</v>
      </c>
      <c r="B14" s="11" t="s">
        <v>102</v>
      </c>
      <c r="C14" s="11" t="s">
        <v>51</v>
      </c>
      <c r="D14" s="11" t="s">
        <v>52</v>
      </c>
      <c r="E14" s="12">
        <f>=HYPERLINK("https://diamview.com/DNA/Index?sRefNo=DAE-493442"," DNA ")</f>
      </c>
      <c r="F14" s="12">
        <f>=HYPERLINK("https://diamview.com/DNA/Image?sRefNo=DAE-493442"," Image ")</f>
      </c>
      <c r="G14" s="12">
        <f>=HYPERLINK("https://diamview.com/DNA/Vision360?d=DAE-493442&amp;sv=0,1,2,3,4&amp;z=1&amp;i=HDInfo?SeqNo=DAE-493442"," Video ")</f>
      </c>
      <c r="H14" s="11" t="s">
        <v>53</v>
      </c>
      <c r="I14" s="14" t="s">
        <v>103</v>
      </c>
      <c r="J14" s="12">
        <f>=HYPERLINK("https://diamview.com/DNA/certi?SeqNo=6462229033","GIA ")</f>
      </c>
      <c r="K14" s="11" t="s">
        <v>104</v>
      </c>
      <c r="L14" s="11" t="s">
        <v>56</v>
      </c>
      <c r="M14" s="11" t="s">
        <v>57</v>
      </c>
      <c r="N14" s="11" t="s">
        <v>73</v>
      </c>
      <c r="O14" s="11" t="s">
        <v>59</v>
      </c>
      <c r="P14" s="13">
        <v>1.72</v>
      </c>
      <c r="Q14" s="13">
        <v>12800</v>
      </c>
      <c r="R14" s="13">
        <f>=Q14*P14</f>
      </c>
      <c r="S14" s="15">
        <v>-27.68</v>
      </c>
      <c r="T14" s="16">
        <f>=U14/P14</f>
      </c>
      <c r="U14" s="15">
        <f>=R14+(R14*S14/100)</f>
      </c>
      <c r="V14" s="11" t="s">
        <v>60</v>
      </c>
      <c r="W14" s="11" t="s">
        <v>61</v>
      </c>
      <c r="X14" s="11" t="s">
        <v>61</v>
      </c>
      <c r="Y14" s="11" t="s">
        <v>76</v>
      </c>
      <c r="Z14" s="17">
        <v>9.53</v>
      </c>
      <c r="AA14" s="17">
        <v>6.77</v>
      </c>
      <c r="AB14" s="17">
        <v>4.25</v>
      </c>
      <c r="AC14" s="17">
        <v>62.8</v>
      </c>
      <c r="AD14" s="17">
        <v>62</v>
      </c>
      <c r="AE14" s="11" t="s">
        <v>105</v>
      </c>
      <c r="AF14" s="11" t="s">
        <v>64</v>
      </c>
      <c r="AG14" s="11" t="s">
        <v>66</v>
      </c>
      <c r="AH14" s="11" t="s">
        <v>106</v>
      </c>
      <c r="AI14" s="11" t="s">
        <v>66</v>
      </c>
      <c r="AJ14" s="11" t="s">
        <v>66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1" t="s">
        <v>78</v>
      </c>
      <c r="AQ14" s="11" t="s">
        <v>68</v>
      </c>
      <c r="AR14" s="11" t="s">
        <v>57</v>
      </c>
      <c r="AS14" s="11" t="s">
        <v>98</v>
      </c>
    </row>
    <row r="15">
      <c r="A15" s="11">
        <v>10</v>
      </c>
      <c r="B15" s="11" t="s">
        <v>107</v>
      </c>
      <c r="C15" s="11" t="s">
        <v>51</v>
      </c>
      <c r="D15" s="11" t="s">
        <v>52</v>
      </c>
      <c r="E15" s="12">
        <f>=HYPERLINK("https://diamview.com/DNA/Index?sRefNo=CYV-487211"," DNA ")</f>
      </c>
      <c r="F15" s="12">
        <f>=HYPERLINK("https://diamview.com/DNA/Image?sRefNo=CYV-487211"," Image ")</f>
      </c>
      <c r="G15" s="12">
        <f>=HYPERLINK("https://diamview.com/DNA/Vision360?d=CYV-487211&amp;sv=0,1,2,3,4&amp;z=1&amp;i=HDInfo?SeqNo=CYV-487211"," Video ")</f>
      </c>
      <c r="H15" s="11" t="s">
        <v>53</v>
      </c>
      <c r="I15" s="14" t="s">
        <v>103</v>
      </c>
      <c r="J15" s="12">
        <f>=HYPERLINK("https://diamview.com/DNA/certi?SeqNo=7451769188","GIA ")</f>
      </c>
      <c r="K15" s="11" t="s">
        <v>108</v>
      </c>
      <c r="L15" s="11" t="s">
        <v>56</v>
      </c>
      <c r="M15" s="11" t="s">
        <v>57</v>
      </c>
      <c r="N15" s="11" t="s">
        <v>73</v>
      </c>
      <c r="O15" s="11" t="s">
        <v>82</v>
      </c>
      <c r="P15" s="13">
        <v>1.51</v>
      </c>
      <c r="Q15" s="13">
        <v>10100</v>
      </c>
      <c r="R15" s="13">
        <f>=Q15*P15</f>
      </c>
      <c r="S15" s="15">
        <v>-48.06</v>
      </c>
      <c r="T15" s="16">
        <f>=U15/P15</f>
      </c>
      <c r="U15" s="15">
        <f>=R15+(R15*S15/100)</f>
      </c>
      <c r="V15" s="11" t="s">
        <v>60</v>
      </c>
      <c r="W15" s="11" t="s">
        <v>75</v>
      </c>
      <c r="X15" s="11" t="s">
        <v>75</v>
      </c>
      <c r="Y15" s="11" t="s">
        <v>62</v>
      </c>
      <c r="Z15" s="17">
        <v>8.5</v>
      </c>
      <c r="AA15" s="17">
        <v>6.54</v>
      </c>
      <c r="AB15" s="17">
        <v>4.03</v>
      </c>
      <c r="AC15" s="17">
        <v>61.6</v>
      </c>
      <c r="AD15" s="17">
        <v>62</v>
      </c>
      <c r="AE15" s="11" t="s">
        <v>109</v>
      </c>
      <c r="AF15" s="11" t="s">
        <v>64</v>
      </c>
      <c r="AG15" s="11" t="s">
        <v>84</v>
      </c>
      <c r="AH15" s="11" t="s">
        <v>65</v>
      </c>
      <c r="AI15" s="11" t="s">
        <v>84</v>
      </c>
      <c r="AJ15" s="11" t="s">
        <v>84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1" t="s">
        <v>67</v>
      </c>
      <c r="AQ15" s="11" t="s">
        <v>68</v>
      </c>
      <c r="AR15" s="11" t="s">
        <v>57</v>
      </c>
      <c r="AS15" s="11" t="s">
        <v>85</v>
      </c>
    </row>
    <row r="16">
      <c r="A16" s="11">
        <v>11</v>
      </c>
      <c r="B16" s="11" t="s">
        <v>110</v>
      </c>
      <c r="C16" s="11" t="s">
        <v>51</v>
      </c>
      <c r="D16" s="11" t="s">
        <v>52</v>
      </c>
      <c r="E16" s="12">
        <f>=HYPERLINK("https://diamview.com/DNA/Index?sRefNo=CYR-486610"," DNA ")</f>
      </c>
      <c r="F16" s="12">
        <f>=HYPERLINK("https://diamview.com/DNA/Image?sRefNo=CYR-486610"," Image ")</f>
      </c>
      <c r="G16" s="12">
        <f>=HYPERLINK("https://diamview.com/DNA/Vision360?d=CYR-486610&amp;sv=0,1,2,3,4&amp;z=1&amp;i=HDInfo?SeqNo=CYR-486610"," Video ")</f>
      </c>
      <c r="H16" s="11" t="s">
        <v>53</v>
      </c>
      <c r="I16" s="14" t="s">
        <v>103</v>
      </c>
      <c r="J16" s="12">
        <f>=HYPERLINK("https://diamview.com/DNA/certi?SeqNo=6455724528","GIA ")</f>
      </c>
      <c r="K16" s="11" t="s">
        <v>111</v>
      </c>
      <c r="L16" s="11" t="s">
        <v>56</v>
      </c>
      <c r="M16" s="11" t="s">
        <v>57</v>
      </c>
      <c r="N16" s="11" t="s">
        <v>112</v>
      </c>
      <c r="O16" s="11" t="s">
        <v>113</v>
      </c>
      <c r="P16" s="13">
        <v>1.72</v>
      </c>
      <c r="Q16" s="13">
        <v>12700</v>
      </c>
      <c r="R16" s="13">
        <f>=Q16*P16</f>
      </c>
      <c r="S16" s="15">
        <v>-22.38</v>
      </c>
      <c r="T16" s="16">
        <f>=U16/P16</f>
      </c>
      <c r="U16" s="15">
        <f>=R16+(R16*S16/100)</f>
      </c>
      <c r="V16" s="11" t="s">
        <v>60</v>
      </c>
      <c r="W16" s="11" t="s">
        <v>61</v>
      </c>
      <c r="X16" s="11" t="s">
        <v>61</v>
      </c>
      <c r="Y16" s="11" t="s">
        <v>62</v>
      </c>
      <c r="Z16" s="17">
        <v>9.7</v>
      </c>
      <c r="AA16" s="17">
        <v>6.94</v>
      </c>
      <c r="AB16" s="17">
        <v>4.19</v>
      </c>
      <c r="AC16" s="17">
        <v>60.4</v>
      </c>
      <c r="AD16" s="17">
        <v>62</v>
      </c>
      <c r="AE16" s="11" t="s">
        <v>114</v>
      </c>
      <c r="AF16" s="11" t="s">
        <v>64</v>
      </c>
      <c r="AG16" s="11" t="s">
        <v>66</v>
      </c>
      <c r="AH16" s="11" t="s">
        <v>65</v>
      </c>
      <c r="AI16" s="11" t="s">
        <v>66</v>
      </c>
      <c r="AJ16" s="11" t="s">
        <v>65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1" t="s">
        <v>115</v>
      </c>
      <c r="AQ16" s="11" t="s">
        <v>68</v>
      </c>
      <c r="AR16" s="11" t="s">
        <v>57</v>
      </c>
      <c r="AS16" s="11" t="s">
        <v>116</v>
      </c>
    </row>
    <row r="17">
      <c r="A17" s="11">
        <v>12</v>
      </c>
      <c r="B17" s="11" t="s">
        <v>117</v>
      </c>
      <c r="C17" s="11" t="s">
        <v>51</v>
      </c>
      <c r="D17" s="11" t="s">
        <v>52</v>
      </c>
      <c r="E17" s="12">
        <f>=HYPERLINK("https://diamview.com/DNA/Index?sRefNo=CZJ-489214"," DNA ")</f>
      </c>
      <c r="F17" s="12">
        <f>=HYPERLINK("https://diamview.com/DNA/Image?sRefNo=CZJ-489214"," Image ")</f>
      </c>
      <c r="G17" s="12">
        <f>=HYPERLINK("https://diamview.com/DNA/Vision360?d=CZJ-489214&amp;sv=0,1,2,3,4&amp;z=1&amp;i=HDInfo?SeqNo=CZJ-489214"," Video ")</f>
      </c>
      <c r="H17" s="11" t="s">
        <v>53</v>
      </c>
      <c r="I17" s="14" t="s">
        <v>103</v>
      </c>
      <c r="J17" s="12">
        <f>=HYPERLINK("https://diamview.com/DNA/certi?SeqNo=6451918787","GIA ")</f>
      </c>
      <c r="K17" s="11" t="s">
        <v>118</v>
      </c>
      <c r="L17" s="11" t="s">
        <v>56</v>
      </c>
      <c r="M17" s="11" t="s">
        <v>57</v>
      </c>
      <c r="N17" s="11" t="s">
        <v>112</v>
      </c>
      <c r="O17" s="11" t="s">
        <v>88</v>
      </c>
      <c r="P17" s="13">
        <v>1.5</v>
      </c>
      <c r="Q17" s="13">
        <v>7700</v>
      </c>
      <c r="R17" s="13">
        <f>=Q17*P17</f>
      </c>
      <c r="S17" s="15">
        <v>-46.2</v>
      </c>
      <c r="T17" s="16">
        <f>=U17/P17</f>
      </c>
      <c r="U17" s="15">
        <f>=R17+(R17*S17/100)</f>
      </c>
      <c r="V17" s="11" t="s">
        <v>60</v>
      </c>
      <c r="W17" s="11" t="s">
        <v>61</v>
      </c>
      <c r="X17" s="11" t="s">
        <v>61</v>
      </c>
      <c r="Y17" s="11" t="s">
        <v>76</v>
      </c>
      <c r="Z17" s="17">
        <v>9.24</v>
      </c>
      <c r="AA17" s="17">
        <v>6.35</v>
      </c>
      <c r="AB17" s="17">
        <v>3.81</v>
      </c>
      <c r="AC17" s="17">
        <v>60</v>
      </c>
      <c r="AD17" s="17">
        <v>64</v>
      </c>
      <c r="AE17" s="11" t="s">
        <v>119</v>
      </c>
      <c r="AF17" s="11" t="s">
        <v>64</v>
      </c>
      <c r="AG17" s="11" t="s">
        <v>84</v>
      </c>
      <c r="AH17" s="11" t="s">
        <v>84</v>
      </c>
      <c r="AI17" s="11" t="s">
        <v>84</v>
      </c>
      <c r="AJ17" s="11" t="s">
        <v>84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1" t="s">
        <v>120</v>
      </c>
      <c r="AQ17" s="11" t="s">
        <v>68</v>
      </c>
      <c r="AR17" s="11" t="s">
        <v>57</v>
      </c>
      <c r="AS17" s="11" t="s">
        <v>85</v>
      </c>
    </row>
    <row r="18">
      <c r="A18" s="11">
        <v>13</v>
      </c>
      <c r="B18" s="11" t="s">
        <v>121</v>
      </c>
      <c r="C18" s="11" t="s">
        <v>51</v>
      </c>
      <c r="D18" s="11" t="s">
        <v>122</v>
      </c>
      <c r="E18" s="12">
        <f>=HYPERLINK("https://diamview.com/DNA/Index?sRefNo=DBE-498615"," DNA ")</f>
      </c>
      <c r="F18" s="12">
        <f>=HYPERLINK("https://diamview.com/DNA/Image?sRefNo=DBE-498615"," Image ")</f>
      </c>
      <c r="G18" s="12">
        <f>=HYPERLINK("https://diamview.com/DNA/Vision360?d=DBE-498615&amp;sv=0,1,2,3,4&amp;z=1&amp;i=HDInfo?SeqNo=DBE-498615"," Video ")</f>
      </c>
      <c r="H18" s="11" t="s">
        <v>53</v>
      </c>
      <c r="I18" s="14" t="s">
        <v>103</v>
      </c>
      <c r="J18" s="12">
        <f>=HYPERLINK("https://diamview.com/DNA/certi?SeqNo=2466577002","GIA ")</f>
      </c>
      <c r="K18" s="11" t="s">
        <v>123</v>
      </c>
      <c r="L18" s="11" t="s">
        <v>56</v>
      </c>
      <c r="M18" s="11" t="s">
        <v>57</v>
      </c>
      <c r="N18" s="11" t="s">
        <v>92</v>
      </c>
      <c r="O18" s="11" t="s">
        <v>113</v>
      </c>
      <c r="P18" s="13">
        <v>1.5</v>
      </c>
      <c r="Q18" s="13">
        <v>11700</v>
      </c>
      <c r="R18" s="13">
        <f>=Q18*P18</f>
      </c>
      <c r="S18" s="15">
        <v>-38.16</v>
      </c>
      <c r="T18" s="16">
        <f>=U18/P18</f>
      </c>
      <c r="U18" s="15">
        <f>=R18+(R18*S18/100)</f>
      </c>
      <c r="V18" s="11" t="s">
        <v>60</v>
      </c>
      <c r="W18" s="11" t="s">
        <v>61</v>
      </c>
      <c r="X18" s="11" t="s">
        <v>61</v>
      </c>
      <c r="Y18" s="11" t="s">
        <v>76</v>
      </c>
      <c r="Z18" s="17">
        <v>8.94</v>
      </c>
      <c r="AA18" s="17">
        <v>6.41</v>
      </c>
      <c r="AB18" s="17">
        <v>4.06</v>
      </c>
      <c r="AC18" s="17">
        <v>63.4</v>
      </c>
      <c r="AD18" s="17">
        <v>61</v>
      </c>
      <c r="AE18" s="11" t="s">
        <v>124</v>
      </c>
      <c r="AF18" s="11" t="s">
        <v>64</v>
      </c>
      <c r="AG18" s="11" t="s">
        <v>65</v>
      </c>
      <c r="AH18" s="11" t="s">
        <v>65</v>
      </c>
      <c r="AI18" s="11" t="s">
        <v>106</v>
      </c>
      <c r="AJ18" s="11" t="s">
        <v>65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1" t="s">
        <v>78</v>
      </c>
      <c r="AQ18" s="11" t="s">
        <v>68</v>
      </c>
      <c r="AR18" s="11" t="s">
        <v>57</v>
      </c>
      <c r="AS18" s="11" t="s">
        <v>125</v>
      </c>
    </row>
    <row r="19">
      <c r="A19" s="11">
        <v>14</v>
      </c>
      <c r="B19" s="11" t="s">
        <v>126</v>
      </c>
      <c r="C19" s="11" t="s">
        <v>51</v>
      </c>
      <c r="D19" s="11" t="s">
        <v>52</v>
      </c>
      <c r="E19" s="12">
        <f>=HYPERLINK("https://diamview.com/DNA/Index?sRefNo=DAD-493200"," DNA ")</f>
      </c>
      <c r="F19" s="12">
        <f>=HYPERLINK("https://diamview.com/DNA/Image?sRefNo=DAD-493200"," Image ")</f>
      </c>
      <c r="G19" s="12">
        <f>=HYPERLINK("https://diamview.com/DNA/Vision360?d=DAD-493200&amp;sv=0,1,2,3,4&amp;z=1&amp;i=HDInfo?SeqNo=DAD-493200"," Video ")</f>
      </c>
      <c r="H19" s="11" t="s">
        <v>53</v>
      </c>
      <c r="I19" s="14" t="s">
        <v>103</v>
      </c>
      <c r="J19" s="12">
        <f>=HYPERLINK("https://diamview.com/DNA/certi?SeqNo=1468213418","GIA ")</f>
      </c>
      <c r="K19" s="11" t="s">
        <v>127</v>
      </c>
      <c r="L19" s="11" t="s">
        <v>56</v>
      </c>
      <c r="M19" s="11" t="s">
        <v>57</v>
      </c>
      <c r="N19" s="11" t="s">
        <v>92</v>
      </c>
      <c r="O19" s="11" t="s">
        <v>74</v>
      </c>
      <c r="P19" s="13">
        <v>1.7</v>
      </c>
      <c r="Q19" s="13">
        <v>10100</v>
      </c>
      <c r="R19" s="13">
        <f>=Q19*P19</f>
      </c>
      <c r="S19" s="15">
        <v>-28.07</v>
      </c>
      <c r="T19" s="16">
        <f>=U19/P19</f>
      </c>
      <c r="U19" s="15">
        <f>=R19+(R19*S19/100)</f>
      </c>
      <c r="V19" s="11" t="s">
        <v>60</v>
      </c>
      <c r="W19" s="11" t="s">
        <v>61</v>
      </c>
      <c r="X19" s="11" t="s">
        <v>61</v>
      </c>
      <c r="Y19" s="11" t="s">
        <v>62</v>
      </c>
      <c r="Z19" s="17">
        <v>8.84</v>
      </c>
      <c r="AA19" s="17">
        <v>6.63</v>
      </c>
      <c r="AB19" s="17">
        <v>4.37</v>
      </c>
      <c r="AC19" s="17">
        <v>65.9</v>
      </c>
      <c r="AD19" s="17">
        <v>59</v>
      </c>
      <c r="AE19" s="11" t="s">
        <v>128</v>
      </c>
      <c r="AF19" s="11" t="s">
        <v>64</v>
      </c>
      <c r="AG19" s="11" t="s">
        <v>66</v>
      </c>
      <c r="AH19" s="11" t="s">
        <v>65</v>
      </c>
      <c r="AI19" s="11" t="s">
        <v>65</v>
      </c>
      <c r="AJ19" s="11" t="s">
        <v>66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1" t="s">
        <v>129</v>
      </c>
      <c r="AQ19" s="11" t="s">
        <v>68</v>
      </c>
      <c r="AR19" s="11" t="s">
        <v>57</v>
      </c>
      <c r="AS19" s="11" t="s">
        <v>130</v>
      </c>
    </row>
    <row r="20">
      <c r="A20" s="11">
        <v>15</v>
      </c>
      <c r="B20" s="11" t="s">
        <v>131</v>
      </c>
      <c r="C20" s="11" t="s">
        <v>51</v>
      </c>
      <c r="D20" s="11" t="s">
        <v>52</v>
      </c>
      <c r="E20" s="12">
        <f>=HYPERLINK("https://diamview.com/DNA/Index?sRefNo=CZW-491614"," DNA ")</f>
      </c>
      <c r="F20" s="12">
        <f>=HYPERLINK("https://diamview.com/DNA/Image?sRefNo=CZW-491614"," Image ")</f>
      </c>
      <c r="G20" s="12">
        <f>=HYPERLINK("https://diamview.com/DNA/Vision360?d=CZW-491614&amp;sv=0,1,2,3,4&amp;z=1&amp;i=HDInfo?SeqNo=CZW-491614"," Video ")</f>
      </c>
      <c r="H20" s="11" t="s">
        <v>53</v>
      </c>
      <c r="I20" s="14" t="s">
        <v>103</v>
      </c>
      <c r="J20" s="12">
        <f>=HYPERLINK("https://diamview.com/DNA/certi?SeqNo=6461109200","GIA ")</f>
      </c>
      <c r="K20" s="11" t="s">
        <v>132</v>
      </c>
      <c r="L20" s="11" t="s">
        <v>56</v>
      </c>
      <c r="M20" s="11" t="s">
        <v>57</v>
      </c>
      <c r="N20" s="11" t="s">
        <v>92</v>
      </c>
      <c r="O20" s="11" t="s">
        <v>82</v>
      </c>
      <c r="P20" s="13">
        <v>1.51</v>
      </c>
      <c r="Q20" s="13">
        <v>8900</v>
      </c>
      <c r="R20" s="13">
        <f>=Q20*P20</f>
      </c>
      <c r="S20" s="15">
        <v>-46.1</v>
      </c>
      <c r="T20" s="16">
        <f>=U20/P20</f>
      </c>
      <c r="U20" s="15">
        <f>=R20+(R20*S20/100)</f>
      </c>
      <c r="V20" s="11" t="s">
        <v>60</v>
      </c>
      <c r="W20" s="11" t="s">
        <v>61</v>
      </c>
      <c r="X20" s="11" t="s">
        <v>75</v>
      </c>
      <c r="Y20" s="11" t="s">
        <v>62</v>
      </c>
      <c r="Z20" s="17">
        <v>8.53</v>
      </c>
      <c r="AA20" s="17">
        <v>6.39</v>
      </c>
      <c r="AB20" s="17">
        <v>4.21</v>
      </c>
      <c r="AC20" s="17">
        <v>65.9</v>
      </c>
      <c r="AD20" s="17">
        <v>62</v>
      </c>
      <c r="AE20" s="11" t="s">
        <v>133</v>
      </c>
      <c r="AF20" s="11" t="s">
        <v>64</v>
      </c>
      <c r="AG20" s="11" t="s">
        <v>84</v>
      </c>
      <c r="AH20" s="11" t="s">
        <v>66</v>
      </c>
      <c r="AI20" s="11" t="s">
        <v>66</v>
      </c>
      <c r="AJ20" s="11" t="s">
        <v>66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1" t="s">
        <v>134</v>
      </c>
      <c r="AQ20" s="11" t="s">
        <v>68</v>
      </c>
      <c r="AR20" s="11" t="s">
        <v>57</v>
      </c>
      <c r="AS20" s="11" t="s">
        <v>85</v>
      </c>
    </row>
    <row r="21">
      <c r="A21" s="11">
        <v>16</v>
      </c>
      <c r="B21" s="11" t="s">
        <v>135</v>
      </c>
      <c r="C21" s="11" t="s">
        <v>51</v>
      </c>
      <c r="D21" s="11" t="s">
        <v>52</v>
      </c>
      <c r="E21" s="12">
        <f>=HYPERLINK("https://diamview.com/DNA/Index?sRefNo=CYD-484517"," DNA ")</f>
      </c>
      <c r="F21" s="12">
        <f>=HYPERLINK("https://diamview.com/DNA/Image?sRefNo=CYD-484517"," Image ")</f>
      </c>
      <c r="G21" s="12">
        <f>=HYPERLINK("https://diamview.com/DNA/Vision360?d=CYD-484517&amp;sv=0,1,2,3,4&amp;z=1&amp;i=HDInfo?SeqNo=CYD-484517"," Video ")</f>
      </c>
      <c r="H21" s="11" t="s">
        <v>53</v>
      </c>
      <c r="I21" s="14" t="s">
        <v>103</v>
      </c>
      <c r="J21" s="12">
        <f>=HYPERLINK("https://diamview.com/DNA/certi?SeqNo=7456557367","GIA ")</f>
      </c>
      <c r="K21" s="11" t="s">
        <v>136</v>
      </c>
      <c r="L21" s="11" t="s">
        <v>56</v>
      </c>
      <c r="M21" s="11" t="s">
        <v>57</v>
      </c>
      <c r="N21" s="11" t="s">
        <v>92</v>
      </c>
      <c r="O21" s="11" t="s">
        <v>88</v>
      </c>
      <c r="P21" s="13">
        <v>1.51</v>
      </c>
      <c r="Q21" s="13">
        <v>7300</v>
      </c>
      <c r="R21" s="13">
        <f>=Q21*P21</f>
      </c>
      <c r="S21" s="15">
        <v>-53.45</v>
      </c>
      <c r="T21" s="16">
        <f>=U21/P21</f>
      </c>
      <c r="U21" s="15">
        <f>=R21+(R21*S21/100)</f>
      </c>
      <c r="V21" s="11" t="s">
        <v>60</v>
      </c>
      <c r="W21" s="11" t="s">
        <v>61</v>
      </c>
      <c r="X21" s="11" t="s">
        <v>75</v>
      </c>
      <c r="Y21" s="11" t="s">
        <v>62</v>
      </c>
      <c r="Z21" s="17">
        <v>8.49</v>
      </c>
      <c r="AA21" s="17">
        <v>6.52</v>
      </c>
      <c r="AB21" s="17">
        <v>4.23</v>
      </c>
      <c r="AC21" s="17">
        <v>64.8</v>
      </c>
      <c r="AD21" s="17">
        <v>61</v>
      </c>
      <c r="AE21" s="11" t="s">
        <v>77</v>
      </c>
      <c r="AF21" s="11" t="s">
        <v>64</v>
      </c>
      <c r="AG21" s="11" t="s">
        <v>84</v>
      </c>
      <c r="AH21" s="11" t="s">
        <v>66</v>
      </c>
      <c r="AI21" s="11" t="s">
        <v>84</v>
      </c>
      <c r="AJ21" s="11" t="s">
        <v>66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1" t="s">
        <v>67</v>
      </c>
      <c r="AQ21" s="11" t="s">
        <v>68</v>
      </c>
      <c r="AR21" s="11" t="s">
        <v>57</v>
      </c>
      <c r="AS21" s="11" t="s">
        <v>98</v>
      </c>
    </row>
    <row r="22">
      <c r="A22" s="11">
        <v>17</v>
      </c>
      <c r="B22" s="11" t="s">
        <v>137</v>
      </c>
      <c r="C22" s="11" t="s">
        <v>51</v>
      </c>
      <c r="D22" s="11" t="s">
        <v>52</v>
      </c>
      <c r="E22" s="12">
        <f>=HYPERLINK("https://diamview.com/DNA/Index?sRefNo=CZI-488937"," DNA ")</f>
      </c>
      <c r="F22" s="12">
        <f>=HYPERLINK("https://diamview.com/DNA/Image?sRefNo=CZI-488937"," Image ")</f>
      </c>
      <c r="G22" s="12">
        <f>=HYPERLINK("https://diamview.com/DNA/Vision360?d=CZI-488937&amp;sv=0,1,2,3,4&amp;z=1&amp;i=HDInfo?SeqNo=CZI-488937"," Video ")</f>
      </c>
      <c r="H22" s="11" t="s">
        <v>53</v>
      </c>
      <c r="I22" s="14" t="s">
        <v>103</v>
      </c>
      <c r="J22" s="12">
        <f>=HYPERLINK("https://diamview.com/DNA/certi?SeqNo=6455910026","GIA ")</f>
      </c>
      <c r="K22" s="11" t="s">
        <v>138</v>
      </c>
      <c r="L22" s="11" t="s">
        <v>56</v>
      </c>
      <c r="M22" s="11" t="s">
        <v>57</v>
      </c>
      <c r="N22" s="11" t="s">
        <v>58</v>
      </c>
      <c r="O22" s="11" t="s">
        <v>74</v>
      </c>
      <c r="P22" s="13">
        <v>1.66</v>
      </c>
      <c r="Q22" s="13">
        <v>8800</v>
      </c>
      <c r="R22" s="13">
        <f>=Q22*P22</f>
      </c>
      <c r="S22" s="15">
        <v>-33.75</v>
      </c>
      <c r="T22" s="16">
        <f>=U22/P22</f>
      </c>
      <c r="U22" s="15">
        <f>=R22+(R22*S22/100)</f>
      </c>
      <c r="V22" s="11" t="s">
        <v>60</v>
      </c>
      <c r="W22" s="11" t="s">
        <v>61</v>
      </c>
      <c r="X22" s="11" t="s">
        <v>61</v>
      </c>
      <c r="Y22" s="11" t="s">
        <v>76</v>
      </c>
      <c r="Z22" s="17">
        <v>9.18</v>
      </c>
      <c r="AA22" s="17">
        <v>6.78</v>
      </c>
      <c r="AB22" s="17">
        <v>4.24</v>
      </c>
      <c r="AC22" s="17">
        <v>62.6</v>
      </c>
      <c r="AD22" s="17">
        <v>61</v>
      </c>
      <c r="AE22" s="11" t="s">
        <v>139</v>
      </c>
      <c r="AF22" s="11" t="s">
        <v>64</v>
      </c>
      <c r="AG22" s="11" t="s">
        <v>65</v>
      </c>
      <c r="AH22" s="11" t="s">
        <v>65</v>
      </c>
      <c r="AI22" s="11" t="s">
        <v>84</v>
      </c>
      <c r="AJ22" s="11" t="s">
        <v>66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1" t="s">
        <v>140</v>
      </c>
      <c r="AQ22" s="11" t="s">
        <v>68</v>
      </c>
      <c r="AR22" s="11" t="s">
        <v>57</v>
      </c>
      <c r="AS22" s="11" t="s">
        <v>141</v>
      </c>
    </row>
    <row r="23">
      <c r="A23" s="11">
        <v>18</v>
      </c>
      <c r="B23" s="11" t="s">
        <v>142</v>
      </c>
      <c r="C23" s="11" t="s">
        <v>51</v>
      </c>
      <c r="D23" s="11" t="s">
        <v>52</v>
      </c>
      <c r="E23" s="12">
        <f>=HYPERLINK("https://diamview.com/DNA/Index?sRefNo=CZC-488202"," DNA ")</f>
      </c>
      <c r="F23" s="12">
        <f>=HYPERLINK("https://diamview.com/DNA/Image?sRefNo=CZC-488202"," Image ")</f>
      </c>
      <c r="G23" s="12">
        <f>=HYPERLINK("https://diamview.com/DNA/Vision360?d=CZC-488202&amp;sv=0,1,2,3,4&amp;z=1&amp;i=HDInfo?SeqNo=CZC-488202"," Video ")</f>
      </c>
      <c r="H23" s="11" t="s">
        <v>53</v>
      </c>
      <c r="I23" s="14" t="s">
        <v>103</v>
      </c>
      <c r="J23" s="12">
        <f>=HYPERLINK("https://diamview.com/DNA/certi?SeqNo=5456866093","GIA ")</f>
      </c>
      <c r="K23" s="11" t="s">
        <v>143</v>
      </c>
      <c r="L23" s="11" t="s">
        <v>56</v>
      </c>
      <c r="M23" s="11" t="s">
        <v>57</v>
      </c>
      <c r="N23" s="11" t="s">
        <v>58</v>
      </c>
      <c r="O23" s="11" t="s">
        <v>88</v>
      </c>
      <c r="P23" s="13">
        <v>1.5</v>
      </c>
      <c r="Q23" s="13">
        <v>6900</v>
      </c>
      <c r="R23" s="13">
        <f>=Q23*P23</f>
      </c>
      <c r="S23" s="15">
        <v>-49.73</v>
      </c>
      <c r="T23" s="16">
        <f>=U23/P23</f>
      </c>
      <c r="U23" s="15">
        <f>=R23+(R23*S23/100)</f>
      </c>
      <c r="V23" s="11" t="s">
        <v>60</v>
      </c>
      <c r="W23" s="11" t="s">
        <v>61</v>
      </c>
      <c r="X23" s="11" t="s">
        <v>75</v>
      </c>
      <c r="Y23" s="11" t="s">
        <v>76</v>
      </c>
      <c r="Z23" s="17">
        <v>8.32</v>
      </c>
      <c r="AA23" s="17">
        <v>6.26</v>
      </c>
      <c r="AB23" s="17">
        <v>4.13</v>
      </c>
      <c r="AC23" s="17">
        <v>65.9</v>
      </c>
      <c r="AD23" s="17">
        <v>63</v>
      </c>
      <c r="AE23" s="11" t="s">
        <v>144</v>
      </c>
      <c r="AF23" s="11" t="s">
        <v>64</v>
      </c>
      <c r="AG23" s="11" t="s">
        <v>84</v>
      </c>
      <c r="AH23" s="11" t="s">
        <v>66</v>
      </c>
      <c r="AI23" s="11" t="s">
        <v>84</v>
      </c>
      <c r="AJ23" s="11" t="s">
        <v>84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1" t="s">
        <v>129</v>
      </c>
      <c r="AQ23" s="11" t="s">
        <v>68</v>
      </c>
      <c r="AR23" s="11" t="s">
        <v>57</v>
      </c>
      <c r="AS23" s="11" t="s">
        <v>85</v>
      </c>
    </row>
    <row r="24">
      <c r="A24" s="11">
        <v>19</v>
      </c>
      <c r="B24" s="11" t="s">
        <v>145</v>
      </c>
      <c r="C24" s="11" t="s">
        <v>51</v>
      </c>
      <c r="D24" s="11" t="s">
        <v>122</v>
      </c>
      <c r="E24" s="12">
        <f>=HYPERLINK("https://diamview.com/DNA/Index?sRefNo=DBJ-499358"," DNA ")</f>
      </c>
      <c r="F24" s="12">
        <f>=HYPERLINK("https://diamview.com/DNA/Image?sRefNo=DBJ-499358"," Image ")</f>
      </c>
      <c r="G24" s="12">
        <f>=HYPERLINK("https://diamview.com/DNA/Vision360?d=DBJ-499358&amp;sv=0,1,2,3,4&amp;z=1&amp;i=HDInfo?SeqNo=DBJ-499358"," Video ")</f>
      </c>
      <c r="H24" s="11" t="s">
        <v>53</v>
      </c>
      <c r="I24" s="14" t="s">
        <v>103</v>
      </c>
      <c r="J24" s="12">
        <f>=HYPERLINK("https://diamview.com/DNA/certi?SeqNo=6462826213","GIA ")</f>
      </c>
      <c r="K24" s="11" t="s">
        <v>146</v>
      </c>
      <c r="L24" s="11" t="s">
        <v>56</v>
      </c>
      <c r="M24" s="11" t="s">
        <v>57</v>
      </c>
      <c r="N24" s="11" t="s">
        <v>58</v>
      </c>
      <c r="O24" s="11" t="s">
        <v>88</v>
      </c>
      <c r="P24" s="13">
        <v>1.52</v>
      </c>
      <c r="Q24" s="13">
        <v>6900</v>
      </c>
      <c r="R24" s="13">
        <f>=Q24*P24</f>
      </c>
      <c r="S24" s="15">
        <v>-39.24</v>
      </c>
      <c r="T24" s="16">
        <f>=U24/P24</f>
      </c>
      <c r="U24" s="15">
        <f>=R24+(R24*S24/100)</f>
      </c>
      <c r="V24" s="11" t="s">
        <v>60</v>
      </c>
      <c r="W24" s="11" t="s">
        <v>61</v>
      </c>
      <c r="X24" s="11" t="s">
        <v>75</v>
      </c>
      <c r="Y24" s="11" t="s">
        <v>62</v>
      </c>
      <c r="Z24" s="17">
        <v>8.89</v>
      </c>
      <c r="AA24" s="17">
        <v>6.59</v>
      </c>
      <c r="AB24" s="17">
        <v>4.1</v>
      </c>
      <c r="AC24" s="17">
        <v>62.1</v>
      </c>
      <c r="AD24" s="17">
        <v>63</v>
      </c>
      <c r="AE24" s="11" t="s">
        <v>147</v>
      </c>
      <c r="AF24" s="11" t="s">
        <v>64</v>
      </c>
      <c r="AG24" s="11" t="s">
        <v>66</v>
      </c>
      <c r="AH24" s="11" t="s">
        <v>66</v>
      </c>
      <c r="AI24" s="11" t="s">
        <v>84</v>
      </c>
      <c r="AJ24" s="11" t="s">
        <v>84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1" t="s">
        <v>78</v>
      </c>
      <c r="AQ24" s="11" t="s">
        <v>68</v>
      </c>
      <c r="AR24" s="11" t="s">
        <v>57</v>
      </c>
      <c r="AS24" s="11" t="s">
        <v>148</v>
      </c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</sheetData>
  <autoFilter ref="A6:AS6"/>
  <headerFooter/>
  <ignoredErrors>
    <ignoredError sqref="A1:CV25" numberStoredAsText="1"/>
  </ignoredErrors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SHAIRU GEMS DIAMOND</dc:creator>
  <dc:title>SHAIRU GEMS DIAMOND PVT. LTD.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