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iamonds" state="visible" r:id="rId4"/>
  </sheets>
  <calcPr calcId="171027"/>
</workbook>
</file>

<file path=xl/sharedStrings.xml><?xml version="1.0" encoding="utf-8"?>
<sst xmlns="http://schemas.openxmlformats.org/spreadsheetml/2006/main" count="938" uniqueCount="196">
  <si>
    <t/>
  </si>
  <si>
    <t>PCS</t>
  </si>
  <si>
    <t>Carat</t>
  </si>
  <si>
    <t>Rap.($)</t>
  </si>
  <si>
    <t xml:space="preserve"> Disc %</t>
  </si>
  <si>
    <t xml:space="preserve"> Price/ct</t>
  </si>
  <si>
    <t>Amount</t>
  </si>
  <si>
    <t>Rap Avg</t>
  </si>
  <si>
    <t>TOTAL</t>
  </si>
  <si>
    <t>SELECTED</t>
  </si>
  <si>
    <t>SrNo</t>
  </si>
  <si>
    <t>Packet No</t>
  </si>
  <si>
    <t>DNA</t>
  </si>
  <si>
    <t>Shape</t>
  </si>
  <si>
    <t>Color</t>
  </si>
  <si>
    <t>Clarity</t>
  </si>
  <si>
    <t xml:space="preserve">Cut </t>
  </si>
  <si>
    <t xml:space="preserve"> Pol</t>
  </si>
  <si>
    <t>Sym</t>
  </si>
  <si>
    <t>Fls</t>
  </si>
  <si>
    <t>Measurement</t>
  </si>
  <si>
    <t>Ratio</t>
  </si>
  <si>
    <t>Depth%</t>
  </si>
  <si>
    <t>Table%</t>
  </si>
  <si>
    <t>Lab</t>
  </si>
  <si>
    <t>Report No</t>
  </si>
  <si>
    <t>Comments</t>
  </si>
  <si>
    <t>Key To Symbols</t>
  </si>
  <si>
    <t>TI</t>
  </si>
  <si>
    <t>Shade</t>
  </si>
  <si>
    <t>SI</t>
  </si>
  <si>
    <t>TB</t>
  </si>
  <si>
    <t>SB</t>
  </si>
  <si>
    <t>TO</t>
  </si>
  <si>
    <t>SO</t>
  </si>
  <si>
    <t>21058-2</t>
  </si>
  <si>
    <t>OV</t>
  </si>
  <si>
    <t>D</t>
  </si>
  <si>
    <t>VVS2</t>
  </si>
  <si>
    <t>-</t>
  </si>
  <si>
    <t>EX</t>
  </si>
  <si>
    <t>FNT</t>
  </si>
  <si>
    <t>11.78*8.19*5.01</t>
  </si>
  <si>
    <t>GIA</t>
  </si>
  <si>
    <t>Pinpoint  Feather</t>
  </si>
  <si>
    <t>NON</t>
  </si>
  <si>
    <t>FR1</t>
  </si>
  <si>
    <t>NONE</t>
  </si>
  <si>
    <t>21136-1</t>
  </si>
  <si>
    <t>12.44*8.01*4.85</t>
  </si>
  <si>
    <t>Needle  Pinpoint  Feather  Cloud</t>
  </si>
  <si>
    <t>SPR1</t>
  </si>
  <si>
    <t xml:space="preserve">PINPOINT </t>
  </si>
  <si>
    <t>21108-111</t>
  </si>
  <si>
    <t>E</t>
  </si>
  <si>
    <t>9.24*6.69*4.24</t>
  </si>
  <si>
    <t>Pinpoint</t>
  </si>
  <si>
    <t>PP1</t>
  </si>
  <si>
    <t>22011-6</t>
  </si>
  <si>
    <t>G</t>
  </si>
  <si>
    <t>9.41*6.75*3.91</t>
  </si>
  <si>
    <t>Needle  Pinpoint</t>
  </si>
  <si>
    <t>PIN POINT BLACK</t>
  </si>
  <si>
    <t>21109-44</t>
  </si>
  <si>
    <t>11.05*8.02*4.95</t>
  </si>
  <si>
    <t>Needle  Feather  Pinpoint</t>
  </si>
  <si>
    <t>21108-88</t>
  </si>
  <si>
    <t>H</t>
  </si>
  <si>
    <t>8.84*6.4*4.05</t>
  </si>
  <si>
    <t>Needle  Cloud  Feather  Natural</t>
  </si>
  <si>
    <t>21082-17</t>
  </si>
  <si>
    <t>I</t>
  </si>
  <si>
    <t>10.19*6.66*4.16</t>
  </si>
  <si>
    <t>Needle  Pinpoint  Indented Natural  Natural</t>
  </si>
  <si>
    <t>21077-7</t>
  </si>
  <si>
    <t>VS1</t>
  </si>
  <si>
    <t>VG</t>
  </si>
  <si>
    <t>11.23*8.07*5.1</t>
  </si>
  <si>
    <t>Crystal  Feather  Cloud  Needle  Indented Natural</t>
  </si>
  <si>
    <t>CRL1</t>
  </si>
  <si>
    <t>MINOR BLACK</t>
  </si>
  <si>
    <t>21098-36</t>
  </si>
  <si>
    <t>8.85*6.41*4.07</t>
  </si>
  <si>
    <t>Crystal  Needle  Pinpoint</t>
  </si>
  <si>
    <t>21081-13</t>
  </si>
  <si>
    <t>10.97*7.22*4.22</t>
  </si>
  <si>
    <t>Crystal  Pinpoint</t>
  </si>
  <si>
    <t>21031-40</t>
  </si>
  <si>
    <t>F</t>
  </si>
  <si>
    <t>9.91*7.18*4.51</t>
  </si>
  <si>
    <t>Cloud  Crystal  Feather  Natural</t>
  </si>
  <si>
    <t xml:space="preserve">HAIR LINE </t>
  </si>
  <si>
    <t>22002-93</t>
  </si>
  <si>
    <t>10.01*7.25*4.52</t>
  </si>
  <si>
    <t>Crystal  Cloud  Needle</t>
  </si>
  <si>
    <t>21031-16</t>
  </si>
  <si>
    <t>9.74*7.06*4.46</t>
  </si>
  <si>
    <t>Cloud  Pinpoint  Needle  Natural</t>
  </si>
  <si>
    <t>22002-32</t>
  </si>
  <si>
    <t>10.01*6.5*3.87</t>
  </si>
  <si>
    <t>Cloud  Crystal  Feather  Indented Natural  Needle</t>
  </si>
  <si>
    <t>21072-38</t>
  </si>
  <si>
    <t>9.21*6.68*4.21</t>
  </si>
  <si>
    <t>Feather  Needle  Cloud  Pinpoint</t>
  </si>
  <si>
    <t>21114-35</t>
  </si>
  <si>
    <t>9.41*6.79*4.3</t>
  </si>
  <si>
    <t>Crystal  Needle  Cloud  Pinpoint</t>
  </si>
  <si>
    <t>21139-13</t>
  </si>
  <si>
    <t>10.48*7.58*4.8</t>
  </si>
  <si>
    <t>Feather  Cloud  Needle  Natural</t>
  </si>
  <si>
    <t>21098-56</t>
  </si>
  <si>
    <t>VS2</t>
  </si>
  <si>
    <t>9.1*6.43*4.03</t>
  </si>
  <si>
    <t>Crystal</t>
  </si>
  <si>
    <t>21106-90</t>
  </si>
  <si>
    <t>9.22*6.68*4.23</t>
  </si>
  <si>
    <t>Crystal  Needle</t>
  </si>
  <si>
    <t>21130-49</t>
  </si>
  <si>
    <t>9.74*7.06*4.47</t>
  </si>
  <si>
    <t>Crystal  Needle  Indented Natural  Natural</t>
  </si>
  <si>
    <t xml:space="preserve">SMALL </t>
  </si>
  <si>
    <t>21027-73</t>
  </si>
  <si>
    <t>10*7.25*4.4</t>
  </si>
  <si>
    <t>Crystal  Feather  Pinpoint</t>
  </si>
  <si>
    <t>21040-34</t>
  </si>
  <si>
    <t>9.79*7.11*4.4</t>
  </si>
  <si>
    <t>Crystal  Feather  Needle  Indented Natural</t>
  </si>
  <si>
    <t>21107-1</t>
  </si>
  <si>
    <t>11.87*8.04*4.98</t>
  </si>
  <si>
    <t>21027-101</t>
  </si>
  <si>
    <t>9.72*7.04*4.47</t>
  </si>
  <si>
    <t>Crystal  Feather  Indented Natural  Needle</t>
  </si>
  <si>
    <t>21072-12</t>
  </si>
  <si>
    <t>8.89*6.44*4.05</t>
  </si>
  <si>
    <t>Feather  Pinpoint</t>
  </si>
  <si>
    <t>11237-18</t>
  </si>
  <si>
    <t>9.18*6.64*3.67</t>
  </si>
  <si>
    <t>21106-68</t>
  </si>
  <si>
    <t>9.74*7.06*4.49</t>
  </si>
  <si>
    <t>21077-22</t>
  </si>
  <si>
    <t>SI1</t>
  </si>
  <si>
    <t>11.32*7.99*5.06</t>
  </si>
  <si>
    <t>Crystal  Feather</t>
  </si>
  <si>
    <t>22018-78</t>
  </si>
  <si>
    <t>9.02*6.54*4.15</t>
  </si>
  <si>
    <t>Crystal  Feather  Needle</t>
  </si>
  <si>
    <t>21058-14</t>
  </si>
  <si>
    <t>9.2*6.66*4.23</t>
  </si>
  <si>
    <t>Feather  Crystal  Needle</t>
  </si>
  <si>
    <t>21058-11</t>
  </si>
  <si>
    <t>10.01*7.16*4.43</t>
  </si>
  <si>
    <t>21040-25</t>
  </si>
  <si>
    <t>9.87*7.16*4.54</t>
  </si>
  <si>
    <t>Feather  Cloud  Pinpoint</t>
  </si>
  <si>
    <t>21027-100</t>
  </si>
  <si>
    <t>10.22*6.96*4.36</t>
  </si>
  <si>
    <t>Feather  Crystal  Cloud  Needle  Natural</t>
  </si>
  <si>
    <t>21078-11</t>
  </si>
  <si>
    <t>11.11*8.05*5.13</t>
  </si>
  <si>
    <t>MEDIUM BLACK</t>
  </si>
  <si>
    <t>21072-9</t>
  </si>
  <si>
    <t>9.81*7.05*4.42</t>
  </si>
  <si>
    <t>Feather  Needle  Pinpoint  Indented Natural</t>
  </si>
  <si>
    <t>FR2</t>
  </si>
  <si>
    <t>22018-50</t>
  </si>
  <si>
    <t>8.85*6.42*4.06</t>
  </si>
  <si>
    <t>Cloud  Crystal  Feather  Needle  Natural</t>
  </si>
  <si>
    <t>21109-41</t>
  </si>
  <si>
    <t>SI2</t>
  </si>
  <si>
    <t>9.4*6.78*4.25</t>
  </si>
  <si>
    <t>Crystal  Feather  Needle  Cloud  Indented Natural  Natural</t>
  </si>
  <si>
    <t>21001-122</t>
  </si>
  <si>
    <t>10.41*7.08*4.26</t>
  </si>
  <si>
    <t>22001-52</t>
  </si>
  <si>
    <t>10.28*7.46*4.59</t>
  </si>
  <si>
    <t>Crystal  Feather  Needle  Natural</t>
  </si>
  <si>
    <t>CRL2</t>
  </si>
  <si>
    <t>21001-116</t>
  </si>
  <si>
    <t>9.36*6.8*4.29</t>
  </si>
  <si>
    <t>21027-63</t>
  </si>
  <si>
    <t>9.9*7.18*4.54</t>
  </si>
  <si>
    <t>Crystal  Cloud  Feather  Needle</t>
  </si>
  <si>
    <t>21027-56</t>
  </si>
  <si>
    <t>9.05*6.56*3.99</t>
  </si>
  <si>
    <t>21077-36</t>
  </si>
  <si>
    <t>MED</t>
  </si>
  <si>
    <t>10.13*7.29*4.62</t>
  </si>
  <si>
    <t>Twinning Wisp  Crystal  Feather  Needle  Indented Natural</t>
  </si>
  <si>
    <t>22018-42</t>
  </si>
  <si>
    <t>9.73*6.57*4.07</t>
  </si>
  <si>
    <t>Feather  Cloud  Crystal  Needle</t>
  </si>
  <si>
    <t>22018-47</t>
  </si>
  <si>
    <t>9.43*6.36*4</t>
  </si>
  <si>
    <t>11286-168</t>
  </si>
  <si>
    <t>9.96*7.01*4.43</t>
  </si>
  <si>
    <t>Feather  Crystal  Cloud  Needle  Indented Natural  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</si>
</sst>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color theme="1"/>
      <family val="2"/>
      <scheme val="minor"/>
      <sz val="11"/>
      <name val="Calibri"/>
    </font>
    <font>
      <color rgb="000000"/>
      <family val="2"/>
      <sz val="11"/>
      <name val="Calibri"/>
    </font>
    <font>
      <b/>
      <color rgb="ffffff"/>
      <family val="2"/>
      <sz val="11"/>
      <name val="Calibri"/>
    </font>
    <font>
      <b/>
      <color rgb="006AA8"/>
      <family val="2"/>
      <sz val="11"/>
      <name val="Calibri"/>
    </font>
    <font>
      <family val="2"/>
      <sz val="11"/>
      <name val="Calibri"/>
    </font>
    <font>
      <u/>
      <color rgb="0000ff"/>
      <family val="2"/>
      <sz val="11"/>
    </font>
    <font>
      <color rgb="283895"/>
      <family val="2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3a8ed2"/>
        <bgColor rgb="3a8ed2"/>
      </patternFill>
    </fill>
  </fills>
  <borders count="5">
    <border>
      <left/>
      <right/>
      <top/>
      <bottom/>
      <diagonal/>
    </border>
    <border>
      <left style="thin">
        <color rgb="393738"/>
      </left>
      <right style="thin">
        <color rgb="393738"/>
      </right>
      <top style="thin">
        <color rgb="393738"/>
      </top>
      <bottom style="thin">
        <color rgb="393738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393738"/>
      </left>
      <right style="thin"/>
      <top style="thin">
        <color rgb="393738"/>
      </top>
      <bottom style="thin">
        <color rgb="393738"/>
      </bottom>
      <diagonal/>
    </border>
    <border>
      <left style="thin">
        <color rgb="000000"/>
      </left>
      <right style="thin"/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2" fontId="4" fillId="0" borderId="3" xfId="0" applyNumberFormat="1" applyFont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4"/>
  <sheetViews>
    <sheetView workbookViewId="0">
      <pane ySplit="5" topLeftCell="A6" activePane="bottomLeft" state="frozen"/>
      <selection pane="bottomLeft"/>
    </sheetView>
  </sheetViews>
  <sheetFormatPr defaultRowHeight="15" outlineLevelRow="0" outlineLevelCol="0" x14ac:dyDescent="55"/>
  <cols>
    <col min="1" max="1" width="6" customWidth="1"/>
    <col min="2" max="2" width="14" customWidth="1"/>
    <col min="3" max="4" width="10" customWidth="1"/>
    <col min="5" max="7" width="6" customWidth="1"/>
    <col min="8" max="9" width="10" customWidth="1"/>
    <col min="10" max="11" width="6" customWidth="1"/>
    <col min="12" max="15" width="10" customWidth="1"/>
    <col min="16" max="16" width="16" customWidth="1"/>
    <col min="17" max="17" width="12" customWidth="1"/>
    <col min="18" max="19" width="6" customWidth="1"/>
    <col min="20" max="20" width="10" customWidth="1"/>
    <col min="21" max="21" width="13" customWidth="1"/>
    <col min="22" max="22" width="30" customWidth="1"/>
    <col min="23" max="23" width="35" customWidth="1"/>
    <col min="24" max="24" width="12" customWidth="1"/>
    <col min="25" max="25" width="10" customWidth="1"/>
    <col min="26" max="30" width="12" customWidth="1"/>
    <col min="31" max="31" width="10" hidden="1" customWidth="1"/>
  </cols>
  <sheetData>
    <row r="1" spans="1:51" x14ac:dyDescent="0.25">
      <c r="A1" s="1" t="s">
        <v>0</v>
      </c>
      <c r="B1" s="1"/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2" t="s">
        <v>7</v>
      </c>
    </row>
    <row r="2" spans="1:51" x14ac:dyDescent="0.25">
      <c r="A2" s="1"/>
      <c r="B2" s="1"/>
      <c r="C2" s="2" t="s">
        <v>8</v>
      </c>
      <c r="D2" s="3">
        <f>ROUND(COUNTA(D6:D51),2)</f>
      </c>
      <c r="E2" s="3">
        <f>ROUND(SUM(E6:E51),2)</f>
      </c>
      <c r="F2" s="3">
        <f>ROUND(AY2/E2,2)</f>
      </c>
      <c r="G2" s="3">
        <f>ROUND((I2/AY2*100)-100,2)</f>
      </c>
      <c r="H2" s="3">
        <f>ROUND(I2/E2,2)</f>
      </c>
      <c r="I2" s="3">
        <f>ROUND(SUM(O6:O51),2)</f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3">
        <f>ROUND(SUM(AE6:AE51),2)</f>
      </c>
    </row>
    <row r="3" spans="1:51" x14ac:dyDescent="0.25">
      <c r="A3" s="1"/>
      <c r="B3" s="1"/>
      <c r="C3" s="2" t="s">
        <v>9</v>
      </c>
      <c r="D3" s="3">
        <f>ROUND(SUBTOTAL(3,D6:D51),2)</f>
      </c>
      <c r="E3" s="3">
        <f>ROUND(SUBTOTAL(9,E6:E51),2)</f>
      </c>
      <c r="F3" s="3">
        <f>ROUND(AY3/E3,2)</f>
      </c>
      <c r="G3" s="3">
        <f>ROUND((I3/AY3*100)-100,2)</f>
      </c>
      <c r="H3" s="3">
        <f>ROUND(I3/E3,2)</f>
      </c>
      <c r="I3" s="3">
        <f>ROUND(SUBTOTAL(9,O6:O51),2)</f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3">
        <f>ROUND(SUBTOTAL(9,AE6:AE51),2)</f>
      </c>
    </row>
    <row r="5" spans="1:31" x14ac:dyDescent="0.25">
      <c r="A5" s="2" t="s">
        <v>10</v>
      </c>
      <c r="B5" s="2" t="s">
        <v>11</v>
      </c>
      <c r="C5" s="2" t="s">
        <v>12</v>
      </c>
      <c r="D5" s="2" t="s">
        <v>13</v>
      </c>
      <c r="E5" s="2" t="s">
        <v>2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3</v>
      </c>
      <c r="M5" s="2" t="s">
        <v>4</v>
      </c>
      <c r="N5" s="2" t="s">
        <v>5</v>
      </c>
      <c r="O5" s="2" t="s">
        <v>6</v>
      </c>
      <c r="P5" s="2" t="s">
        <v>20</v>
      </c>
      <c r="Q5" s="2" t="s">
        <v>21</v>
      </c>
      <c r="R5" s="2" t="s">
        <v>22</v>
      </c>
      <c r="S5" s="2" t="s">
        <v>23</v>
      </c>
      <c r="T5" s="2" t="s">
        <v>24</v>
      </c>
      <c r="U5" s="2" t="s">
        <v>25</v>
      </c>
      <c r="V5" s="2" t="s">
        <v>26</v>
      </c>
      <c r="W5" s="2" t="s">
        <v>27</v>
      </c>
      <c r="X5" s="2" t="s">
        <v>28</v>
      </c>
      <c r="Y5" s="2" t="s">
        <v>29</v>
      </c>
      <c r="Z5" s="2" t="s">
        <v>30</v>
      </c>
      <c r="AA5" s="2" t="s">
        <v>31</v>
      </c>
      <c r="AB5" s="2" t="s">
        <v>32</v>
      </c>
      <c r="AC5" s="2" t="s">
        <v>33</v>
      </c>
      <c r="AD5" s="2" t="s">
        <v>34</v>
      </c>
      <c r="AE5" s="2" t="s">
        <v>7</v>
      </c>
    </row>
    <row r="6" spans="1:31" x14ac:dyDescent="0.25">
      <c r="A6" s="4">
        <v>1</v>
      </c>
      <c r="B6" s="1" t="s">
        <v>35</v>
      </c>
      <c r="C6" s="5">
        <f>HYPERLINK("https://client.unique.diamonds/dna/21058-2","DNA")</f>
      </c>
      <c r="D6" s="1" t="s">
        <v>36</v>
      </c>
      <c r="E6" s="6">
        <v>3.01</v>
      </c>
      <c r="F6" s="1" t="s">
        <v>37</v>
      </c>
      <c r="G6" s="1" t="s">
        <v>38</v>
      </c>
      <c r="H6" s="1" t="s">
        <v>39</v>
      </c>
      <c r="I6" s="1" t="s">
        <v>40</v>
      </c>
      <c r="J6" s="1" t="s">
        <v>40</v>
      </c>
      <c r="K6" s="1" t="s">
        <v>41</v>
      </c>
      <c r="L6" s="4">
        <v>33500</v>
      </c>
      <c r="M6" s="6">
        <v>-38.5</v>
      </c>
      <c r="N6" s="7">
        <f>IF(AND(L6 &lt;&gt; "-", M6 &lt;&gt; "-"),L6*( 1 + M6%),0)</f>
      </c>
      <c r="O6" s="7">
        <f>( N6 * E6 )</f>
      </c>
      <c r="P6" s="1" t="s">
        <v>42</v>
      </c>
      <c r="Q6" s="6">
        <v>1.44</v>
      </c>
      <c r="R6" s="6">
        <v>61.2</v>
      </c>
      <c r="S6" s="4">
        <v>62</v>
      </c>
      <c r="T6" s="1" t="s">
        <v>43</v>
      </c>
      <c r="U6" s="5">
        <f>HYPERLINK("https://www.gia.edu/report-check?reportno=6462010559","6462010559")</f>
      </c>
      <c r="V6" s="1" t="s">
        <v>39</v>
      </c>
      <c r="W6" s="1" t="s">
        <v>44</v>
      </c>
      <c r="X6" s="1" t="s">
        <v>45</v>
      </c>
      <c r="Y6" s="1" t="s">
        <v>45</v>
      </c>
      <c r="Z6" s="1" t="s">
        <v>46</v>
      </c>
      <c r="AA6" s="1" t="s">
        <v>45</v>
      </c>
      <c r="AB6" s="1" t="s">
        <v>45</v>
      </c>
      <c r="AC6" s="1" t="s">
        <v>47</v>
      </c>
      <c r="AD6" s="1" t="s">
        <v>39</v>
      </c>
      <c r="AE6" s="8">
        <f>IF(L6&lt;&gt;"",L6*E6,0)</f>
      </c>
    </row>
    <row r="7" spans="1:31" x14ac:dyDescent="0.25">
      <c r="A7" s="4">
        <v>2</v>
      </c>
      <c r="B7" s="1" t="s">
        <v>48</v>
      </c>
      <c r="C7" s="5">
        <f>HYPERLINK("https://client.unique.diamonds/dna/21136-1","DNA")</f>
      </c>
      <c r="D7" s="1" t="s">
        <v>36</v>
      </c>
      <c r="E7" s="6">
        <v>3.01</v>
      </c>
      <c r="F7" s="1" t="s">
        <v>37</v>
      </c>
      <c r="G7" s="1" t="s">
        <v>38</v>
      </c>
      <c r="H7" s="1" t="s">
        <v>39</v>
      </c>
      <c r="I7" s="1" t="s">
        <v>40</v>
      </c>
      <c r="J7" s="1" t="s">
        <v>40</v>
      </c>
      <c r="K7" s="1" t="s">
        <v>45</v>
      </c>
      <c r="L7" s="4">
        <v>33500</v>
      </c>
      <c r="M7" s="6">
        <v>-32.5</v>
      </c>
      <c r="N7" s="7">
        <f>IF(AND(L7 &lt;&gt; "-", M7 &lt;&gt; "-"),L7*( 1 + M7%),0)</f>
      </c>
      <c r="O7" s="7">
        <f>( N7 * E7 )</f>
      </c>
      <c r="P7" s="1" t="s">
        <v>49</v>
      </c>
      <c r="Q7" s="6">
        <v>1.55</v>
      </c>
      <c r="R7" s="6">
        <v>60.5</v>
      </c>
      <c r="S7" s="4">
        <v>61</v>
      </c>
      <c r="T7" s="1" t="s">
        <v>43</v>
      </c>
      <c r="U7" s="5">
        <f>HYPERLINK("https://www.gia.edu/report-check?reportno=6465683889","6465683889")</f>
      </c>
      <c r="V7" s="1" t="s">
        <v>39</v>
      </c>
      <c r="W7" s="1" t="s">
        <v>50</v>
      </c>
      <c r="X7" s="1" t="s">
        <v>51</v>
      </c>
      <c r="Y7" s="1" t="s">
        <v>45</v>
      </c>
      <c r="Z7" s="1" t="s">
        <v>46</v>
      </c>
      <c r="AA7" s="1" t="s">
        <v>52</v>
      </c>
      <c r="AB7" s="1" t="s">
        <v>45</v>
      </c>
      <c r="AC7" s="1" t="s">
        <v>47</v>
      </c>
      <c r="AD7" s="1" t="s">
        <v>39</v>
      </c>
      <c r="AE7" s="8">
        <f>IF(L7&lt;&gt;"",L7*E7,0)</f>
      </c>
    </row>
    <row r="8" spans="1:31" x14ac:dyDescent="0.25">
      <c r="A8" s="4">
        <v>3</v>
      </c>
      <c r="B8" s="1" t="s">
        <v>53</v>
      </c>
      <c r="C8" s="5">
        <f>HYPERLINK("https://client.unique.diamonds/dna/21108-111","DNA")</f>
      </c>
      <c r="D8" s="1" t="s">
        <v>36</v>
      </c>
      <c r="E8" s="6">
        <v>1.72</v>
      </c>
      <c r="F8" s="1" t="s">
        <v>54</v>
      </c>
      <c r="G8" s="1" t="s">
        <v>38</v>
      </c>
      <c r="H8" s="1" t="s">
        <v>39</v>
      </c>
      <c r="I8" s="1" t="s">
        <v>40</v>
      </c>
      <c r="J8" s="1" t="s">
        <v>40</v>
      </c>
      <c r="K8" s="1" t="s">
        <v>45</v>
      </c>
      <c r="L8" s="4">
        <v>13600</v>
      </c>
      <c r="M8" s="6">
        <v>-18.5</v>
      </c>
      <c r="N8" s="7">
        <f>IF(AND(L8 &lt;&gt; "-", M8 &lt;&gt; "-"),L8*( 1 + M8%),0)</f>
      </c>
      <c r="O8" s="7">
        <f>( N8 * E8 )</f>
      </c>
      <c r="P8" s="1" t="s">
        <v>55</v>
      </c>
      <c r="Q8" s="6">
        <v>1.38</v>
      </c>
      <c r="R8" s="6">
        <v>63.3</v>
      </c>
      <c r="S8" s="4">
        <v>61</v>
      </c>
      <c r="T8" s="1" t="s">
        <v>43</v>
      </c>
      <c r="U8" s="5">
        <f>HYPERLINK("https://www.gia.edu/report-check?reportno=1468591635","1468591635")</f>
      </c>
      <c r="V8" s="1" t="s">
        <v>39</v>
      </c>
      <c r="W8" s="1" t="s">
        <v>56</v>
      </c>
      <c r="X8" s="1" t="s">
        <v>57</v>
      </c>
      <c r="Y8" s="1" t="s">
        <v>45</v>
      </c>
      <c r="Z8" s="1" t="s">
        <v>57</v>
      </c>
      <c r="AA8" s="1" t="s">
        <v>52</v>
      </c>
      <c r="AB8" s="1" t="s">
        <v>45</v>
      </c>
      <c r="AC8" s="1" t="s">
        <v>47</v>
      </c>
      <c r="AD8" s="1" t="s">
        <v>39</v>
      </c>
      <c r="AE8" s="8">
        <f>IF(L8&lt;&gt;"",L8*E8,0)</f>
      </c>
    </row>
    <row r="9" spans="1:31" x14ac:dyDescent="0.25">
      <c r="A9" s="4">
        <v>4</v>
      </c>
      <c r="B9" s="1" t="s">
        <v>58</v>
      </c>
      <c r="C9" s="5">
        <f>HYPERLINK("https://client.unique.diamonds/dna/22011-6","DNA")</f>
      </c>
      <c r="D9" s="1" t="s">
        <v>36</v>
      </c>
      <c r="E9" s="6">
        <v>1.6</v>
      </c>
      <c r="F9" s="1" t="s">
        <v>59</v>
      </c>
      <c r="G9" s="1" t="s">
        <v>38</v>
      </c>
      <c r="H9" s="1" t="s">
        <v>39</v>
      </c>
      <c r="I9" s="1" t="s">
        <v>40</v>
      </c>
      <c r="J9" s="1" t="s">
        <v>40</v>
      </c>
      <c r="K9" s="1" t="s">
        <v>41</v>
      </c>
      <c r="L9" s="4">
        <v>11700</v>
      </c>
      <c r="M9" s="6">
        <v>-31.5</v>
      </c>
      <c r="N9" s="7">
        <f>IF(AND(L9 &lt;&gt; "-", M9 &lt;&gt; "-"),L9*( 1 + M9%),0)</f>
      </c>
      <c r="O9" s="7">
        <f>( N9 * E9 )</f>
      </c>
      <c r="P9" s="1" t="s">
        <v>60</v>
      </c>
      <c r="Q9" s="6">
        <v>1.39</v>
      </c>
      <c r="R9" s="6">
        <v>57.9</v>
      </c>
      <c r="S9" s="4">
        <v>62</v>
      </c>
      <c r="T9" s="1" t="s">
        <v>43</v>
      </c>
      <c r="U9" s="5">
        <f>HYPERLINK("https://www.gia.edu/report-check?reportno=2466247794","2466247794")</f>
      </c>
      <c r="V9" s="1" t="s">
        <v>39</v>
      </c>
      <c r="W9" s="1" t="s">
        <v>61</v>
      </c>
      <c r="X9" s="1" t="s">
        <v>46</v>
      </c>
      <c r="Y9" s="1" t="s">
        <v>45</v>
      </c>
      <c r="Z9" s="1" t="s">
        <v>57</v>
      </c>
      <c r="AA9" s="1" t="s">
        <v>45</v>
      </c>
      <c r="AB9" s="1" t="s">
        <v>62</v>
      </c>
      <c r="AC9" s="1" t="s">
        <v>47</v>
      </c>
      <c r="AD9" s="1" t="s">
        <v>39</v>
      </c>
      <c r="AE9" s="8">
        <f>IF(L9&lt;&gt;"",L9*E9,0)</f>
      </c>
    </row>
    <row r="10" spans="1:31" x14ac:dyDescent="0.25">
      <c r="A10" s="4">
        <v>5</v>
      </c>
      <c r="B10" s="1" t="s">
        <v>63</v>
      </c>
      <c r="C10" s="5">
        <f>HYPERLINK("https://client.unique.diamonds/dna/21109-44","DNA")</f>
      </c>
      <c r="D10" s="1" t="s">
        <v>36</v>
      </c>
      <c r="E10" s="6">
        <v>2.8</v>
      </c>
      <c r="F10" s="1" t="s">
        <v>59</v>
      </c>
      <c r="G10" s="1" t="s">
        <v>38</v>
      </c>
      <c r="H10" s="1" t="s">
        <v>39</v>
      </c>
      <c r="I10" s="1" t="s">
        <v>40</v>
      </c>
      <c r="J10" s="1" t="s">
        <v>40</v>
      </c>
      <c r="K10" s="1" t="s">
        <v>41</v>
      </c>
      <c r="L10" s="4">
        <v>16500</v>
      </c>
      <c r="M10" s="6">
        <v>-14.5</v>
      </c>
      <c r="N10" s="7">
        <f>IF(AND(L10 &lt;&gt; "-", M10 &lt;&gt; "-"),L10*( 1 + M10%),0)</f>
      </c>
      <c r="O10" s="7">
        <f>( N10 * E10 )</f>
      </c>
      <c r="P10" s="1" t="s">
        <v>64</v>
      </c>
      <c r="Q10" s="6">
        <v>1.38</v>
      </c>
      <c r="R10" s="6">
        <v>61.7</v>
      </c>
      <c r="S10" s="4">
        <v>57</v>
      </c>
      <c r="T10" s="1" t="s">
        <v>43</v>
      </c>
      <c r="U10" s="5">
        <f>HYPERLINK("https://www.gia.edu/report-check?reportno=7461645434","7461645434")</f>
      </c>
      <c r="V10" s="1" t="s">
        <v>39</v>
      </c>
      <c r="W10" s="1" t="s">
        <v>65</v>
      </c>
      <c r="X10" s="1" t="s">
        <v>57</v>
      </c>
      <c r="Y10" s="1" t="s">
        <v>45</v>
      </c>
      <c r="Z10" s="1" t="s">
        <v>46</v>
      </c>
      <c r="AA10" s="1" t="s">
        <v>45</v>
      </c>
      <c r="AB10" s="1" t="s">
        <v>62</v>
      </c>
      <c r="AC10" s="1" t="s">
        <v>47</v>
      </c>
      <c r="AD10" s="1" t="s">
        <v>39</v>
      </c>
      <c r="AE10" s="8">
        <f>IF(L10&lt;&gt;"",L10*E10,0)</f>
      </c>
    </row>
    <row r="11" spans="1:31" x14ac:dyDescent="0.25">
      <c r="A11" s="4">
        <v>6</v>
      </c>
      <c r="B11" s="1" t="s">
        <v>66</v>
      </c>
      <c r="C11" s="5">
        <f>HYPERLINK("https://client.unique.diamonds/dna/21108-88","DNA")</f>
      </c>
      <c r="D11" s="1" t="s">
        <v>36</v>
      </c>
      <c r="E11" s="6">
        <v>1.5</v>
      </c>
      <c r="F11" s="1" t="s">
        <v>67</v>
      </c>
      <c r="G11" s="1" t="s">
        <v>38</v>
      </c>
      <c r="H11" s="1" t="s">
        <v>39</v>
      </c>
      <c r="I11" s="1" t="s">
        <v>40</v>
      </c>
      <c r="J11" s="1" t="s">
        <v>40</v>
      </c>
      <c r="K11" s="1" t="s">
        <v>45</v>
      </c>
      <c r="L11" s="4">
        <v>9900</v>
      </c>
      <c r="M11" s="6">
        <v>-26.5</v>
      </c>
      <c r="N11" s="7">
        <f>IF(AND(L11 &lt;&gt; "-", M11 &lt;&gt; "-"),L11*( 1 + M11%),0)</f>
      </c>
      <c r="O11" s="7">
        <f>( N11 * E11 )</f>
      </c>
      <c r="P11" s="1" t="s">
        <v>68</v>
      </c>
      <c r="Q11" s="6">
        <v>1.38</v>
      </c>
      <c r="R11" s="6">
        <v>63.3</v>
      </c>
      <c r="S11" s="4">
        <v>61</v>
      </c>
      <c r="T11" s="1" t="s">
        <v>43</v>
      </c>
      <c r="U11" s="5">
        <f>HYPERLINK("https://www.gia.edu/report-check?reportno=6461539975","6461539975")</f>
      </c>
      <c r="V11" s="1" t="s">
        <v>39</v>
      </c>
      <c r="W11" s="1" t="s">
        <v>69</v>
      </c>
      <c r="X11" s="1" t="s">
        <v>51</v>
      </c>
      <c r="Y11" s="1" t="s">
        <v>45</v>
      </c>
      <c r="Z11" s="1" t="s">
        <v>46</v>
      </c>
      <c r="AA11" s="1" t="s">
        <v>52</v>
      </c>
      <c r="AB11" s="1" t="s">
        <v>45</v>
      </c>
      <c r="AC11" s="1" t="s">
        <v>47</v>
      </c>
      <c r="AD11" s="1" t="s">
        <v>39</v>
      </c>
      <c r="AE11" s="8">
        <f>IF(L11&lt;&gt;"",L11*E11,0)</f>
      </c>
    </row>
    <row r="12" spans="1:31" x14ac:dyDescent="0.25">
      <c r="A12" s="4">
        <v>7</v>
      </c>
      <c r="B12" s="1" t="s">
        <v>70</v>
      </c>
      <c r="C12" s="5">
        <f>HYPERLINK("https://client.unique.diamonds/dna/21082-17","DNA")</f>
      </c>
      <c r="D12" s="1" t="s">
        <v>36</v>
      </c>
      <c r="E12" s="6">
        <v>2.01</v>
      </c>
      <c r="F12" s="1" t="s">
        <v>71</v>
      </c>
      <c r="G12" s="1" t="s">
        <v>38</v>
      </c>
      <c r="H12" s="1" t="s">
        <v>39</v>
      </c>
      <c r="I12" s="1" t="s">
        <v>40</v>
      </c>
      <c r="J12" s="1" t="s">
        <v>40</v>
      </c>
      <c r="K12" s="1" t="s">
        <v>45</v>
      </c>
      <c r="L12" s="4">
        <v>10700</v>
      </c>
      <c r="M12" s="6">
        <v>-24</v>
      </c>
      <c r="N12" s="7">
        <f>IF(AND(L12 &lt;&gt; "-", M12 &lt;&gt; "-"),L12*( 1 + M12%),0)</f>
      </c>
      <c r="O12" s="7">
        <f>( N12 * E12 )</f>
      </c>
      <c r="P12" s="1" t="s">
        <v>72</v>
      </c>
      <c r="Q12" s="6">
        <v>1.53</v>
      </c>
      <c r="R12" s="6">
        <v>62.5</v>
      </c>
      <c r="S12" s="4">
        <v>63</v>
      </c>
      <c r="T12" s="1" t="s">
        <v>43</v>
      </c>
      <c r="U12" s="5">
        <f>HYPERLINK("https://www.gia.edu/report-check?reportno=2467283279","2467283279")</f>
      </c>
      <c r="V12" s="1" t="s">
        <v>39</v>
      </c>
      <c r="W12" s="1" t="s">
        <v>73</v>
      </c>
      <c r="X12" s="1" t="s">
        <v>57</v>
      </c>
      <c r="Y12" s="1" t="s">
        <v>45</v>
      </c>
      <c r="Z12" s="1" t="s">
        <v>57</v>
      </c>
      <c r="AA12" s="1" t="s">
        <v>52</v>
      </c>
      <c r="AB12" s="1" t="s">
        <v>45</v>
      </c>
      <c r="AC12" s="1" t="s">
        <v>47</v>
      </c>
      <c r="AD12" s="1" t="s">
        <v>39</v>
      </c>
      <c r="AE12" s="8">
        <f>IF(L12&lt;&gt;"",L12*E12,0)</f>
      </c>
    </row>
    <row r="13" spans="1:31" x14ac:dyDescent="0.25">
      <c r="A13" s="4">
        <v>8</v>
      </c>
      <c r="B13" s="1" t="s">
        <v>74</v>
      </c>
      <c r="C13" s="5">
        <f>HYPERLINK("https://client.unique.diamonds/dna/21077-7","DNA")</f>
      </c>
      <c r="D13" s="1" t="s">
        <v>36</v>
      </c>
      <c r="E13" s="6">
        <v>3.01</v>
      </c>
      <c r="F13" s="1" t="s">
        <v>37</v>
      </c>
      <c r="G13" s="1" t="s">
        <v>75</v>
      </c>
      <c r="H13" s="1" t="s">
        <v>39</v>
      </c>
      <c r="I13" s="1" t="s">
        <v>40</v>
      </c>
      <c r="J13" s="1" t="s">
        <v>76</v>
      </c>
      <c r="K13" s="1" t="s">
        <v>45</v>
      </c>
      <c r="L13" s="4">
        <v>30500</v>
      </c>
      <c r="M13" s="6">
        <v>-33.5</v>
      </c>
      <c r="N13" s="7">
        <f>IF(AND(L13 &lt;&gt; "-", M13 &lt;&gt; "-"),L13*( 1 + M13%),0)</f>
      </c>
      <c r="O13" s="7">
        <f>( N13 * E13 )</f>
      </c>
      <c r="P13" s="1" t="s">
        <v>77</v>
      </c>
      <c r="Q13" s="6">
        <v>1.39</v>
      </c>
      <c r="R13" s="6">
        <v>63.2</v>
      </c>
      <c r="S13" s="4">
        <v>62</v>
      </c>
      <c r="T13" s="1" t="s">
        <v>43</v>
      </c>
      <c r="U13" s="5">
        <f>HYPERLINK("https://www.gia.edu/report-check?reportno=1465094089","1465094089")</f>
      </c>
      <c r="V13" s="1" t="s">
        <v>39</v>
      </c>
      <c r="W13" s="1" t="s">
        <v>78</v>
      </c>
      <c r="X13" s="1" t="s">
        <v>79</v>
      </c>
      <c r="Y13" s="1" t="s">
        <v>45</v>
      </c>
      <c r="Z13" s="1" t="s">
        <v>46</v>
      </c>
      <c r="AA13" s="1" t="s">
        <v>52</v>
      </c>
      <c r="AB13" s="1" t="s">
        <v>80</v>
      </c>
      <c r="AC13" s="1" t="s">
        <v>47</v>
      </c>
      <c r="AD13" s="1" t="s">
        <v>39</v>
      </c>
      <c r="AE13" s="8">
        <f>IF(L13&lt;&gt;"",L13*E13,0)</f>
      </c>
    </row>
    <row r="14" spans="1:31" x14ac:dyDescent="0.25">
      <c r="A14" s="4">
        <v>9</v>
      </c>
      <c r="B14" s="1" t="s">
        <v>81</v>
      </c>
      <c r="C14" s="5">
        <f>HYPERLINK("https://client.unique.diamonds/dna/21098-36","DNA")</f>
      </c>
      <c r="D14" s="1" t="s">
        <v>36</v>
      </c>
      <c r="E14" s="6">
        <v>1.5</v>
      </c>
      <c r="F14" s="1" t="s">
        <v>54</v>
      </c>
      <c r="G14" s="1" t="s">
        <v>75</v>
      </c>
      <c r="H14" s="1" t="s">
        <v>39</v>
      </c>
      <c r="I14" s="1" t="s">
        <v>40</v>
      </c>
      <c r="J14" s="1" t="s">
        <v>40</v>
      </c>
      <c r="K14" s="1" t="s">
        <v>41</v>
      </c>
      <c r="L14" s="4">
        <v>12800</v>
      </c>
      <c r="M14" s="6">
        <v>-38.5</v>
      </c>
      <c r="N14" s="7">
        <f>IF(AND(L14 &lt;&gt; "-", M14 &lt;&gt; "-"),L14*( 1 + M14%),0)</f>
      </c>
      <c r="O14" s="7">
        <f>( N14 * E14 )</f>
      </c>
      <c r="P14" s="1" t="s">
        <v>82</v>
      </c>
      <c r="Q14" s="6">
        <v>1.38</v>
      </c>
      <c r="R14" s="6">
        <v>63.6</v>
      </c>
      <c r="S14" s="4">
        <v>58</v>
      </c>
      <c r="T14" s="1" t="s">
        <v>43</v>
      </c>
      <c r="U14" s="5">
        <f>HYPERLINK("https://www.gia.edu/report-check?reportno=3465528943","3465528943")</f>
      </c>
      <c r="V14" s="1" t="s">
        <v>39</v>
      </c>
      <c r="W14" s="1" t="s">
        <v>83</v>
      </c>
      <c r="X14" s="1" t="s">
        <v>79</v>
      </c>
      <c r="Y14" s="1" t="s">
        <v>45</v>
      </c>
      <c r="Z14" s="1" t="s">
        <v>46</v>
      </c>
      <c r="AA14" s="1" t="s">
        <v>52</v>
      </c>
      <c r="AB14" s="1" t="s">
        <v>45</v>
      </c>
      <c r="AC14" s="1" t="s">
        <v>47</v>
      </c>
      <c r="AD14" s="1" t="s">
        <v>39</v>
      </c>
      <c r="AE14" s="8">
        <f>IF(L14&lt;&gt;"",L14*E14,0)</f>
      </c>
    </row>
    <row r="15" spans="1:31" x14ac:dyDescent="0.25">
      <c r="A15" s="4">
        <v>10</v>
      </c>
      <c r="B15" s="1" t="s">
        <v>84</v>
      </c>
      <c r="C15" s="5">
        <f>HYPERLINK("https://client.unique.diamonds/dna/21081-13","DNA")</f>
      </c>
      <c r="D15" s="1" t="s">
        <v>36</v>
      </c>
      <c r="E15" s="6">
        <v>2.15</v>
      </c>
      <c r="F15" s="1" t="s">
        <v>54</v>
      </c>
      <c r="G15" s="1" t="s">
        <v>75</v>
      </c>
      <c r="H15" s="1" t="s">
        <v>39</v>
      </c>
      <c r="I15" s="1" t="s">
        <v>40</v>
      </c>
      <c r="J15" s="1" t="s">
        <v>40</v>
      </c>
      <c r="K15" s="1" t="s">
        <v>41</v>
      </c>
      <c r="L15" s="4">
        <v>18000</v>
      </c>
      <c r="M15" s="6">
        <v>-36.5</v>
      </c>
      <c r="N15" s="7">
        <f>IF(AND(L15 &lt;&gt; "-", M15 &lt;&gt; "-"),L15*( 1 + M15%),0)</f>
      </c>
      <c r="O15" s="7">
        <f>( N15 * E15 )</f>
      </c>
      <c r="P15" s="1" t="s">
        <v>85</v>
      </c>
      <c r="Q15" s="6">
        <v>1.52</v>
      </c>
      <c r="R15" s="6">
        <v>58.4</v>
      </c>
      <c r="S15" s="4">
        <v>60</v>
      </c>
      <c r="T15" s="1" t="s">
        <v>43</v>
      </c>
      <c r="U15" s="5">
        <f>HYPERLINK("https://www.gia.edu/report-check?reportno=2467275299","2467275299")</f>
      </c>
      <c r="V15" s="1" t="s">
        <v>39</v>
      </c>
      <c r="W15" s="1" t="s">
        <v>86</v>
      </c>
      <c r="X15" s="1" t="s">
        <v>79</v>
      </c>
      <c r="Y15" s="1" t="s">
        <v>45</v>
      </c>
      <c r="Z15" s="1" t="s">
        <v>57</v>
      </c>
      <c r="AA15" s="1" t="s">
        <v>45</v>
      </c>
      <c r="AB15" s="1" t="s">
        <v>45</v>
      </c>
      <c r="AC15" s="1" t="s">
        <v>47</v>
      </c>
      <c r="AD15" s="1" t="s">
        <v>39</v>
      </c>
      <c r="AE15" s="8">
        <f>IF(L15&lt;&gt;"",L15*E15,0)</f>
      </c>
    </row>
    <row r="16" spans="1:31" x14ac:dyDescent="0.25">
      <c r="A16" s="4">
        <v>11</v>
      </c>
      <c r="B16" s="1" t="s">
        <v>87</v>
      </c>
      <c r="C16" s="5">
        <f>HYPERLINK("https://client.unique.diamonds/dna/21031-40","DNA")</f>
      </c>
      <c r="D16" s="1" t="s">
        <v>36</v>
      </c>
      <c r="E16" s="6">
        <v>2.01</v>
      </c>
      <c r="F16" s="1" t="s">
        <v>88</v>
      </c>
      <c r="G16" s="1" t="s">
        <v>75</v>
      </c>
      <c r="H16" s="1" t="s">
        <v>39</v>
      </c>
      <c r="I16" s="1" t="s">
        <v>40</v>
      </c>
      <c r="J16" s="1" t="s">
        <v>40</v>
      </c>
      <c r="K16" s="1" t="s">
        <v>45</v>
      </c>
      <c r="L16" s="4">
        <v>17000</v>
      </c>
      <c r="M16" s="6">
        <v>-24.5</v>
      </c>
      <c r="N16" s="7">
        <f>IF(AND(L16 &lt;&gt; "-", M16 &lt;&gt; "-"),L16*( 1 + M16%),0)</f>
      </c>
      <c r="O16" s="7">
        <f>( N16 * E16 )</f>
      </c>
      <c r="P16" s="1" t="s">
        <v>89</v>
      </c>
      <c r="Q16" s="6">
        <v>1.38</v>
      </c>
      <c r="R16" s="6">
        <v>62.7</v>
      </c>
      <c r="S16" s="4">
        <v>62</v>
      </c>
      <c r="T16" s="1" t="s">
        <v>43</v>
      </c>
      <c r="U16" s="5">
        <f>HYPERLINK("https://www.gia.edu/report-check?reportno=7451806445","7451806445")</f>
      </c>
      <c r="V16" s="1" t="s">
        <v>39</v>
      </c>
      <c r="W16" s="1" t="s">
        <v>90</v>
      </c>
      <c r="X16" s="1" t="s">
        <v>51</v>
      </c>
      <c r="Y16" s="1" t="s">
        <v>45</v>
      </c>
      <c r="Z16" s="1" t="s">
        <v>46</v>
      </c>
      <c r="AA16" s="1" t="s">
        <v>80</v>
      </c>
      <c r="AB16" s="1" t="s">
        <v>45</v>
      </c>
      <c r="AC16" s="1" t="s">
        <v>91</v>
      </c>
      <c r="AD16" s="1" t="s">
        <v>39</v>
      </c>
      <c r="AE16" s="8">
        <f>IF(L16&lt;&gt;"",L16*E16,0)</f>
      </c>
    </row>
    <row r="17" spans="1:31" x14ac:dyDescent="0.25">
      <c r="A17" s="4">
        <v>12</v>
      </c>
      <c r="B17" s="1" t="s">
        <v>92</v>
      </c>
      <c r="C17" s="5">
        <f>HYPERLINK("https://client.unique.diamonds/dna/22002-93","DNA")</f>
      </c>
      <c r="D17" s="1" t="s">
        <v>36</v>
      </c>
      <c r="E17" s="6">
        <v>2.04</v>
      </c>
      <c r="F17" s="1" t="s">
        <v>88</v>
      </c>
      <c r="G17" s="1" t="s">
        <v>75</v>
      </c>
      <c r="H17" s="1" t="s">
        <v>39</v>
      </c>
      <c r="I17" s="1" t="s">
        <v>40</v>
      </c>
      <c r="J17" s="1" t="s">
        <v>40</v>
      </c>
      <c r="K17" s="1" t="s">
        <v>45</v>
      </c>
      <c r="L17" s="4">
        <v>17000</v>
      </c>
      <c r="M17" s="6">
        <v>-24</v>
      </c>
      <c r="N17" s="7">
        <f>IF(AND(L17 &lt;&gt; "-", M17 &lt;&gt; "-"),L17*( 1 + M17%),0)</f>
      </c>
      <c r="O17" s="7">
        <f>( N17 * E17 )</f>
      </c>
      <c r="P17" s="1" t="s">
        <v>93</v>
      </c>
      <c r="Q17" s="6">
        <v>1.38</v>
      </c>
      <c r="R17" s="6">
        <v>62.4</v>
      </c>
      <c r="S17" s="4">
        <v>56</v>
      </c>
      <c r="T17" s="1" t="s">
        <v>43</v>
      </c>
      <c r="U17" s="5">
        <f>HYPERLINK("https://www.gia.edu/report-check?reportno=1457934759","1457934759")</f>
      </c>
      <c r="V17" s="1" t="s">
        <v>39</v>
      </c>
      <c r="W17" s="1" t="s">
        <v>94</v>
      </c>
      <c r="X17" s="1" t="s">
        <v>46</v>
      </c>
      <c r="Y17" s="1" t="s">
        <v>45</v>
      </c>
      <c r="Z17" s="1" t="s">
        <v>51</v>
      </c>
      <c r="AA17" s="1" t="s">
        <v>52</v>
      </c>
      <c r="AB17" s="1" t="s">
        <v>80</v>
      </c>
      <c r="AC17" s="1" t="s">
        <v>47</v>
      </c>
      <c r="AD17" s="1" t="s">
        <v>39</v>
      </c>
      <c r="AE17" s="8">
        <f>IF(L17&lt;&gt;"",L17*E17,0)</f>
      </c>
    </row>
    <row r="18" spans="1:31" x14ac:dyDescent="0.25">
      <c r="A18" s="4">
        <v>13</v>
      </c>
      <c r="B18" s="1" t="s">
        <v>95</v>
      </c>
      <c r="C18" s="5">
        <f>HYPERLINK("https://client.unique.diamonds/dna/21031-16","DNA")</f>
      </c>
      <c r="D18" s="1" t="s">
        <v>36</v>
      </c>
      <c r="E18" s="6">
        <v>2.01</v>
      </c>
      <c r="F18" s="1" t="s">
        <v>67</v>
      </c>
      <c r="G18" s="1" t="s">
        <v>75</v>
      </c>
      <c r="H18" s="1" t="s">
        <v>39</v>
      </c>
      <c r="I18" s="1" t="s">
        <v>40</v>
      </c>
      <c r="J18" s="1" t="s">
        <v>40</v>
      </c>
      <c r="K18" s="1" t="s">
        <v>41</v>
      </c>
      <c r="L18" s="4">
        <v>13000</v>
      </c>
      <c r="M18" s="6">
        <v>-28</v>
      </c>
      <c r="N18" s="7">
        <f>IF(AND(L18 &lt;&gt; "-", M18 &lt;&gt; "-"),L18*( 1 + M18%),0)</f>
      </c>
      <c r="O18" s="7">
        <f>( N18 * E18 )</f>
      </c>
      <c r="P18" s="1" t="s">
        <v>96</v>
      </c>
      <c r="Q18" s="6">
        <v>1.38</v>
      </c>
      <c r="R18" s="6">
        <v>63.1</v>
      </c>
      <c r="S18" s="4">
        <v>62</v>
      </c>
      <c r="T18" s="1" t="s">
        <v>43</v>
      </c>
      <c r="U18" s="5">
        <f>HYPERLINK("https://www.gia.edu/report-check?reportno=5456713600","5456713600")</f>
      </c>
      <c r="V18" s="1" t="s">
        <v>39</v>
      </c>
      <c r="W18" s="1" t="s">
        <v>97</v>
      </c>
      <c r="X18" s="1" t="s">
        <v>51</v>
      </c>
      <c r="Y18" s="1" t="s">
        <v>45</v>
      </c>
      <c r="Z18" s="1" t="s">
        <v>45</v>
      </c>
      <c r="AA18" s="1" t="s">
        <v>45</v>
      </c>
      <c r="AB18" s="1" t="s">
        <v>45</v>
      </c>
      <c r="AC18" s="1" t="s">
        <v>47</v>
      </c>
      <c r="AD18" s="1" t="s">
        <v>39</v>
      </c>
      <c r="AE18" s="8">
        <f>IF(L18&lt;&gt;"",L18*E18,0)</f>
      </c>
    </row>
    <row r="19" spans="1:31" x14ac:dyDescent="0.25">
      <c r="A19" s="4">
        <v>14</v>
      </c>
      <c r="B19" s="1" t="s">
        <v>98</v>
      </c>
      <c r="C19" s="5">
        <f>HYPERLINK("https://client.unique.diamonds/dna/22002-32","DNA")</f>
      </c>
      <c r="D19" s="1" t="s">
        <v>36</v>
      </c>
      <c r="E19" s="6">
        <v>1.6</v>
      </c>
      <c r="F19" s="1" t="s">
        <v>71</v>
      </c>
      <c r="G19" s="1" t="s">
        <v>75</v>
      </c>
      <c r="H19" s="1" t="s">
        <v>39</v>
      </c>
      <c r="I19" s="1" t="s">
        <v>40</v>
      </c>
      <c r="J19" s="1" t="s">
        <v>76</v>
      </c>
      <c r="K19" s="1" t="s">
        <v>45</v>
      </c>
      <c r="L19" s="4">
        <v>7900</v>
      </c>
      <c r="M19" s="6">
        <v>-24</v>
      </c>
      <c r="N19" s="7">
        <f>IF(AND(L19 &lt;&gt; "-", M19 &lt;&gt; "-"),L19*( 1 + M19%),0)</f>
      </c>
      <c r="O19" s="7">
        <f>( N19 * E19 )</f>
      </c>
      <c r="P19" s="1" t="s">
        <v>99</v>
      </c>
      <c r="Q19" s="6">
        <v>1.54</v>
      </c>
      <c r="R19" s="6">
        <v>59.5</v>
      </c>
      <c r="S19" s="4">
        <v>60</v>
      </c>
      <c r="T19" s="1" t="s">
        <v>43</v>
      </c>
      <c r="U19" s="5">
        <f>HYPERLINK("https://www.gia.edu/report-check?reportno=5456702157","5456702157")</f>
      </c>
      <c r="V19" s="1" t="s">
        <v>39</v>
      </c>
      <c r="W19" s="1" t="s">
        <v>100</v>
      </c>
      <c r="X19" s="1" t="s">
        <v>51</v>
      </c>
      <c r="Y19" s="1" t="s">
        <v>45</v>
      </c>
      <c r="Z19" s="1" t="s">
        <v>46</v>
      </c>
      <c r="AA19" s="1" t="s">
        <v>45</v>
      </c>
      <c r="AB19" s="1" t="s">
        <v>62</v>
      </c>
      <c r="AC19" s="1" t="s">
        <v>47</v>
      </c>
      <c r="AD19" s="1" t="s">
        <v>39</v>
      </c>
      <c r="AE19" s="8">
        <f>IF(L19&lt;&gt;"",L19*E19,0)</f>
      </c>
    </row>
    <row r="20" spans="1:31" x14ac:dyDescent="0.25">
      <c r="A20" s="4">
        <v>15</v>
      </c>
      <c r="B20" s="1" t="s">
        <v>101</v>
      </c>
      <c r="C20" s="5">
        <f>HYPERLINK("https://client.unique.diamonds/dna/21072-38","DNA")</f>
      </c>
      <c r="D20" s="1" t="s">
        <v>36</v>
      </c>
      <c r="E20" s="6">
        <v>1.7</v>
      </c>
      <c r="F20" s="1" t="s">
        <v>71</v>
      </c>
      <c r="G20" s="1" t="s">
        <v>75</v>
      </c>
      <c r="H20" s="1" t="s">
        <v>39</v>
      </c>
      <c r="I20" s="1" t="s">
        <v>40</v>
      </c>
      <c r="J20" s="1" t="s">
        <v>40</v>
      </c>
      <c r="K20" s="1" t="s">
        <v>45</v>
      </c>
      <c r="L20" s="4">
        <v>7900</v>
      </c>
      <c r="M20" s="6">
        <v>-18.5</v>
      </c>
      <c r="N20" s="7">
        <f>IF(AND(L20 &lt;&gt; "-", M20 &lt;&gt; "-"),L20*( 1 + M20%),0)</f>
      </c>
      <c r="O20" s="7">
        <f>( N20 * E20 )</f>
      </c>
      <c r="P20" s="1" t="s">
        <v>102</v>
      </c>
      <c r="Q20" s="6">
        <v>1.38</v>
      </c>
      <c r="R20" s="6">
        <v>63.1</v>
      </c>
      <c r="S20" s="4">
        <v>58</v>
      </c>
      <c r="T20" s="1" t="s">
        <v>43</v>
      </c>
      <c r="U20" s="5">
        <f>HYPERLINK("https://www.gia.edu/report-check?reportno=7461365689","7461365689")</f>
      </c>
      <c r="V20" s="1" t="s">
        <v>39</v>
      </c>
      <c r="W20" s="1" t="s">
        <v>103</v>
      </c>
      <c r="X20" s="1" t="s">
        <v>57</v>
      </c>
      <c r="Y20" s="1" t="s">
        <v>45</v>
      </c>
      <c r="Z20" s="1" t="s">
        <v>46</v>
      </c>
      <c r="AA20" s="1" t="s">
        <v>52</v>
      </c>
      <c r="AB20" s="1" t="s">
        <v>45</v>
      </c>
      <c r="AC20" s="1" t="s">
        <v>47</v>
      </c>
      <c r="AD20" s="1" t="s">
        <v>39</v>
      </c>
      <c r="AE20" s="8">
        <f>IF(L20&lt;&gt;"",L20*E20,0)</f>
      </c>
    </row>
    <row r="21" spans="1:31" x14ac:dyDescent="0.25">
      <c r="A21" s="4">
        <v>16</v>
      </c>
      <c r="B21" s="1" t="s">
        <v>104</v>
      </c>
      <c r="C21" s="5">
        <f>HYPERLINK("https://client.unique.diamonds/dna/21114-35","DNA")</f>
      </c>
      <c r="D21" s="1" t="s">
        <v>36</v>
      </c>
      <c r="E21" s="6">
        <v>1.82</v>
      </c>
      <c r="F21" s="1" t="s">
        <v>71</v>
      </c>
      <c r="G21" s="1" t="s">
        <v>75</v>
      </c>
      <c r="H21" s="1" t="s">
        <v>39</v>
      </c>
      <c r="I21" s="1" t="s">
        <v>40</v>
      </c>
      <c r="J21" s="1" t="s">
        <v>40</v>
      </c>
      <c r="K21" s="1" t="s">
        <v>45</v>
      </c>
      <c r="L21" s="4">
        <v>7900</v>
      </c>
      <c r="M21" s="6">
        <v>-15</v>
      </c>
      <c r="N21" s="7">
        <f>IF(AND(L21 &lt;&gt; "-", M21 &lt;&gt; "-"),L21*( 1 + M21%),0)</f>
      </c>
      <c r="O21" s="7">
        <f>( N21 * E21 )</f>
      </c>
      <c r="P21" s="1" t="s">
        <v>105</v>
      </c>
      <c r="Q21" s="6">
        <v>1.39</v>
      </c>
      <c r="R21" s="6">
        <v>63.4</v>
      </c>
      <c r="S21" s="4">
        <v>59</v>
      </c>
      <c r="T21" s="1" t="s">
        <v>43</v>
      </c>
      <c r="U21" s="5">
        <f>HYPERLINK("https://www.gia.edu/report-check?reportno=6461564908","6461564908")</f>
      </c>
      <c r="V21" s="1" t="s">
        <v>39</v>
      </c>
      <c r="W21" s="1" t="s">
        <v>106</v>
      </c>
      <c r="X21" s="1" t="s">
        <v>51</v>
      </c>
      <c r="Y21" s="1" t="s">
        <v>45</v>
      </c>
      <c r="Z21" s="1" t="s">
        <v>46</v>
      </c>
      <c r="AA21" s="1" t="s">
        <v>80</v>
      </c>
      <c r="AB21" s="1" t="s">
        <v>45</v>
      </c>
      <c r="AC21" s="1" t="s">
        <v>47</v>
      </c>
      <c r="AD21" s="1" t="s">
        <v>39</v>
      </c>
      <c r="AE21" s="8">
        <f>IF(L21&lt;&gt;"",L21*E21,0)</f>
      </c>
    </row>
    <row r="22" spans="1:31" x14ac:dyDescent="0.25">
      <c r="A22" s="4">
        <v>17</v>
      </c>
      <c r="B22" s="1" t="s">
        <v>107</v>
      </c>
      <c r="C22" s="5">
        <f>HYPERLINK("https://client.unique.diamonds/dna/21139-13","DNA")</f>
      </c>
      <c r="D22" s="1" t="s">
        <v>36</v>
      </c>
      <c r="E22" s="6">
        <v>2.5</v>
      </c>
      <c r="F22" s="1" t="s">
        <v>71</v>
      </c>
      <c r="G22" s="1" t="s">
        <v>75</v>
      </c>
      <c r="H22" s="1" t="s">
        <v>39</v>
      </c>
      <c r="I22" s="1" t="s">
        <v>40</v>
      </c>
      <c r="J22" s="1" t="s">
        <v>40</v>
      </c>
      <c r="K22" s="1" t="s">
        <v>45</v>
      </c>
      <c r="L22" s="4">
        <v>10300</v>
      </c>
      <c r="M22" s="6">
        <v>-13.5</v>
      </c>
      <c r="N22" s="7">
        <f>IF(AND(L22 &lt;&gt; "-", M22 &lt;&gt; "-"),L22*( 1 + M22%),0)</f>
      </c>
      <c r="O22" s="7">
        <f>( N22 * E22 )</f>
      </c>
      <c r="P22" s="1" t="s">
        <v>108</v>
      </c>
      <c r="Q22" s="6">
        <v>1.38</v>
      </c>
      <c r="R22" s="6">
        <v>63.3</v>
      </c>
      <c r="S22" s="4">
        <v>58</v>
      </c>
      <c r="T22" s="1" t="s">
        <v>43</v>
      </c>
      <c r="U22" s="5">
        <f>HYPERLINK("https://www.gia.edu/report-check?reportno=1468747501","1468747501")</f>
      </c>
      <c r="V22" s="1" t="s">
        <v>39</v>
      </c>
      <c r="W22" s="1" t="s">
        <v>109</v>
      </c>
      <c r="X22" s="1" t="s">
        <v>51</v>
      </c>
      <c r="Y22" s="1" t="s">
        <v>45</v>
      </c>
      <c r="Z22" s="1" t="s">
        <v>46</v>
      </c>
      <c r="AA22" s="1" t="s">
        <v>52</v>
      </c>
      <c r="AB22" s="1" t="s">
        <v>45</v>
      </c>
      <c r="AC22" s="1" t="s">
        <v>47</v>
      </c>
      <c r="AD22" s="1" t="s">
        <v>39</v>
      </c>
      <c r="AE22" s="8">
        <f>IF(L22&lt;&gt;"",L22*E22,0)</f>
      </c>
    </row>
    <row r="23" spans="1:31" x14ac:dyDescent="0.25">
      <c r="A23" s="4">
        <v>18</v>
      </c>
      <c r="B23" s="1" t="s">
        <v>110</v>
      </c>
      <c r="C23" s="5">
        <f>HYPERLINK("https://client.unique.diamonds/dna/21098-56","DNA")</f>
      </c>
      <c r="D23" s="1" t="s">
        <v>36</v>
      </c>
      <c r="E23" s="6">
        <v>1.5</v>
      </c>
      <c r="F23" s="1" t="s">
        <v>37</v>
      </c>
      <c r="G23" s="1" t="s">
        <v>111</v>
      </c>
      <c r="H23" s="1" t="s">
        <v>39</v>
      </c>
      <c r="I23" s="1" t="s">
        <v>40</v>
      </c>
      <c r="J23" s="1" t="s">
        <v>40</v>
      </c>
      <c r="K23" s="1" t="s">
        <v>45</v>
      </c>
      <c r="L23" s="4">
        <v>12000</v>
      </c>
      <c r="M23" s="6">
        <v>-29.5</v>
      </c>
      <c r="N23" s="7">
        <f>IF(AND(L23 &lt;&gt; "-", M23 &lt;&gt; "-"),L23*( 1 + M23%),0)</f>
      </c>
      <c r="O23" s="7">
        <f>( N23 * E23 )</f>
      </c>
      <c r="P23" s="1" t="s">
        <v>112</v>
      </c>
      <c r="Q23" s="6">
        <v>1.42</v>
      </c>
      <c r="R23" s="6">
        <v>62.7</v>
      </c>
      <c r="S23" s="4">
        <v>62</v>
      </c>
      <c r="T23" s="1" t="s">
        <v>43</v>
      </c>
      <c r="U23" s="5">
        <f>HYPERLINK("https://www.gia.edu/report-check?reportno=6462733474","6462733474")</f>
      </c>
      <c r="V23" s="1" t="s">
        <v>39</v>
      </c>
      <c r="W23" s="1" t="s">
        <v>113</v>
      </c>
      <c r="X23" s="1" t="s">
        <v>79</v>
      </c>
      <c r="Y23" s="1" t="s">
        <v>45</v>
      </c>
      <c r="Z23" s="1" t="s">
        <v>79</v>
      </c>
      <c r="AA23" s="1" t="s">
        <v>52</v>
      </c>
      <c r="AB23" s="1" t="s">
        <v>80</v>
      </c>
      <c r="AC23" s="1" t="s">
        <v>47</v>
      </c>
      <c r="AD23" s="1" t="s">
        <v>39</v>
      </c>
      <c r="AE23" s="8">
        <f>IF(L23&lt;&gt;"",L23*E23,0)</f>
      </c>
    </row>
    <row r="24" spans="1:31" x14ac:dyDescent="0.25">
      <c r="A24" s="4">
        <v>19</v>
      </c>
      <c r="B24" s="1" t="s">
        <v>114</v>
      </c>
      <c r="C24" s="5">
        <f>HYPERLINK("https://client.unique.diamonds/dna/21106-90","DNA")</f>
      </c>
      <c r="D24" s="1" t="s">
        <v>36</v>
      </c>
      <c r="E24" s="6">
        <v>1.71</v>
      </c>
      <c r="F24" s="1" t="s">
        <v>37</v>
      </c>
      <c r="G24" s="1" t="s">
        <v>111</v>
      </c>
      <c r="H24" s="1" t="s">
        <v>39</v>
      </c>
      <c r="I24" s="1" t="s">
        <v>40</v>
      </c>
      <c r="J24" s="1" t="s">
        <v>40</v>
      </c>
      <c r="K24" s="1" t="s">
        <v>45</v>
      </c>
      <c r="L24" s="4">
        <v>12000</v>
      </c>
      <c r="M24" s="6">
        <v>-20</v>
      </c>
      <c r="N24" s="7">
        <f>IF(AND(L24 &lt;&gt; "-", M24 &lt;&gt; "-"),L24*( 1 + M24%),0)</f>
      </c>
      <c r="O24" s="7">
        <f>( N24 * E24 )</f>
      </c>
      <c r="P24" s="1" t="s">
        <v>115</v>
      </c>
      <c r="Q24" s="6">
        <v>1.38</v>
      </c>
      <c r="R24" s="6">
        <v>63.4</v>
      </c>
      <c r="S24" s="4">
        <v>58</v>
      </c>
      <c r="T24" s="1" t="s">
        <v>43</v>
      </c>
      <c r="U24" s="5">
        <f>HYPERLINK("https://www.gia.edu/report-check?reportno=6462564829","6462564829")</f>
      </c>
      <c r="V24" s="1" t="s">
        <v>39</v>
      </c>
      <c r="W24" s="1" t="s">
        <v>116</v>
      </c>
      <c r="X24" s="1" t="s">
        <v>51</v>
      </c>
      <c r="Y24" s="1" t="s">
        <v>45</v>
      </c>
      <c r="Z24" s="1" t="s">
        <v>45</v>
      </c>
      <c r="AA24" s="1" t="s">
        <v>80</v>
      </c>
      <c r="AB24" s="1" t="s">
        <v>45</v>
      </c>
      <c r="AC24" s="1" t="s">
        <v>47</v>
      </c>
      <c r="AD24" s="1" t="s">
        <v>39</v>
      </c>
      <c r="AE24" s="8">
        <f>IF(L24&lt;&gt;"",L24*E24,0)</f>
      </c>
    </row>
    <row r="25" spans="1:31" x14ac:dyDescent="0.25">
      <c r="A25" s="4">
        <v>20</v>
      </c>
      <c r="B25" s="1" t="s">
        <v>117</v>
      </c>
      <c r="C25" s="5">
        <f>HYPERLINK("https://client.unique.diamonds/dna/21130-49","DNA")</f>
      </c>
      <c r="D25" s="1" t="s">
        <v>36</v>
      </c>
      <c r="E25" s="6">
        <v>2</v>
      </c>
      <c r="F25" s="1" t="s">
        <v>37</v>
      </c>
      <c r="G25" s="1" t="s">
        <v>111</v>
      </c>
      <c r="H25" s="1" t="s">
        <v>39</v>
      </c>
      <c r="I25" s="1" t="s">
        <v>40</v>
      </c>
      <c r="J25" s="1" t="s">
        <v>40</v>
      </c>
      <c r="K25" s="1" t="s">
        <v>45</v>
      </c>
      <c r="L25" s="4">
        <v>17500</v>
      </c>
      <c r="M25" s="6">
        <v>-29.5</v>
      </c>
      <c r="N25" s="7">
        <f>IF(AND(L25 &lt;&gt; "-", M25 &lt;&gt; "-"),L25*( 1 + M25%),0)</f>
      </c>
      <c r="O25" s="7">
        <f>( N25 * E25 )</f>
      </c>
      <c r="P25" s="1" t="s">
        <v>118</v>
      </c>
      <c r="Q25" s="6">
        <v>1.38</v>
      </c>
      <c r="R25" s="6">
        <v>63.3</v>
      </c>
      <c r="S25" s="4">
        <v>61</v>
      </c>
      <c r="T25" s="1" t="s">
        <v>43</v>
      </c>
      <c r="U25" s="5">
        <f>HYPERLINK("https://www.gia.edu/report-check?reportno=7468683354","7468683354")</f>
      </c>
      <c r="V25" s="1" t="s">
        <v>39</v>
      </c>
      <c r="W25" s="1" t="s">
        <v>119</v>
      </c>
      <c r="X25" s="1" t="s">
        <v>79</v>
      </c>
      <c r="Y25" s="1" t="s">
        <v>45</v>
      </c>
      <c r="Z25" s="1" t="s">
        <v>79</v>
      </c>
      <c r="AA25" s="1" t="s">
        <v>80</v>
      </c>
      <c r="AB25" s="1" t="s">
        <v>80</v>
      </c>
      <c r="AC25" s="1" t="s">
        <v>120</v>
      </c>
      <c r="AD25" s="1" t="s">
        <v>39</v>
      </c>
      <c r="AE25" s="8">
        <f>IF(L25&lt;&gt;"",L25*E25,0)</f>
      </c>
    </row>
    <row r="26" spans="1:31" x14ac:dyDescent="0.25">
      <c r="A26" s="4">
        <v>21</v>
      </c>
      <c r="B26" s="1" t="s">
        <v>121</v>
      </c>
      <c r="C26" s="5">
        <f>HYPERLINK("https://client.unique.diamonds/dna/21027-73","DNA")</f>
      </c>
      <c r="D26" s="1" t="s">
        <v>36</v>
      </c>
      <c r="E26" s="6">
        <v>2.01</v>
      </c>
      <c r="F26" s="1" t="s">
        <v>37</v>
      </c>
      <c r="G26" s="1" t="s">
        <v>111</v>
      </c>
      <c r="H26" s="1" t="s">
        <v>39</v>
      </c>
      <c r="I26" s="1" t="s">
        <v>40</v>
      </c>
      <c r="J26" s="1" t="s">
        <v>76</v>
      </c>
      <c r="K26" s="1" t="s">
        <v>45</v>
      </c>
      <c r="L26" s="4">
        <v>17500</v>
      </c>
      <c r="M26" s="6">
        <v>-29</v>
      </c>
      <c r="N26" s="7">
        <f>IF(AND(L26 &lt;&gt; "-", M26 &lt;&gt; "-"),L26*( 1 + M26%),0)</f>
      </c>
      <c r="O26" s="7">
        <f>( N26 * E26 )</f>
      </c>
      <c r="P26" s="1" t="s">
        <v>122</v>
      </c>
      <c r="Q26" s="6">
        <v>1.38</v>
      </c>
      <c r="R26" s="6">
        <v>60.7</v>
      </c>
      <c r="S26" s="4">
        <v>61</v>
      </c>
      <c r="T26" s="1" t="s">
        <v>43</v>
      </c>
      <c r="U26" s="5">
        <f>HYPERLINK("https://www.gia.edu/report-check?reportno=2457729889","2457729889")</f>
      </c>
      <c r="V26" s="1" t="s">
        <v>39</v>
      </c>
      <c r="W26" s="1" t="s">
        <v>123</v>
      </c>
      <c r="X26" s="1" t="s">
        <v>79</v>
      </c>
      <c r="Y26" s="1" t="s">
        <v>45</v>
      </c>
      <c r="Z26" s="1" t="s">
        <v>46</v>
      </c>
      <c r="AA26" s="1" t="s">
        <v>45</v>
      </c>
      <c r="AB26" s="1" t="s">
        <v>45</v>
      </c>
      <c r="AC26" s="1" t="s">
        <v>47</v>
      </c>
      <c r="AD26" s="1" t="s">
        <v>39</v>
      </c>
      <c r="AE26" s="8">
        <f>IF(L26&lt;&gt;"",L26*E26,0)</f>
      </c>
    </row>
    <row r="27" spans="1:31" x14ac:dyDescent="0.25">
      <c r="A27" s="4">
        <v>22</v>
      </c>
      <c r="B27" s="1" t="s">
        <v>124</v>
      </c>
      <c r="C27" s="5">
        <f>HYPERLINK("https://client.unique.diamonds/dna/21040-34","DNA")</f>
      </c>
      <c r="D27" s="1" t="s">
        <v>36</v>
      </c>
      <c r="E27" s="6">
        <v>2.01</v>
      </c>
      <c r="F27" s="1" t="s">
        <v>37</v>
      </c>
      <c r="G27" s="1" t="s">
        <v>111</v>
      </c>
      <c r="H27" s="1" t="s">
        <v>39</v>
      </c>
      <c r="I27" s="1" t="s">
        <v>40</v>
      </c>
      <c r="J27" s="1" t="s">
        <v>40</v>
      </c>
      <c r="K27" s="1" t="s">
        <v>45</v>
      </c>
      <c r="L27" s="4">
        <v>17500</v>
      </c>
      <c r="M27" s="6">
        <v>-29</v>
      </c>
      <c r="N27" s="7">
        <f>IF(AND(L27 &lt;&gt; "-", M27 &lt;&gt; "-"),L27*( 1 + M27%),0)</f>
      </c>
      <c r="O27" s="7">
        <f>( N27 * E27 )</f>
      </c>
      <c r="P27" s="1" t="s">
        <v>125</v>
      </c>
      <c r="Q27" s="6">
        <v>1.38</v>
      </c>
      <c r="R27" s="6">
        <v>61.9</v>
      </c>
      <c r="S27" s="4">
        <v>61</v>
      </c>
      <c r="T27" s="1" t="s">
        <v>43</v>
      </c>
      <c r="U27" s="5">
        <f>HYPERLINK("https://www.gia.edu/report-check?reportno=6452909943","6452909943")</f>
      </c>
      <c r="V27" s="1" t="s">
        <v>39</v>
      </c>
      <c r="W27" s="1" t="s">
        <v>126</v>
      </c>
      <c r="X27" s="1" t="s">
        <v>46</v>
      </c>
      <c r="Y27" s="1" t="s">
        <v>45</v>
      </c>
      <c r="Z27" s="1" t="s">
        <v>46</v>
      </c>
      <c r="AA27" s="1" t="s">
        <v>80</v>
      </c>
      <c r="AB27" s="1" t="s">
        <v>80</v>
      </c>
      <c r="AC27" s="1" t="s">
        <v>47</v>
      </c>
      <c r="AD27" s="1" t="s">
        <v>39</v>
      </c>
      <c r="AE27" s="8">
        <f>IF(L27&lt;&gt;"",L27*E27,0)</f>
      </c>
    </row>
    <row r="28" spans="1:31" x14ac:dyDescent="0.25">
      <c r="A28" s="4">
        <v>23</v>
      </c>
      <c r="B28" s="1" t="s">
        <v>127</v>
      </c>
      <c r="C28" s="5">
        <f>HYPERLINK("https://client.unique.diamonds/dna/21107-1","DNA")</f>
      </c>
      <c r="D28" s="1" t="s">
        <v>36</v>
      </c>
      <c r="E28" s="6">
        <v>3.05</v>
      </c>
      <c r="F28" s="1" t="s">
        <v>54</v>
      </c>
      <c r="G28" s="1" t="s">
        <v>111</v>
      </c>
      <c r="H28" s="1" t="s">
        <v>39</v>
      </c>
      <c r="I28" s="1" t="s">
        <v>40</v>
      </c>
      <c r="J28" s="1" t="s">
        <v>40</v>
      </c>
      <c r="K28" s="1" t="s">
        <v>45</v>
      </c>
      <c r="L28" s="4">
        <v>24500</v>
      </c>
      <c r="M28" s="6">
        <v>-31</v>
      </c>
      <c r="N28" s="7">
        <f>IF(AND(L28 &lt;&gt; "-", M28 &lt;&gt; "-"),L28*( 1 + M28%),0)</f>
      </c>
      <c r="O28" s="7">
        <f>( N28 * E28 )</f>
      </c>
      <c r="P28" s="1" t="s">
        <v>128</v>
      </c>
      <c r="Q28" s="6">
        <v>1.48</v>
      </c>
      <c r="R28" s="6">
        <v>62</v>
      </c>
      <c r="S28" s="4">
        <v>59</v>
      </c>
      <c r="T28" s="1" t="s">
        <v>43</v>
      </c>
      <c r="U28" s="5">
        <f>HYPERLINK("https://www.gia.edu/report-check?reportno=2464441662","2464441662")</f>
      </c>
      <c r="V28" s="1" t="s">
        <v>39</v>
      </c>
      <c r="W28" s="1" t="s">
        <v>116</v>
      </c>
      <c r="X28" s="1" t="s">
        <v>45</v>
      </c>
      <c r="Y28" s="1" t="s">
        <v>45</v>
      </c>
      <c r="Z28" s="1" t="s">
        <v>45</v>
      </c>
      <c r="AA28" s="1" t="s">
        <v>80</v>
      </c>
      <c r="AB28" s="1" t="s">
        <v>80</v>
      </c>
      <c r="AC28" s="1" t="s">
        <v>47</v>
      </c>
      <c r="AD28" s="1" t="s">
        <v>39</v>
      </c>
      <c r="AE28" s="8">
        <f>IF(L28&lt;&gt;"",L28*E28,0)</f>
      </c>
    </row>
    <row r="29" spans="1:31" x14ac:dyDescent="0.25">
      <c r="A29" s="4">
        <v>24</v>
      </c>
      <c r="B29" s="1" t="s">
        <v>129</v>
      </c>
      <c r="C29" s="5">
        <f>HYPERLINK("https://client.unique.diamonds/dna/21027-101","DNA")</f>
      </c>
      <c r="D29" s="1" t="s">
        <v>36</v>
      </c>
      <c r="E29" s="6">
        <v>2.01</v>
      </c>
      <c r="F29" s="1" t="s">
        <v>88</v>
      </c>
      <c r="G29" s="1" t="s">
        <v>111</v>
      </c>
      <c r="H29" s="1" t="s">
        <v>39</v>
      </c>
      <c r="I29" s="1" t="s">
        <v>40</v>
      </c>
      <c r="J29" s="1" t="s">
        <v>40</v>
      </c>
      <c r="K29" s="1" t="s">
        <v>41</v>
      </c>
      <c r="L29" s="4">
        <v>15500</v>
      </c>
      <c r="M29" s="6">
        <v>-33</v>
      </c>
      <c r="N29" s="7">
        <f>IF(AND(L29 &lt;&gt; "-", M29 &lt;&gt; "-"),L29*( 1 + M29%),0)</f>
      </c>
      <c r="O29" s="7">
        <f>( N29 * E29 )</f>
      </c>
      <c r="P29" s="1" t="s">
        <v>130</v>
      </c>
      <c r="Q29" s="6">
        <v>1.38</v>
      </c>
      <c r="R29" s="6">
        <v>63.5</v>
      </c>
      <c r="S29" s="4">
        <v>61</v>
      </c>
      <c r="T29" s="1" t="s">
        <v>43</v>
      </c>
      <c r="U29" s="5">
        <f>HYPERLINK("https://www.gia.edu/report-check?reportno=2221849940","2221849940")</f>
      </c>
      <c r="V29" s="1" t="s">
        <v>39</v>
      </c>
      <c r="W29" s="1" t="s">
        <v>131</v>
      </c>
      <c r="X29" s="1" t="s">
        <v>46</v>
      </c>
      <c r="Y29" s="1" t="s">
        <v>45</v>
      </c>
      <c r="Z29" s="1" t="s">
        <v>45</v>
      </c>
      <c r="AA29" s="1" t="s">
        <v>80</v>
      </c>
      <c r="AB29" s="1" t="s">
        <v>62</v>
      </c>
      <c r="AC29" s="1" t="s">
        <v>91</v>
      </c>
      <c r="AD29" s="1" t="s">
        <v>39</v>
      </c>
      <c r="AE29" s="8">
        <f>IF(L29&lt;&gt;"",L29*E29,0)</f>
      </c>
    </row>
    <row r="30" spans="1:31" x14ac:dyDescent="0.25">
      <c r="A30" s="4">
        <v>25</v>
      </c>
      <c r="B30" s="1" t="s">
        <v>132</v>
      </c>
      <c r="C30" s="5">
        <f>HYPERLINK("https://client.unique.diamonds/dna/21072-12","DNA")</f>
      </c>
      <c r="D30" s="1" t="s">
        <v>36</v>
      </c>
      <c r="E30" s="6">
        <v>1.5</v>
      </c>
      <c r="F30" s="1" t="s">
        <v>59</v>
      </c>
      <c r="G30" s="1" t="s">
        <v>111</v>
      </c>
      <c r="H30" s="1" t="s">
        <v>39</v>
      </c>
      <c r="I30" s="1" t="s">
        <v>40</v>
      </c>
      <c r="J30" s="1" t="s">
        <v>40</v>
      </c>
      <c r="K30" s="1" t="s">
        <v>45</v>
      </c>
      <c r="L30" s="4">
        <v>10100</v>
      </c>
      <c r="M30" s="6">
        <v>-30</v>
      </c>
      <c r="N30" s="7">
        <f>IF(AND(L30 &lt;&gt; "-", M30 &lt;&gt; "-"),L30*( 1 + M30%),0)</f>
      </c>
      <c r="O30" s="7">
        <f>( N30 * E30 )</f>
      </c>
      <c r="P30" s="1" t="s">
        <v>133</v>
      </c>
      <c r="Q30" s="6">
        <v>1.38</v>
      </c>
      <c r="R30" s="6">
        <v>62.9</v>
      </c>
      <c r="S30" s="4">
        <v>62</v>
      </c>
      <c r="T30" s="1" t="s">
        <v>43</v>
      </c>
      <c r="U30" s="5">
        <f>HYPERLINK("https://www.gia.edu/report-check?reportno=1469286452","1469286452")</f>
      </c>
      <c r="V30" s="1" t="s">
        <v>39</v>
      </c>
      <c r="W30" s="1" t="s">
        <v>134</v>
      </c>
      <c r="X30" s="1" t="s">
        <v>46</v>
      </c>
      <c r="Y30" s="1" t="s">
        <v>45</v>
      </c>
      <c r="Z30" s="1" t="s">
        <v>46</v>
      </c>
      <c r="AA30" s="1" t="s">
        <v>45</v>
      </c>
      <c r="AB30" s="1" t="s">
        <v>45</v>
      </c>
      <c r="AC30" s="1" t="s">
        <v>47</v>
      </c>
      <c r="AD30" s="1" t="s">
        <v>39</v>
      </c>
      <c r="AE30" s="8">
        <f>IF(L30&lt;&gt;"",L30*E30,0)</f>
      </c>
    </row>
    <row r="31" spans="1:31" x14ac:dyDescent="0.25">
      <c r="A31" s="4">
        <v>26</v>
      </c>
      <c r="B31" s="1" t="s">
        <v>135</v>
      </c>
      <c r="C31" s="5">
        <f>HYPERLINK("https://client.unique.diamonds/dna/11237-18","DNA")</f>
      </c>
      <c r="D31" s="1" t="s">
        <v>36</v>
      </c>
      <c r="E31" s="6">
        <v>1.51</v>
      </c>
      <c r="F31" s="1" t="s">
        <v>59</v>
      </c>
      <c r="G31" s="1" t="s">
        <v>111</v>
      </c>
      <c r="H31" s="1" t="s">
        <v>39</v>
      </c>
      <c r="I31" s="1" t="s">
        <v>40</v>
      </c>
      <c r="J31" s="1" t="s">
        <v>40</v>
      </c>
      <c r="K31" s="1" t="s">
        <v>45</v>
      </c>
      <c r="L31" s="4">
        <v>10100</v>
      </c>
      <c r="M31" s="6">
        <v>-33</v>
      </c>
      <c r="N31" s="7">
        <f>IF(AND(L31 &lt;&gt; "-", M31 &lt;&gt; "-"),L31*( 1 + M31%),0)</f>
      </c>
      <c r="O31" s="7">
        <f>( N31 * E31 )</f>
      </c>
      <c r="P31" s="1" t="s">
        <v>136</v>
      </c>
      <c r="Q31" s="6">
        <v>1.38</v>
      </c>
      <c r="R31" s="6">
        <v>55.3</v>
      </c>
      <c r="S31" s="4">
        <v>56</v>
      </c>
      <c r="T31" s="1" t="s">
        <v>43</v>
      </c>
      <c r="U31" s="5">
        <f>HYPERLINK("https://www.gia.edu/report-check?reportno=7442636025","7442636025")</f>
      </c>
      <c r="V31" s="1" t="s">
        <v>39</v>
      </c>
      <c r="W31" s="1" t="s">
        <v>94</v>
      </c>
      <c r="X31" s="1" t="s">
        <v>51</v>
      </c>
      <c r="Y31" s="1" t="s">
        <v>45</v>
      </c>
      <c r="Z31" s="1" t="s">
        <v>46</v>
      </c>
      <c r="AA31" s="1" t="s">
        <v>80</v>
      </c>
      <c r="AB31" s="1" t="s">
        <v>62</v>
      </c>
      <c r="AC31" s="1" t="s">
        <v>47</v>
      </c>
      <c r="AD31" s="1" t="s">
        <v>39</v>
      </c>
      <c r="AE31" s="8">
        <f>IF(L31&lt;&gt;"",L31*E31,0)</f>
      </c>
    </row>
    <row r="32" spans="1:31" x14ac:dyDescent="0.25">
      <c r="A32" s="4">
        <v>27</v>
      </c>
      <c r="B32" s="1" t="s">
        <v>137</v>
      </c>
      <c r="C32" s="5">
        <f>HYPERLINK("https://client.unique.diamonds/dna/21106-68","DNA")</f>
      </c>
      <c r="D32" s="1" t="s">
        <v>36</v>
      </c>
      <c r="E32" s="6">
        <v>2.02</v>
      </c>
      <c r="F32" s="1" t="s">
        <v>67</v>
      </c>
      <c r="G32" s="1" t="s">
        <v>111</v>
      </c>
      <c r="H32" s="1" t="s">
        <v>39</v>
      </c>
      <c r="I32" s="1" t="s">
        <v>40</v>
      </c>
      <c r="J32" s="1" t="s">
        <v>40</v>
      </c>
      <c r="K32" s="1" t="s">
        <v>45</v>
      </c>
      <c r="L32" s="4">
        <v>12000</v>
      </c>
      <c r="M32" s="6">
        <v>-26</v>
      </c>
      <c r="N32" s="7">
        <f>IF(AND(L32 &lt;&gt; "-", M32 &lt;&gt; "-"),L32*( 1 + M32%),0)</f>
      </c>
      <c r="O32" s="7">
        <f>( N32 * E32 )</f>
      </c>
      <c r="P32" s="1" t="s">
        <v>138</v>
      </c>
      <c r="Q32" s="6">
        <v>1.38</v>
      </c>
      <c r="R32" s="6">
        <v>63.5</v>
      </c>
      <c r="S32" s="4">
        <v>60</v>
      </c>
      <c r="T32" s="1" t="s">
        <v>43</v>
      </c>
      <c r="U32" s="5">
        <f>HYPERLINK("https://www.gia.edu/report-check?reportno=1463539266","1463539266")</f>
      </c>
      <c r="V32" s="1" t="s">
        <v>39</v>
      </c>
      <c r="W32" s="1" t="s">
        <v>116</v>
      </c>
      <c r="X32" s="1" t="s">
        <v>79</v>
      </c>
      <c r="Y32" s="1" t="s">
        <v>45</v>
      </c>
      <c r="Z32" s="1" t="s">
        <v>46</v>
      </c>
      <c r="AA32" s="1" t="s">
        <v>80</v>
      </c>
      <c r="AB32" s="1" t="s">
        <v>80</v>
      </c>
      <c r="AC32" s="1" t="s">
        <v>47</v>
      </c>
      <c r="AD32" s="1" t="s">
        <v>39</v>
      </c>
      <c r="AE32" s="8">
        <f>IF(L32&lt;&gt;"",L32*E32,0)</f>
      </c>
    </row>
    <row r="33" spans="1:31" x14ac:dyDescent="0.25">
      <c r="A33" s="4">
        <v>28</v>
      </c>
      <c r="B33" s="1" t="s">
        <v>139</v>
      </c>
      <c r="C33" s="5">
        <f>HYPERLINK("https://client.unique.diamonds/dna/21077-22","DNA")</f>
      </c>
      <c r="D33" s="1" t="s">
        <v>36</v>
      </c>
      <c r="E33" s="6">
        <v>3.01</v>
      </c>
      <c r="F33" s="1" t="s">
        <v>37</v>
      </c>
      <c r="G33" s="1" t="s">
        <v>140</v>
      </c>
      <c r="H33" s="1" t="s">
        <v>39</v>
      </c>
      <c r="I33" s="1" t="s">
        <v>40</v>
      </c>
      <c r="J33" s="1" t="s">
        <v>40</v>
      </c>
      <c r="K33" s="1" t="s">
        <v>45</v>
      </c>
      <c r="L33" s="4">
        <v>23000</v>
      </c>
      <c r="M33" s="6">
        <v>-36.5</v>
      </c>
      <c r="N33" s="7">
        <f>IF(AND(L33 &lt;&gt; "-", M33 &lt;&gt; "-"),L33*( 1 + M33%),0)</f>
      </c>
      <c r="O33" s="7">
        <f>( N33 * E33 )</f>
      </c>
      <c r="P33" s="1" t="s">
        <v>141</v>
      </c>
      <c r="Q33" s="6">
        <v>1.42</v>
      </c>
      <c r="R33" s="6">
        <v>63.3</v>
      </c>
      <c r="S33" s="4">
        <v>60</v>
      </c>
      <c r="T33" s="1" t="s">
        <v>43</v>
      </c>
      <c r="U33" s="5">
        <f>HYPERLINK("https://www.gia.edu/report-check?reportno=6461183115","6461183115")</f>
      </c>
      <c r="V33" s="1" t="s">
        <v>39</v>
      </c>
      <c r="W33" s="1" t="s">
        <v>142</v>
      </c>
      <c r="X33" s="1" t="s">
        <v>79</v>
      </c>
      <c r="Y33" s="1" t="s">
        <v>45</v>
      </c>
      <c r="Z33" s="1" t="s">
        <v>46</v>
      </c>
      <c r="AA33" s="1" t="s">
        <v>80</v>
      </c>
      <c r="AB33" s="1" t="s">
        <v>62</v>
      </c>
      <c r="AC33" s="1" t="s">
        <v>47</v>
      </c>
      <c r="AD33" s="1" t="s">
        <v>39</v>
      </c>
      <c r="AE33" s="8">
        <f>IF(L33&lt;&gt;"",L33*E33,0)</f>
      </c>
    </row>
    <row r="34" spans="1:31" x14ac:dyDescent="0.25">
      <c r="A34" s="4">
        <v>29</v>
      </c>
      <c r="B34" s="1" t="s">
        <v>143</v>
      </c>
      <c r="C34" s="5">
        <f>HYPERLINK("https://client.unique.diamonds/dna/22018-78","DNA")</f>
      </c>
      <c r="D34" s="1" t="s">
        <v>36</v>
      </c>
      <c r="E34" s="6">
        <v>1.6</v>
      </c>
      <c r="F34" s="1" t="s">
        <v>54</v>
      </c>
      <c r="G34" s="1" t="s">
        <v>140</v>
      </c>
      <c r="H34" s="1" t="s">
        <v>39</v>
      </c>
      <c r="I34" s="1" t="s">
        <v>40</v>
      </c>
      <c r="J34" s="1" t="s">
        <v>76</v>
      </c>
      <c r="K34" s="1" t="s">
        <v>41</v>
      </c>
      <c r="L34" s="4">
        <v>10100</v>
      </c>
      <c r="M34" s="6">
        <v>-37.5</v>
      </c>
      <c r="N34" s="7">
        <f>IF(AND(L34 &lt;&gt; "-", M34 &lt;&gt; "-"),L34*( 1 + M34%),0)</f>
      </c>
      <c r="O34" s="7">
        <f>( N34 * E34 )</f>
      </c>
      <c r="P34" s="1" t="s">
        <v>144</v>
      </c>
      <c r="Q34" s="6">
        <v>1.38</v>
      </c>
      <c r="R34" s="6">
        <v>63.4</v>
      </c>
      <c r="S34" s="4">
        <v>61</v>
      </c>
      <c r="T34" s="1" t="s">
        <v>43</v>
      </c>
      <c r="U34" s="5">
        <f>HYPERLINK("https://www.gia.edu/report-check?reportno=2467746518","2467746518")</f>
      </c>
      <c r="V34" s="1" t="s">
        <v>39</v>
      </c>
      <c r="W34" s="1" t="s">
        <v>145</v>
      </c>
      <c r="X34" s="1" t="s">
        <v>46</v>
      </c>
      <c r="Y34" s="1" t="s">
        <v>45</v>
      </c>
      <c r="Z34" s="1" t="s">
        <v>46</v>
      </c>
      <c r="AA34" s="1" t="s">
        <v>80</v>
      </c>
      <c r="AB34" s="1" t="s">
        <v>80</v>
      </c>
      <c r="AC34" s="1" t="s">
        <v>91</v>
      </c>
      <c r="AD34" s="1" t="s">
        <v>39</v>
      </c>
      <c r="AE34" s="8">
        <f>IF(L34&lt;&gt;"",L34*E34,0)</f>
      </c>
    </row>
    <row r="35" spans="1:31" x14ac:dyDescent="0.25">
      <c r="A35" s="4">
        <v>30</v>
      </c>
      <c r="B35" s="1" t="s">
        <v>146</v>
      </c>
      <c r="C35" s="5">
        <f>HYPERLINK("https://client.unique.diamonds/dna/21058-14","DNA")</f>
      </c>
      <c r="D35" s="1" t="s">
        <v>36</v>
      </c>
      <c r="E35" s="6">
        <v>1.7</v>
      </c>
      <c r="F35" s="1" t="s">
        <v>54</v>
      </c>
      <c r="G35" s="1" t="s">
        <v>140</v>
      </c>
      <c r="H35" s="1" t="s">
        <v>39</v>
      </c>
      <c r="I35" s="1" t="s">
        <v>40</v>
      </c>
      <c r="J35" s="1" t="s">
        <v>40</v>
      </c>
      <c r="K35" s="1" t="s">
        <v>45</v>
      </c>
      <c r="L35" s="4">
        <v>10100</v>
      </c>
      <c r="M35" s="6">
        <v>-23</v>
      </c>
      <c r="N35" s="7">
        <f>IF(AND(L35 &lt;&gt; "-", M35 &lt;&gt; "-"),L35*( 1 + M35%),0)</f>
      </c>
      <c r="O35" s="7">
        <f>( N35 * E35 )</f>
      </c>
      <c r="P35" s="1" t="s">
        <v>147</v>
      </c>
      <c r="Q35" s="6">
        <v>1.38</v>
      </c>
      <c r="R35" s="6">
        <v>63.5</v>
      </c>
      <c r="S35" s="4">
        <v>58</v>
      </c>
      <c r="T35" s="1" t="s">
        <v>43</v>
      </c>
      <c r="U35" s="5">
        <f>HYPERLINK("https://www.gia.edu/report-check?reportno=6465308880","6465308880")</f>
      </c>
      <c r="V35" s="1" t="s">
        <v>39</v>
      </c>
      <c r="W35" s="1" t="s">
        <v>148</v>
      </c>
      <c r="X35" s="1" t="s">
        <v>45</v>
      </c>
      <c r="Y35" s="1" t="s">
        <v>45</v>
      </c>
      <c r="Z35" s="1" t="s">
        <v>79</v>
      </c>
      <c r="AA35" s="1" t="s">
        <v>45</v>
      </c>
      <c r="AB35" s="1" t="s">
        <v>80</v>
      </c>
      <c r="AC35" s="1" t="s">
        <v>47</v>
      </c>
      <c r="AD35" s="1" t="s">
        <v>39</v>
      </c>
      <c r="AE35" s="8">
        <f>IF(L35&lt;&gt;"",L35*E35,0)</f>
      </c>
    </row>
    <row r="36" spans="1:31" x14ac:dyDescent="0.25">
      <c r="A36" s="4">
        <v>31</v>
      </c>
      <c r="B36" s="1" t="s">
        <v>149</v>
      </c>
      <c r="C36" s="5">
        <f>HYPERLINK("https://client.unique.diamonds/dna/21058-11","DNA")</f>
      </c>
      <c r="D36" s="1" t="s">
        <v>36</v>
      </c>
      <c r="E36" s="6">
        <v>2.01</v>
      </c>
      <c r="F36" s="1" t="s">
        <v>54</v>
      </c>
      <c r="G36" s="1" t="s">
        <v>140</v>
      </c>
      <c r="H36" s="1" t="s">
        <v>39</v>
      </c>
      <c r="I36" s="1" t="s">
        <v>40</v>
      </c>
      <c r="J36" s="1" t="s">
        <v>40</v>
      </c>
      <c r="K36" s="1" t="s">
        <v>45</v>
      </c>
      <c r="L36" s="4">
        <v>13500</v>
      </c>
      <c r="M36" s="6">
        <v>-27.5</v>
      </c>
      <c r="N36" s="7">
        <f>IF(AND(L36 &lt;&gt; "-", M36 &lt;&gt; "-"),L36*( 1 + M36%),0)</f>
      </c>
      <c r="O36" s="7">
        <f>( N36 * E36 )</f>
      </c>
      <c r="P36" s="1" t="s">
        <v>150</v>
      </c>
      <c r="Q36" s="6">
        <v>1.4</v>
      </c>
      <c r="R36" s="6">
        <v>61.9</v>
      </c>
      <c r="S36" s="4">
        <v>60</v>
      </c>
      <c r="T36" s="1" t="s">
        <v>43</v>
      </c>
      <c r="U36" s="5">
        <f>HYPERLINK("https://www.gia.edu/report-check?reportno=6462260781","6462260781")</f>
      </c>
      <c r="V36" s="1" t="s">
        <v>39</v>
      </c>
      <c r="W36" s="1" t="s">
        <v>145</v>
      </c>
      <c r="X36" s="1" t="s">
        <v>79</v>
      </c>
      <c r="Y36" s="1" t="s">
        <v>45</v>
      </c>
      <c r="Z36" s="1" t="s">
        <v>46</v>
      </c>
      <c r="AA36" s="1" t="s">
        <v>80</v>
      </c>
      <c r="AB36" s="1" t="s">
        <v>80</v>
      </c>
      <c r="AC36" s="1" t="s">
        <v>47</v>
      </c>
      <c r="AD36" s="1" t="s">
        <v>39</v>
      </c>
      <c r="AE36" s="8">
        <f>IF(L36&lt;&gt;"",L36*E36,0)</f>
      </c>
    </row>
    <row r="37" spans="1:31" x14ac:dyDescent="0.25">
      <c r="A37" s="4">
        <v>32</v>
      </c>
      <c r="B37" s="1" t="s">
        <v>151</v>
      </c>
      <c r="C37" s="5">
        <f>HYPERLINK("https://client.unique.diamonds/dna/21040-25","DNA")</f>
      </c>
      <c r="D37" s="1" t="s">
        <v>36</v>
      </c>
      <c r="E37" s="6">
        <v>2.01</v>
      </c>
      <c r="F37" s="1" t="s">
        <v>88</v>
      </c>
      <c r="G37" s="1" t="s">
        <v>140</v>
      </c>
      <c r="H37" s="1" t="s">
        <v>39</v>
      </c>
      <c r="I37" s="1" t="s">
        <v>40</v>
      </c>
      <c r="J37" s="1" t="s">
        <v>40</v>
      </c>
      <c r="K37" s="1" t="s">
        <v>45</v>
      </c>
      <c r="L37" s="4">
        <v>12700</v>
      </c>
      <c r="M37" s="6">
        <v>-27</v>
      </c>
      <c r="N37" s="7">
        <f>IF(AND(L37 &lt;&gt; "-", M37 &lt;&gt; "-"),L37*( 1 + M37%),0)</f>
      </c>
      <c r="O37" s="7">
        <f>( N37 * E37 )</f>
      </c>
      <c r="P37" s="1" t="s">
        <v>152</v>
      </c>
      <c r="Q37" s="6">
        <v>1.38</v>
      </c>
      <c r="R37" s="6">
        <v>63.4</v>
      </c>
      <c r="S37" s="4">
        <v>62</v>
      </c>
      <c r="T37" s="1" t="s">
        <v>43</v>
      </c>
      <c r="U37" s="5">
        <f>HYPERLINK("https://www.gia.edu/report-check?reportno=7456867694","7456867694")</f>
      </c>
      <c r="V37" s="1" t="s">
        <v>39</v>
      </c>
      <c r="W37" s="1" t="s">
        <v>153</v>
      </c>
      <c r="X37" s="1" t="s">
        <v>46</v>
      </c>
      <c r="Y37" s="1" t="s">
        <v>45</v>
      </c>
      <c r="Z37" s="1" t="s">
        <v>46</v>
      </c>
      <c r="AA37" s="1" t="s">
        <v>80</v>
      </c>
      <c r="AB37" s="1" t="s">
        <v>45</v>
      </c>
      <c r="AC37" s="1" t="s">
        <v>91</v>
      </c>
      <c r="AD37" s="1" t="s">
        <v>39</v>
      </c>
      <c r="AE37" s="8">
        <f>IF(L37&lt;&gt;"",L37*E37,0)</f>
      </c>
    </row>
    <row r="38" spans="1:31" x14ac:dyDescent="0.25">
      <c r="A38" s="4">
        <v>33</v>
      </c>
      <c r="B38" s="1" t="s">
        <v>154</v>
      </c>
      <c r="C38" s="5">
        <f>HYPERLINK("https://client.unique.diamonds/dna/21027-100","DNA")</f>
      </c>
      <c r="D38" s="1" t="s">
        <v>36</v>
      </c>
      <c r="E38" s="6">
        <v>2.01</v>
      </c>
      <c r="F38" s="1" t="s">
        <v>88</v>
      </c>
      <c r="G38" s="1" t="s">
        <v>140</v>
      </c>
      <c r="H38" s="1" t="s">
        <v>39</v>
      </c>
      <c r="I38" s="1" t="s">
        <v>40</v>
      </c>
      <c r="J38" s="1" t="s">
        <v>76</v>
      </c>
      <c r="K38" s="1" t="s">
        <v>45</v>
      </c>
      <c r="L38" s="4">
        <v>12700</v>
      </c>
      <c r="M38" s="6">
        <v>-24</v>
      </c>
      <c r="N38" s="7">
        <f>IF(AND(L38 &lt;&gt; "-", M38 &lt;&gt; "-"),L38*( 1 + M38%),0)</f>
      </c>
      <c r="O38" s="7">
        <f>( N38 * E38 )</f>
      </c>
      <c r="P38" s="1" t="s">
        <v>155</v>
      </c>
      <c r="Q38" s="6">
        <v>1.47</v>
      </c>
      <c r="R38" s="6">
        <v>62.7</v>
      </c>
      <c r="S38" s="4">
        <v>56</v>
      </c>
      <c r="T38" s="1" t="s">
        <v>43</v>
      </c>
      <c r="U38" s="5">
        <f>HYPERLINK("https://www.gia.edu/report-check?reportno=6227849948","6227849948")</f>
      </c>
      <c r="V38" s="1" t="s">
        <v>39</v>
      </c>
      <c r="W38" s="1" t="s">
        <v>156</v>
      </c>
      <c r="X38" s="1" t="s">
        <v>46</v>
      </c>
      <c r="Y38" s="1" t="s">
        <v>45</v>
      </c>
      <c r="Z38" s="1" t="s">
        <v>46</v>
      </c>
      <c r="AA38" s="1" t="s">
        <v>80</v>
      </c>
      <c r="AB38" s="1" t="s">
        <v>45</v>
      </c>
      <c r="AC38" s="1" t="s">
        <v>47</v>
      </c>
      <c r="AD38" s="1" t="s">
        <v>39</v>
      </c>
      <c r="AE38" s="8">
        <f>IF(L38&lt;&gt;"",L38*E38,0)</f>
      </c>
    </row>
    <row r="39" spans="1:31" x14ac:dyDescent="0.25">
      <c r="A39" s="4">
        <v>34</v>
      </c>
      <c r="B39" s="1" t="s">
        <v>157</v>
      </c>
      <c r="C39" s="5">
        <f>HYPERLINK("https://client.unique.diamonds/dna/21078-11","DNA")</f>
      </c>
      <c r="D39" s="1" t="s">
        <v>36</v>
      </c>
      <c r="E39" s="6">
        <v>3.01</v>
      </c>
      <c r="F39" s="1" t="s">
        <v>88</v>
      </c>
      <c r="G39" s="1" t="s">
        <v>140</v>
      </c>
      <c r="H39" s="1" t="s">
        <v>39</v>
      </c>
      <c r="I39" s="1" t="s">
        <v>40</v>
      </c>
      <c r="J39" s="1" t="s">
        <v>40</v>
      </c>
      <c r="K39" s="1" t="s">
        <v>45</v>
      </c>
      <c r="L39" s="4">
        <v>19500</v>
      </c>
      <c r="M39" s="6">
        <v>-33.5</v>
      </c>
      <c r="N39" s="7">
        <f>IF(AND(L39 &lt;&gt; "-", M39 &lt;&gt; "-"),L39*( 1 + M39%),0)</f>
      </c>
      <c r="O39" s="7">
        <f>( N39 * E39 )</f>
      </c>
      <c r="P39" s="1" t="s">
        <v>158</v>
      </c>
      <c r="Q39" s="6">
        <v>1.38</v>
      </c>
      <c r="R39" s="6">
        <v>63.7</v>
      </c>
      <c r="S39" s="4">
        <v>59</v>
      </c>
      <c r="T39" s="1" t="s">
        <v>43</v>
      </c>
      <c r="U39" s="5">
        <f>HYPERLINK("https://www.gia.edu/report-check?reportno=5463183177","5463183177")</f>
      </c>
      <c r="V39" s="1" t="s">
        <v>39</v>
      </c>
      <c r="W39" s="1" t="s">
        <v>145</v>
      </c>
      <c r="X39" s="1" t="s">
        <v>79</v>
      </c>
      <c r="Y39" s="1" t="s">
        <v>45</v>
      </c>
      <c r="Z39" s="1" t="s">
        <v>46</v>
      </c>
      <c r="AA39" s="1" t="s">
        <v>159</v>
      </c>
      <c r="AB39" s="1" t="s">
        <v>45</v>
      </c>
      <c r="AC39" s="1" t="s">
        <v>91</v>
      </c>
      <c r="AD39" s="1" t="s">
        <v>39</v>
      </c>
      <c r="AE39" s="8">
        <f>IF(L39&lt;&gt;"",L39*E39,0)</f>
      </c>
    </row>
    <row r="40" spans="1:31" x14ac:dyDescent="0.25">
      <c r="A40" s="4">
        <v>35</v>
      </c>
      <c r="B40" s="1" t="s">
        <v>160</v>
      </c>
      <c r="C40" s="5">
        <f>HYPERLINK("https://client.unique.diamonds/dna/21072-9","DNA")</f>
      </c>
      <c r="D40" s="1" t="s">
        <v>36</v>
      </c>
      <c r="E40" s="6">
        <v>2</v>
      </c>
      <c r="F40" s="1" t="s">
        <v>59</v>
      </c>
      <c r="G40" s="1" t="s">
        <v>140</v>
      </c>
      <c r="H40" s="1" t="s">
        <v>39</v>
      </c>
      <c r="I40" s="1" t="s">
        <v>76</v>
      </c>
      <c r="J40" s="1" t="s">
        <v>40</v>
      </c>
      <c r="K40" s="1" t="s">
        <v>45</v>
      </c>
      <c r="L40" s="4">
        <v>11700</v>
      </c>
      <c r="M40" s="6">
        <v>-20.5</v>
      </c>
      <c r="N40" s="7">
        <f>IF(AND(L40 &lt;&gt; "-", M40 &lt;&gt; "-"),L40*( 1 + M40%),0)</f>
      </c>
      <c r="O40" s="7">
        <f>( N40 * E40 )</f>
      </c>
      <c r="P40" s="1" t="s">
        <v>161</v>
      </c>
      <c r="Q40" s="6">
        <v>1.39</v>
      </c>
      <c r="R40" s="6">
        <v>62.7</v>
      </c>
      <c r="S40" s="4">
        <v>59</v>
      </c>
      <c r="T40" s="1" t="s">
        <v>43</v>
      </c>
      <c r="U40" s="5">
        <f>HYPERLINK("https://www.gia.edu/report-check?reportno=6462275314","6462275314")</f>
      </c>
      <c r="V40" s="1" t="s">
        <v>39</v>
      </c>
      <c r="W40" s="1" t="s">
        <v>162</v>
      </c>
      <c r="X40" s="1" t="s">
        <v>46</v>
      </c>
      <c r="Y40" s="1" t="s">
        <v>45</v>
      </c>
      <c r="Z40" s="1" t="s">
        <v>163</v>
      </c>
      <c r="AA40" s="1" t="s">
        <v>52</v>
      </c>
      <c r="AB40" s="1" t="s">
        <v>45</v>
      </c>
      <c r="AC40" s="1" t="s">
        <v>47</v>
      </c>
      <c r="AD40" s="1" t="s">
        <v>39</v>
      </c>
      <c r="AE40" s="8">
        <f>IF(L40&lt;&gt;"",L40*E40,0)</f>
      </c>
    </row>
    <row r="41" spans="1:31" x14ac:dyDescent="0.25">
      <c r="A41" s="4">
        <v>36</v>
      </c>
      <c r="B41" s="1" t="s">
        <v>164</v>
      </c>
      <c r="C41" s="5">
        <f>HYPERLINK("https://client.unique.diamonds/dna/22018-50","DNA")</f>
      </c>
      <c r="D41" s="1" t="s">
        <v>36</v>
      </c>
      <c r="E41" s="6">
        <v>1.5</v>
      </c>
      <c r="F41" s="1" t="s">
        <v>67</v>
      </c>
      <c r="G41" s="1" t="s">
        <v>140</v>
      </c>
      <c r="H41" s="1" t="s">
        <v>39</v>
      </c>
      <c r="I41" s="1" t="s">
        <v>40</v>
      </c>
      <c r="J41" s="1" t="s">
        <v>40</v>
      </c>
      <c r="K41" s="1" t="s">
        <v>45</v>
      </c>
      <c r="L41" s="4">
        <v>8200</v>
      </c>
      <c r="M41" s="6">
        <v>-30.5</v>
      </c>
      <c r="N41" s="7">
        <f>IF(AND(L41 &lt;&gt; "-", M41 &lt;&gt; "-"),L41*( 1 + M41%),0)</f>
      </c>
      <c r="O41" s="7">
        <f>( N41 * E41 )</f>
      </c>
      <c r="P41" s="1" t="s">
        <v>165</v>
      </c>
      <c r="Q41" s="6">
        <v>1.38</v>
      </c>
      <c r="R41" s="6">
        <v>63.3</v>
      </c>
      <c r="S41" s="4">
        <v>62</v>
      </c>
      <c r="T41" s="1" t="s">
        <v>43</v>
      </c>
      <c r="U41" s="5">
        <f>HYPERLINK("https://www.gia.edu/report-check?reportno=1463656023","1463656023")</f>
      </c>
      <c r="V41" s="1" t="s">
        <v>39</v>
      </c>
      <c r="W41" s="1" t="s">
        <v>166</v>
      </c>
      <c r="X41" s="1" t="s">
        <v>51</v>
      </c>
      <c r="Y41" s="1" t="s">
        <v>45</v>
      </c>
      <c r="Z41" s="1" t="s">
        <v>46</v>
      </c>
      <c r="AA41" s="1" t="s">
        <v>80</v>
      </c>
      <c r="AB41" s="1" t="s">
        <v>62</v>
      </c>
      <c r="AC41" s="1" t="s">
        <v>120</v>
      </c>
      <c r="AD41" s="1" t="s">
        <v>39</v>
      </c>
      <c r="AE41" s="8">
        <f>IF(L41&lt;&gt;"",L41*E41,0)</f>
      </c>
    </row>
    <row r="42" spans="1:31" x14ac:dyDescent="0.25">
      <c r="A42" s="4">
        <v>37</v>
      </c>
      <c r="B42" s="1" t="s">
        <v>167</v>
      </c>
      <c r="C42" s="5">
        <f>HYPERLINK("https://client.unique.diamonds/dna/21109-41","DNA")</f>
      </c>
      <c r="D42" s="1" t="s">
        <v>36</v>
      </c>
      <c r="E42" s="6">
        <v>1.7</v>
      </c>
      <c r="F42" s="1" t="s">
        <v>37</v>
      </c>
      <c r="G42" s="1" t="s">
        <v>168</v>
      </c>
      <c r="H42" s="1" t="s">
        <v>39</v>
      </c>
      <c r="I42" s="1" t="s">
        <v>40</v>
      </c>
      <c r="J42" s="1" t="s">
        <v>40</v>
      </c>
      <c r="K42" s="1" t="s">
        <v>45</v>
      </c>
      <c r="L42" s="4">
        <v>8400</v>
      </c>
      <c r="M42" s="6">
        <v>-27.5</v>
      </c>
      <c r="N42" s="7">
        <f>IF(AND(L42 &lt;&gt; "-", M42 &lt;&gt; "-"),L42*( 1 + M42%),0)</f>
      </c>
      <c r="O42" s="7">
        <f>( N42 * E42 )</f>
      </c>
      <c r="P42" s="1" t="s">
        <v>169</v>
      </c>
      <c r="Q42" s="6">
        <v>1.39</v>
      </c>
      <c r="R42" s="6">
        <v>62.6</v>
      </c>
      <c r="S42" s="4">
        <v>62</v>
      </c>
      <c r="T42" s="1" t="s">
        <v>43</v>
      </c>
      <c r="U42" s="5">
        <f>HYPERLINK("https://www.gia.edu/report-check?reportno=1468624247","1468624247")</f>
      </c>
      <c r="V42" s="1" t="s">
        <v>39</v>
      </c>
      <c r="W42" s="1" t="s">
        <v>170</v>
      </c>
      <c r="X42" s="1" t="s">
        <v>51</v>
      </c>
      <c r="Y42" s="1" t="s">
        <v>45</v>
      </c>
      <c r="Z42" s="1" t="s">
        <v>46</v>
      </c>
      <c r="AA42" s="1" t="s">
        <v>159</v>
      </c>
      <c r="AB42" s="1" t="s">
        <v>62</v>
      </c>
      <c r="AC42" s="1" t="s">
        <v>47</v>
      </c>
      <c r="AD42" s="1" t="s">
        <v>39</v>
      </c>
      <c r="AE42" s="8">
        <f>IF(L42&lt;&gt;"",L42*E42,0)</f>
      </c>
    </row>
    <row r="43" spans="1:31" x14ac:dyDescent="0.25">
      <c r="A43" s="4">
        <v>38</v>
      </c>
      <c r="B43" s="1" t="s">
        <v>171</v>
      </c>
      <c r="C43" s="5">
        <f>HYPERLINK("https://client.unique.diamonds/dna/21001-122","DNA")</f>
      </c>
      <c r="D43" s="1" t="s">
        <v>36</v>
      </c>
      <c r="E43" s="6">
        <v>2.01</v>
      </c>
      <c r="F43" s="1" t="s">
        <v>37</v>
      </c>
      <c r="G43" s="1" t="s">
        <v>168</v>
      </c>
      <c r="H43" s="1" t="s">
        <v>39</v>
      </c>
      <c r="I43" s="1" t="s">
        <v>40</v>
      </c>
      <c r="J43" s="1" t="s">
        <v>40</v>
      </c>
      <c r="K43" s="1" t="s">
        <v>45</v>
      </c>
      <c r="L43" s="4">
        <v>11600</v>
      </c>
      <c r="M43" s="6">
        <v>-36</v>
      </c>
      <c r="N43" s="7">
        <f>IF(AND(L43 &lt;&gt; "-", M43 &lt;&gt; "-"),L43*( 1 + M43%),0)</f>
      </c>
      <c r="O43" s="7">
        <f>( N43 * E43 )</f>
      </c>
      <c r="P43" s="1" t="s">
        <v>172</v>
      </c>
      <c r="Q43" s="6">
        <v>1.47</v>
      </c>
      <c r="R43" s="6">
        <v>60.1</v>
      </c>
      <c r="S43" s="4">
        <v>60</v>
      </c>
      <c r="T43" s="1" t="s">
        <v>43</v>
      </c>
      <c r="U43" s="5">
        <f>HYPERLINK("https://www.gia.edu/report-check?reportno=6451516360","6451516360")</f>
      </c>
      <c r="V43" s="1" t="s">
        <v>39</v>
      </c>
      <c r="W43" s="1" t="s">
        <v>145</v>
      </c>
      <c r="X43" s="1" t="s">
        <v>46</v>
      </c>
      <c r="Y43" s="1" t="s">
        <v>45</v>
      </c>
      <c r="Z43" s="1" t="s">
        <v>46</v>
      </c>
      <c r="AA43" s="1" t="s">
        <v>159</v>
      </c>
      <c r="AB43" s="1" t="s">
        <v>62</v>
      </c>
      <c r="AC43" s="1" t="s">
        <v>120</v>
      </c>
      <c r="AD43" s="1" t="s">
        <v>39</v>
      </c>
      <c r="AE43" s="8">
        <f>IF(L43&lt;&gt;"",L43*E43,0)</f>
      </c>
    </row>
    <row r="44" spans="1:31" x14ac:dyDescent="0.25">
      <c r="A44" s="4">
        <v>39</v>
      </c>
      <c r="B44" s="1" t="s">
        <v>173</v>
      </c>
      <c r="C44" s="5">
        <f>HYPERLINK("https://client.unique.diamonds/dna/22001-52","DNA")</f>
      </c>
      <c r="D44" s="1" t="s">
        <v>36</v>
      </c>
      <c r="E44" s="6">
        <v>2.5</v>
      </c>
      <c r="F44" s="1" t="s">
        <v>37</v>
      </c>
      <c r="G44" s="1" t="s">
        <v>168</v>
      </c>
      <c r="H44" s="1" t="s">
        <v>39</v>
      </c>
      <c r="I44" s="1" t="s">
        <v>40</v>
      </c>
      <c r="J44" s="1" t="s">
        <v>40</v>
      </c>
      <c r="K44" s="1" t="s">
        <v>45</v>
      </c>
      <c r="L44" s="4">
        <v>11600</v>
      </c>
      <c r="M44" s="6">
        <v>-23</v>
      </c>
      <c r="N44" s="7">
        <f>IF(AND(L44 &lt;&gt; "-", M44 &lt;&gt; "-"),L44*( 1 + M44%),0)</f>
      </c>
      <c r="O44" s="7">
        <f>( N44 * E44 )</f>
      </c>
      <c r="P44" s="1" t="s">
        <v>174</v>
      </c>
      <c r="Q44" s="6">
        <v>1.38</v>
      </c>
      <c r="R44" s="6">
        <v>61.5</v>
      </c>
      <c r="S44" s="4">
        <v>60</v>
      </c>
      <c r="T44" s="1" t="s">
        <v>43</v>
      </c>
      <c r="U44" s="5">
        <f>HYPERLINK("https://www.gia.edu/report-check?reportno=7456669904","7456669904")</f>
      </c>
      <c r="V44" s="1" t="s">
        <v>39</v>
      </c>
      <c r="W44" s="1" t="s">
        <v>175</v>
      </c>
      <c r="X44" s="1" t="s">
        <v>176</v>
      </c>
      <c r="Y44" s="1" t="s">
        <v>45</v>
      </c>
      <c r="Z44" s="1" t="s">
        <v>46</v>
      </c>
      <c r="AA44" s="1" t="s">
        <v>80</v>
      </c>
      <c r="AB44" s="1" t="s">
        <v>45</v>
      </c>
      <c r="AC44" s="1" t="s">
        <v>120</v>
      </c>
      <c r="AD44" s="1" t="s">
        <v>39</v>
      </c>
      <c r="AE44" s="8">
        <f>IF(L44&lt;&gt;"",L44*E44,0)</f>
      </c>
    </row>
    <row r="45" spans="1:31" x14ac:dyDescent="0.25">
      <c r="A45" s="4">
        <v>40</v>
      </c>
      <c r="B45" s="1" t="s">
        <v>177</v>
      </c>
      <c r="C45" s="5">
        <f>HYPERLINK("https://client.unique.diamonds/dna/21001-116","DNA")</f>
      </c>
      <c r="D45" s="1" t="s">
        <v>36</v>
      </c>
      <c r="E45" s="6">
        <v>1.71</v>
      </c>
      <c r="F45" s="1" t="s">
        <v>54</v>
      </c>
      <c r="G45" s="1" t="s">
        <v>168</v>
      </c>
      <c r="H45" s="1" t="s">
        <v>39</v>
      </c>
      <c r="I45" s="1" t="s">
        <v>40</v>
      </c>
      <c r="J45" s="1" t="s">
        <v>40</v>
      </c>
      <c r="K45" s="1" t="s">
        <v>45</v>
      </c>
      <c r="L45" s="4">
        <v>8000</v>
      </c>
      <c r="M45" s="6">
        <v>-26.07</v>
      </c>
      <c r="N45" s="7">
        <f>IF(AND(L45 &lt;&gt; "-", M45 &lt;&gt; "-"),L45*( 1 + M45%),0)</f>
      </c>
      <c r="O45" s="7">
        <f>( N45 * E45 )</f>
      </c>
      <c r="P45" s="1" t="s">
        <v>178</v>
      </c>
      <c r="Q45" s="6">
        <v>1.38</v>
      </c>
      <c r="R45" s="6">
        <v>63.1</v>
      </c>
      <c r="S45" s="4">
        <v>59</v>
      </c>
      <c r="T45" s="1" t="s">
        <v>43</v>
      </c>
      <c r="U45" s="5">
        <f>HYPERLINK("https://www.gia.edu/report-check?reportno=1458506157","1458506157")</f>
      </c>
      <c r="V45" s="1" t="s">
        <v>39</v>
      </c>
      <c r="W45" s="1" t="s">
        <v>145</v>
      </c>
      <c r="X45" s="1" t="s">
        <v>79</v>
      </c>
      <c r="Y45" s="1" t="s">
        <v>45</v>
      </c>
      <c r="Z45" s="1" t="s">
        <v>46</v>
      </c>
      <c r="AA45" s="1" t="s">
        <v>80</v>
      </c>
      <c r="AB45" s="1" t="s">
        <v>80</v>
      </c>
      <c r="AC45" s="1" t="s">
        <v>91</v>
      </c>
      <c r="AD45" s="1" t="s">
        <v>39</v>
      </c>
      <c r="AE45" s="8">
        <f>IF(L45&lt;&gt;"",L45*E45,0)</f>
      </c>
    </row>
    <row r="46" spans="1:31" x14ac:dyDescent="0.25">
      <c r="A46" s="4">
        <v>41</v>
      </c>
      <c r="B46" s="1" t="s">
        <v>179</v>
      </c>
      <c r="C46" s="5">
        <f>HYPERLINK("https://client.unique.diamonds/dna/21027-63","DNA")</f>
      </c>
      <c r="D46" s="1" t="s">
        <v>36</v>
      </c>
      <c r="E46" s="6">
        <v>2.01</v>
      </c>
      <c r="F46" s="1" t="s">
        <v>54</v>
      </c>
      <c r="G46" s="1" t="s">
        <v>168</v>
      </c>
      <c r="H46" s="1" t="s">
        <v>39</v>
      </c>
      <c r="I46" s="1" t="s">
        <v>40</v>
      </c>
      <c r="J46" s="1" t="s">
        <v>40</v>
      </c>
      <c r="K46" s="1" t="s">
        <v>41</v>
      </c>
      <c r="L46" s="4">
        <v>10900</v>
      </c>
      <c r="M46" s="6">
        <v>-36</v>
      </c>
      <c r="N46" s="7">
        <f>IF(AND(L46 &lt;&gt; "-", M46 &lt;&gt; "-"),L46*( 1 + M46%),0)</f>
      </c>
      <c r="O46" s="7">
        <f>( N46 * E46 )</f>
      </c>
      <c r="P46" s="1" t="s">
        <v>180</v>
      </c>
      <c r="Q46" s="6">
        <v>1.38</v>
      </c>
      <c r="R46" s="6">
        <v>63.3</v>
      </c>
      <c r="S46" s="4">
        <v>62</v>
      </c>
      <c r="T46" s="1" t="s">
        <v>43</v>
      </c>
      <c r="U46" s="5">
        <f>HYPERLINK("https://www.gia.edu/report-check?reportno=7453713597","7453713597")</f>
      </c>
      <c r="V46" s="1" t="s">
        <v>39</v>
      </c>
      <c r="W46" s="1" t="s">
        <v>181</v>
      </c>
      <c r="X46" s="1" t="s">
        <v>46</v>
      </c>
      <c r="Y46" s="1" t="s">
        <v>45</v>
      </c>
      <c r="Z46" s="1" t="s">
        <v>51</v>
      </c>
      <c r="AA46" s="1" t="s">
        <v>159</v>
      </c>
      <c r="AB46" s="1" t="s">
        <v>80</v>
      </c>
      <c r="AC46" s="1" t="s">
        <v>47</v>
      </c>
      <c r="AD46" s="1" t="s">
        <v>39</v>
      </c>
      <c r="AE46" s="8">
        <f>IF(L46&lt;&gt;"",L46*E46,0)</f>
      </c>
    </row>
    <row r="47" spans="1:31" x14ac:dyDescent="0.25">
      <c r="A47" s="4">
        <v>42</v>
      </c>
      <c r="B47" s="1" t="s">
        <v>182</v>
      </c>
      <c r="C47" s="5">
        <f>HYPERLINK("https://client.unique.diamonds/dna/21027-56","DNA")</f>
      </c>
      <c r="D47" s="1" t="s">
        <v>36</v>
      </c>
      <c r="E47" s="6">
        <v>1.5</v>
      </c>
      <c r="F47" s="1" t="s">
        <v>88</v>
      </c>
      <c r="G47" s="1" t="s">
        <v>168</v>
      </c>
      <c r="H47" s="1" t="s">
        <v>39</v>
      </c>
      <c r="I47" s="1" t="s">
        <v>40</v>
      </c>
      <c r="J47" s="1" t="s">
        <v>40</v>
      </c>
      <c r="K47" s="1" t="s">
        <v>45</v>
      </c>
      <c r="L47" s="4">
        <v>7700</v>
      </c>
      <c r="M47" s="6">
        <v>-34.13</v>
      </c>
      <c r="N47" s="7">
        <f>IF(AND(L47 &lt;&gt; "-", M47 &lt;&gt; "-"),L47*( 1 + M47%),0)</f>
      </c>
      <c r="O47" s="7">
        <f>( N47 * E47 )</f>
      </c>
      <c r="P47" s="1" t="s">
        <v>183</v>
      </c>
      <c r="Q47" s="6">
        <v>1.38</v>
      </c>
      <c r="R47" s="6">
        <v>60.8</v>
      </c>
      <c r="S47" s="4">
        <v>62</v>
      </c>
      <c r="T47" s="1" t="s">
        <v>43</v>
      </c>
      <c r="U47" s="5">
        <f>HYPERLINK("https://www.gia.edu/report-check?reportno=1453702411","1453702411")</f>
      </c>
      <c r="V47" s="1" t="s">
        <v>39</v>
      </c>
      <c r="W47" s="1" t="s">
        <v>181</v>
      </c>
      <c r="X47" s="1" t="s">
        <v>79</v>
      </c>
      <c r="Y47" s="1" t="s">
        <v>45</v>
      </c>
      <c r="Z47" s="1" t="s">
        <v>79</v>
      </c>
      <c r="AA47" s="1" t="s">
        <v>159</v>
      </c>
      <c r="AB47" s="1" t="s">
        <v>62</v>
      </c>
      <c r="AC47" s="1" t="s">
        <v>47</v>
      </c>
      <c r="AD47" s="1" t="s">
        <v>39</v>
      </c>
      <c r="AE47" s="8">
        <f>IF(L47&lt;&gt;"",L47*E47,0)</f>
      </c>
    </row>
    <row r="48" spans="1:31" x14ac:dyDescent="0.25">
      <c r="A48" s="4">
        <v>43</v>
      </c>
      <c r="B48" s="1" t="s">
        <v>184</v>
      </c>
      <c r="C48" s="5">
        <f>HYPERLINK("https://client.unique.diamonds/dna/21077-36","DNA")</f>
      </c>
      <c r="D48" s="1" t="s">
        <v>36</v>
      </c>
      <c r="E48" s="6">
        <v>2.2</v>
      </c>
      <c r="F48" s="1" t="s">
        <v>88</v>
      </c>
      <c r="G48" s="1" t="s">
        <v>168</v>
      </c>
      <c r="H48" s="1" t="s">
        <v>39</v>
      </c>
      <c r="I48" s="1" t="s">
        <v>40</v>
      </c>
      <c r="J48" s="1" t="s">
        <v>40</v>
      </c>
      <c r="K48" s="1" t="s">
        <v>185</v>
      </c>
      <c r="L48" s="4">
        <v>10400</v>
      </c>
      <c r="M48" s="6">
        <v>-43.5</v>
      </c>
      <c r="N48" s="7">
        <f>IF(AND(L48 &lt;&gt; "-", M48 &lt;&gt; "-"),L48*( 1 + M48%),0)</f>
      </c>
      <c r="O48" s="7">
        <f>( N48 * E48 )</f>
      </c>
      <c r="P48" s="1" t="s">
        <v>186</v>
      </c>
      <c r="Q48" s="6">
        <v>1.39</v>
      </c>
      <c r="R48" s="6">
        <v>63.4</v>
      </c>
      <c r="S48" s="4">
        <v>57</v>
      </c>
      <c r="T48" s="1" t="s">
        <v>43</v>
      </c>
      <c r="U48" s="5">
        <f>HYPERLINK("https://www.gia.edu/report-check?reportno=7468300795","7468300795")</f>
      </c>
      <c r="V48" s="1" t="s">
        <v>39</v>
      </c>
      <c r="W48" s="1" t="s">
        <v>187</v>
      </c>
      <c r="X48" s="1" t="s">
        <v>51</v>
      </c>
      <c r="Y48" s="1" t="s">
        <v>45</v>
      </c>
      <c r="Z48" s="1" t="s">
        <v>79</v>
      </c>
      <c r="AA48" s="1" t="s">
        <v>80</v>
      </c>
      <c r="AB48" s="1" t="s">
        <v>80</v>
      </c>
      <c r="AC48" s="1" t="s">
        <v>47</v>
      </c>
      <c r="AD48" s="1" t="s">
        <v>39</v>
      </c>
      <c r="AE48" s="8">
        <f>IF(L48&lt;&gt;"",L48*E48,0)</f>
      </c>
    </row>
    <row r="49" spans="1:31" x14ac:dyDescent="0.25">
      <c r="A49" s="4">
        <v>44</v>
      </c>
      <c r="B49" s="1" t="s">
        <v>188</v>
      </c>
      <c r="C49" s="5">
        <f>HYPERLINK("https://client.unique.diamonds/dna/22018-42","DNA")</f>
      </c>
      <c r="D49" s="1" t="s">
        <v>36</v>
      </c>
      <c r="E49" s="6">
        <v>1.72</v>
      </c>
      <c r="F49" s="1" t="s">
        <v>67</v>
      </c>
      <c r="G49" s="1" t="s">
        <v>168</v>
      </c>
      <c r="H49" s="1" t="s">
        <v>39</v>
      </c>
      <c r="I49" s="1" t="s">
        <v>40</v>
      </c>
      <c r="J49" s="1" t="s">
        <v>40</v>
      </c>
      <c r="K49" s="1" t="s">
        <v>45</v>
      </c>
      <c r="L49" s="4">
        <v>6900</v>
      </c>
      <c r="M49" s="6">
        <v>-20.5</v>
      </c>
      <c r="N49" s="7">
        <f>IF(AND(L49 &lt;&gt; "-", M49 &lt;&gt; "-"),L49*( 1 + M49%),0)</f>
      </c>
      <c r="O49" s="7">
        <f>( N49 * E49 )</f>
      </c>
      <c r="P49" s="1" t="s">
        <v>189</v>
      </c>
      <c r="Q49" s="6">
        <v>1.48</v>
      </c>
      <c r="R49" s="6">
        <v>61.9</v>
      </c>
      <c r="S49" s="4">
        <v>59</v>
      </c>
      <c r="T49" s="1" t="s">
        <v>43</v>
      </c>
      <c r="U49" s="5">
        <f>HYPERLINK("https://www.gia.edu/report-check?reportno=7462623974","7462623974")</f>
      </c>
      <c r="V49" s="1" t="s">
        <v>39</v>
      </c>
      <c r="W49" s="1" t="s">
        <v>190</v>
      </c>
      <c r="X49" s="1" t="s">
        <v>51</v>
      </c>
      <c r="Y49" s="1" t="s">
        <v>45</v>
      </c>
      <c r="Z49" s="1" t="s">
        <v>163</v>
      </c>
      <c r="AA49" s="1" t="s">
        <v>80</v>
      </c>
      <c r="AB49" s="1" t="s">
        <v>80</v>
      </c>
      <c r="AC49" s="1" t="s">
        <v>47</v>
      </c>
      <c r="AD49" s="1" t="s">
        <v>39</v>
      </c>
      <c r="AE49" s="8">
        <f>IF(L49&lt;&gt;"",L49*E49,0)</f>
      </c>
    </row>
    <row r="50" spans="1:31" x14ac:dyDescent="0.25">
      <c r="A50" s="4">
        <v>45</v>
      </c>
      <c r="B50" s="1" t="s">
        <v>191</v>
      </c>
      <c r="C50" s="5">
        <f>HYPERLINK("https://client.unique.diamonds/dna/22018-47","DNA")</f>
      </c>
      <c r="D50" s="1" t="s">
        <v>36</v>
      </c>
      <c r="E50" s="6">
        <v>1.5</v>
      </c>
      <c r="F50" s="1" t="s">
        <v>71</v>
      </c>
      <c r="G50" s="1" t="s">
        <v>168</v>
      </c>
      <c r="H50" s="1" t="s">
        <v>39</v>
      </c>
      <c r="I50" s="1" t="s">
        <v>40</v>
      </c>
      <c r="J50" s="1" t="s">
        <v>40</v>
      </c>
      <c r="K50" s="1" t="s">
        <v>45</v>
      </c>
      <c r="L50" s="4">
        <v>6200</v>
      </c>
      <c r="M50" s="6">
        <v>-27.5</v>
      </c>
      <c r="N50" s="7">
        <f>IF(AND(L50 &lt;&gt; "-", M50 &lt;&gt; "-"),L50*( 1 + M50%),0)</f>
      </c>
      <c r="O50" s="7">
        <f>( N50 * E50 )</f>
      </c>
      <c r="P50" s="1" t="s">
        <v>192</v>
      </c>
      <c r="Q50" s="6">
        <v>1.48</v>
      </c>
      <c r="R50" s="6">
        <v>62.8</v>
      </c>
      <c r="S50" s="4">
        <v>61</v>
      </c>
      <c r="T50" s="1" t="s">
        <v>43</v>
      </c>
      <c r="U50" s="5">
        <f>HYPERLINK("https://www.gia.edu/report-check?reportno=7462645275","7462645275")</f>
      </c>
      <c r="V50" s="1" t="s">
        <v>39</v>
      </c>
      <c r="W50" s="1" t="s">
        <v>190</v>
      </c>
      <c r="X50" s="1" t="s">
        <v>163</v>
      </c>
      <c r="Y50" s="1" t="s">
        <v>45</v>
      </c>
      <c r="Z50" s="1" t="s">
        <v>46</v>
      </c>
      <c r="AA50" s="1" t="s">
        <v>52</v>
      </c>
      <c r="AB50" s="1" t="s">
        <v>62</v>
      </c>
      <c r="AC50" s="1" t="s">
        <v>91</v>
      </c>
      <c r="AD50" s="1" t="s">
        <v>39</v>
      </c>
      <c r="AE50" s="8">
        <f>IF(L50&lt;&gt;"",L50*E50,0)</f>
      </c>
    </row>
    <row r="51" spans="1:31" x14ac:dyDescent="0.25">
      <c r="A51" s="4">
        <v>46</v>
      </c>
      <c r="B51" s="1" t="s">
        <v>193</v>
      </c>
      <c r="C51" s="5">
        <f>HYPERLINK("https://client.unique.diamonds/dna/11286-168","DNA")</f>
      </c>
      <c r="D51" s="1" t="s">
        <v>36</v>
      </c>
      <c r="E51" s="6">
        <v>2.01</v>
      </c>
      <c r="F51" s="1" t="s">
        <v>71</v>
      </c>
      <c r="G51" s="1" t="s">
        <v>168</v>
      </c>
      <c r="H51" s="1" t="s">
        <v>39</v>
      </c>
      <c r="I51" s="1" t="s">
        <v>40</v>
      </c>
      <c r="J51" s="1" t="s">
        <v>40</v>
      </c>
      <c r="K51" s="1" t="s">
        <v>45</v>
      </c>
      <c r="L51" s="4">
        <v>8500</v>
      </c>
      <c r="M51" s="6">
        <v>-31</v>
      </c>
      <c r="N51" s="7">
        <f>IF(AND(L51 &lt;&gt; "-", M51 &lt;&gt; "-"),L51*( 1 + M51%),0)</f>
      </c>
      <c r="O51" s="7">
        <f>( N51 * E51 )</f>
      </c>
      <c r="P51" s="1" t="s">
        <v>194</v>
      </c>
      <c r="Q51" s="6">
        <v>1.42</v>
      </c>
      <c r="R51" s="6">
        <v>63.2</v>
      </c>
      <c r="S51" s="4">
        <v>60</v>
      </c>
      <c r="T51" s="1" t="s">
        <v>43</v>
      </c>
      <c r="U51" s="5">
        <f>HYPERLINK("https://www.gia.edu/report-check?reportno=1455171159","1455171159")</f>
      </c>
      <c r="V51" s="1" t="s">
        <v>39</v>
      </c>
      <c r="W51" s="1" t="s">
        <v>195</v>
      </c>
      <c r="X51" s="1" t="s">
        <v>163</v>
      </c>
      <c r="Y51" s="1" t="s">
        <v>45</v>
      </c>
      <c r="Z51" s="1" t="s">
        <v>79</v>
      </c>
      <c r="AA51" s="1" t="s">
        <v>52</v>
      </c>
      <c r="AB51" s="1" t="s">
        <v>80</v>
      </c>
      <c r="AC51" s="1" t="s">
        <v>91</v>
      </c>
      <c r="AD51" s="1" t="s">
        <v>39</v>
      </c>
      <c r="AE51" s="8">
        <f>IF(L51&lt;&gt;"",L51*E51,0)</f>
      </c>
    </row>
    <row r="52" hidden="1" spans="1:3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 hidden="1" spans="1:3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 spans="1:31" x14ac:dyDescent="0.25">
      <c r="A54" s="1"/>
      <c r="B54" s="1"/>
      <c r="C54" s="1"/>
      <c r="D54" s="1"/>
      <c r="E54" s="9">
        <f>ROUND(SUBTOTAL(9,E6:E51),2)</f>
      </c>
      <c r="F54" s="1"/>
      <c r="G54" s="1"/>
      <c r="H54" s="1"/>
      <c r="I54" s="1"/>
      <c r="J54" s="1"/>
      <c r="K54" s="1"/>
      <c r="L54" s="9">
        <f>ROUND(AY3/E3,2)</f>
      </c>
      <c r="M54" s="9">
        <f>ROUND((I3/AY3*100)-100,2)</f>
      </c>
      <c r="N54" s="9">
        <f>ROUND(I3/E3,2)</f>
      </c>
      <c r="O54" s="9">
        <f>ROUND(SUBTOTAL(9,O6:O51),2)</f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9">
        <f>ROUND(SUBTOTAL(9,AE6:AE51),2)</f>
      </c>
    </row>
  </sheetData>
  <autoFilter ref="A5:AE51"/>
  <mergeCells count="3">
    <mergeCell ref="A1:B3"/>
    <mergeCell ref="A52:AM52"/>
    <mergeCell ref="A53:AM53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diamonds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2023-06-14T21:25:28Z</dcterms:created>
  <dcterms:modified xsi:type="dcterms:W3CDTF">2023-06-14T21:25:28Z</dcterms:modified>
</cp:coreProperties>
</file>