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" state="visible" r:id="rId4"/>
  </sheets>
  <calcPr calcId="171027"/>
</workbook>
</file>

<file path=xl/sharedStrings.xml><?xml version="1.0" encoding="utf-8"?>
<sst xmlns="http://schemas.openxmlformats.org/spreadsheetml/2006/main" count="577" uniqueCount="144">
  <si>
    <t/>
  </si>
  <si>
    <t>PCS</t>
  </si>
  <si>
    <t>Carat</t>
  </si>
  <si>
    <t>Rap.($)</t>
  </si>
  <si>
    <t xml:space="preserve"> Disc %</t>
  </si>
  <si>
    <t xml:space="preserve"> Price/ct</t>
  </si>
  <si>
    <t>Amount</t>
  </si>
  <si>
    <t>Rap Avg</t>
  </si>
  <si>
    <t>TOTAL</t>
  </si>
  <si>
    <t>SELECTED</t>
  </si>
  <si>
    <t>SrNo</t>
  </si>
  <si>
    <t>Packet No</t>
  </si>
  <si>
    <t>DNA</t>
  </si>
  <si>
    <t>Shape</t>
  </si>
  <si>
    <t>Color</t>
  </si>
  <si>
    <t>Clarity</t>
  </si>
  <si>
    <t xml:space="preserve">Cut </t>
  </si>
  <si>
    <t xml:space="preserve"> Pol</t>
  </si>
  <si>
    <t>Sym</t>
  </si>
  <si>
    <t>Fls</t>
  </si>
  <si>
    <t>Measurement</t>
  </si>
  <si>
    <t>Ratio</t>
  </si>
  <si>
    <t>Depth%</t>
  </si>
  <si>
    <t>Table%</t>
  </si>
  <si>
    <t>Lab</t>
  </si>
  <si>
    <t>Report No</t>
  </si>
  <si>
    <t>Comments</t>
  </si>
  <si>
    <t>Key To Symbols</t>
  </si>
  <si>
    <t>TI</t>
  </si>
  <si>
    <t>Shade</t>
  </si>
  <si>
    <t>SI</t>
  </si>
  <si>
    <t>TB</t>
  </si>
  <si>
    <t>SB</t>
  </si>
  <si>
    <t>TO</t>
  </si>
  <si>
    <t>SO</t>
  </si>
  <si>
    <t>21081-20</t>
  </si>
  <si>
    <t>EM</t>
  </si>
  <si>
    <t>D</t>
  </si>
  <si>
    <t>VVS1</t>
  </si>
  <si>
    <t>-</t>
  </si>
  <si>
    <t>EX</t>
  </si>
  <si>
    <t>NON</t>
  </si>
  <si>
    <t>8.53*6*4.08</t>
  </si>
  <si>
    <t>GIA</t>
  </si>
  <si>
    <t>Pinpoint</t>
  </si>
  <si>
    <t>PP1</t>
  </si>
  <si>
    <t>NONE</t>
  </si>
  <si>
    <t>21118-66</t>
  </si>
  <si>
    <t>F</t>
  </si>
  <si>
    <t>8.27*6.01*4.09</t>
  </si>
  <si>
    <t>Pinpoint  Feather  Natural</t>
  </si>
  <si>
    <t>FR1</t>
  </si>
  <si>
    <t>21108-113</t>
  </si>
  <si>
    <t>G</t>
  </si>
  <si>
    <t>7.63*5.53*3.69</t>
  </si>
  <si>
    <t>Pinpoint  Feather</t>
  </si>
  <si>
    <t>21102-44</t>
  </si>
  <si>
    <t>7.81*5.66*3.89</t>
  </si>
  <si>
    <t>21118-76</t>
  </si>
  <si>
    <t>H</t>
  </si>
  <si>
    <t>7.81*5.58*3.76</t>
  </si>
  <si>
    <t>21099-30</t>
  </si>
  <si>
    <t>I</t>
  </si>
  <si>
    <t>7.86*5.69*3.9</t>
  </si>
  <si>
    <t>Needle</t>
  </si>
  <si>
    <t>21111-43</t>
  </si>
  <si>
    <t>8.43*5.72*3.82</t>
  </si>
  <si>
    <t>21117-57</t>
  </si>
  <si>
    <t>VVS2</t>
  </si>
  <si>
    <t>FNT</t>
  </si>
  <si>
    <t>8.7*5.96*4.04</t>
  </si>
  <si>
    <t>Pinpoint  Needle</t>
  </si>
  <si>
    <t>PIN POINT BLACK</t>
  </si>
  <si>
    <t>21130-68</t>
  </si>
  <si>
    <t>8.5*6.07*4.1</t>
  </si>
  <si>
    <t>Needle  Pinpoint</t>
  </si>
  <si>
    <t xml:space="preserve">PINPOINT </t>
  </si>
  <si>
    <t>21131-58</t>
  </si>
  <si>
    <t>8.68*5.9*4.06</t>
  </si>
  <si>
    <t>Cloud  Pinpoint</t>
  </si>
  <si>
    <t>SPR1</t>
  </si>
  <si>
    <t>21023-26</t>
  </si>
  <si>
    <t>VG</t>
  </si>
  <si>
    <t>7.59*5.42*3.74</t>
  </si>
  <si>
    <t>Indented Natural  Feather  Cloud</t>
  </si>
  <si>
    <t xml:space="preserve">HAIR LINE </t>
  </si>
  <si>
    <t>21109-33</t>
  </si>
  <si>
    <t>9.56*6.4*4.39</t>
  </si>
  <si>
    <t>Cloud  Needle  Pinpoint  Feather</t>
  </si>
  <si>
    <t>21102-34</t>
  </si>
  <si>
    <t>8.29*6.02*4.12</t>
  </si>
  <si>
    <t>Crystal  Feather  Pinpoint</t>
  </si>
  <si>
    <t>CRL1</t>
  </si>
  <si>
    <t>21056-8</t>
  </si>
  <si>
    <t>E</t>
  </si>
  <si>
    <t>VS1</t>
  </si>
  <si>
    <t>8.18*5.31*3.51</t>
  </si>
  <si>
    <t>21118-62</t>
  </si>
  <si>
    <t>8.22*5.71*3.87</t>
  </si>
  <si>
    <t>Crystal  Pinpoint</t>
  </si>
  <si>
    <t>21109-48</t>
  </si>
  <si>
    <t>8.6*6.17*4.02</t>
  </si>
  <si>
    <t>Crystal  Cloud</t>
  </si>
  <si>
    <t>21108-118</t>
  </si>
  <si>
    <t>7.66*5.43*3.64</t>
  </si>
  <si>
    <t>Crystal  Feather  Cloud</t>
  </si>
  <si>
    <t>MINOR BLACK</t>
  </si>
  <si>
    <t xml:space="preserve">SMALL </t>
  </si>
  <si>
    <t>21102-41</t>
  </si>
  <si>
    <t>7.88*5.69*3.91</t>
  </si>
  <si>
    <t>Feather  Pinpoint  Extra Facet</t>
  </si>
  <si>
    <t>21112-39</t>
  </si>
  <si>
    <t>8.52*5.88*3.99</t>
  </si>
  <si>
    <t>Feather</t>
  </si>
  <si>
    <t>21113-38</t>
  </si>
  <si>
    <t>8.28*6*4.1</t>
  </si>
  <si>
    <t>Crystal  Cloud  Pinpoint</t>
  </si>
  <si>
    <t>21108-121</t>
  </si>
  <si>
    <t>VS2</t>
  </si>
  <si>
    <t>7.5*5.44*3.74</t>
  </si>
  <si>
    <t>Feather  Cloud  Crystal  Needle</t>
  </si>
  <si>
    <t>21118-49</t>
  </si>
  <si>
    <t>8.32*5.94*4.07</t>
  </si>
  <si>
    <t>Crystal  Needle</t>
  </si>
  <si>
    <t>21121-26</t>
  </si>
  <si>
    <t>8.38*6.08*4.11</t>
  </si>
  <si>
    <t>Feather  Crystal  Cloud</t>
  </si>
  <si>
    <t>21072-45</t>
  </si>
  <si>
    <t>LR</t>
  </si>
  <si>
    <t>SI1</t>
  </si>
  <si>
    <t>8.78*6.04*4.09</t>
  </si>
  <si>
    <t>Crystal  Twinning Wisp  Feather  Needle</t>
  </si>
  <si>
    <t>21121-15</t>
  </si>
  <si>
    <t>7.65*5.45*3.9</t>
  </si>
  <si>
    <t>Twinning Wisp  Crystal  Needle  Indented Natural  Natural</t>
  </si>
  <si>
    <t>21033-21</t>
  </si>
  <si>
    <t>9.66*7.01*4.79</t>
  </si>
  <si>
    <t>Crystal  Cloud  Needle</t>
  </si>
  <si>
    <t>HU-4</t>
  </si>
  <si>
    <t>SI2</t>
  </si>
  <si>
    <t>11.54*8.19*5.89</t>
  </si>
  <si>
    <t>Feather  Crystal  Needle</t>
  </si>
  <si>
    <t>FR2</t>
  </si>
  <si>
    <t>MEDIUM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</si>
</sst>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color theme="1"/>
      <family val="2"/>
      <scheme val="minor"/>
      <sz val="11"/>
      <name val="Calibri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b/>
      <color rgb="006AA8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color rgb="283895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3a8ed2"/>
        <bgColor rgb="3a8ed2"/>
      </patternFill>
    </fill>
  </fills>
  <borders count="5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workbookViewId="0">
      <pane ySplit="5" topLeftCell="A6" activePane="bottomLeft" state="frozen"/>
      <selection pane="bottomLeft"/>
    </sheetView>
  </sheetViews>
  <sheetFormatPr defaultRowHeight="15" outlineLevelRow="0" outlineLevelCol="0" x14ac:dyDescent="55"/>
  <cols>
    <col min="1" max="1" width="6" customWidth="1"/>
    <col min="2" max="2" width="14" customWidth="1"/>
    <col min="3" max="4" width="10" customWidth="1"/>
    <col min="5" max="7" width="6" customWidth="1"/>
    <col min="8" max="9" width="10" customWidth="1"/>
    <col min="10" max="11" width="6" customWidth="1"/>
    <col min="12" max="15" width="10" customWidth="1"/>
    <col min="16" max="16" width="16" customWidth="1"/>
    <col min="17" max="17" width="12" customWidth="1"/>
    <col min="18" max="19" width="6" customWidth="1"/>
    <col min="20" max="20" width="10" customWidth="1"/>
    <col min="21" max="21" width="13" customWidth="1"/>
    <col min="22" max="22" width="30" customWidth="1"/>
    <col min="23" max="23" width="35" customWidth="1"/>
    <col min="24" max="24" width="12" customWidth="1"/>
    <col min="25" max="25" width="10" customWidth="1"/>
    <col min="26" max="30" width="12" customWidth="1"/>
    <col min="31" max="31" width="10" hidden="1" customWidth="1"/>
  </cols>
  <sheetData>
    <row r="1" spans="1:51" x14ac:dyDescent="0.25">
      <c r="A1" s="1" t="s">
        <v>0</v>
      </c>
      <c r="B1" s="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7</v>
      </c>
    </row>
    <row r="2" spans="1:51" x14ac:dyDescent="0.25">
      <c r="A2" s="1"/>
      <c r="B2" s="1"/>
      <c r="C2" s="2" t="s">
        <v>8</v>
      </c>
      <c r="D2" s="3">
        <f>ROUND(COUNTA(D6:D32),2)</f>
      </c>
      <c r="E2" s="3">
        <f>ROUND(SUM(E6:E32),2)</f>
      </c>
      <c r="F2" s="3">
        <f>ROUND(AY2/E2,2)</f>
      </c>
      <c r="G2" s="3">
        <f>ROUND((I2/AY2*100)-100,2)</f>
      </c>
      <c r="H2" s="3">
        <f>ROUND(I2/E2,2)</f>
      </c>
      <c r="I2" s="3">
        <f>ROUND(SUM(O6:O32),2)</f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3">
        <f>ROUND(SUM(AE6:AE32),2)</f>
      </c>
    </row>
    <row r="3" spans="1:51" x14ac:dyDescent="0.25">
      <c r="A3" s="1"/>
      <c r="B3" s="1"/>
      <c r="C3" s="2" t="s">
        <v>9</v>
      </c>
      <c r="D3" s="3">
        <f>ROUND(SUBTOTAL(3,D6:D32),2)</f>
      </c>
      <c r="E3" s="3">
        <f>ROUND(SUBTOTAL(9,E6:E32),2)</f>
      </c>
      <c r="F3" s="3">
        <f>ROUND(AY3/E3,2)</f>
      </c>
      <c r="G3" s="3">
        <f>ROUND((I3/AY3*100)-100,2)</f>
      </c>
      <c r="H3" s="3">
        <f>ROUND(I3/E3,2)</f>
      </c>
      <c r="I3" s="3">
        <f>ROUND(SUBTOTAL(9,O6:O32),2)</f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3">
        <f>ROUND(SUBTOTAL(9,AE6:AE32),2)</f>
      </c>
    </row>
    <row r="5" spans="1:31" x14ac:dyDescent="0.25">
      <c r="A5" s="2" t="s">
        <v>10</v>
      </c>
      <c r="B5" s="2" t="s">
        <v>11</v>
      </c>
      <c r="C5" s="2" t="s">
        <v>12</v>
      </c>
      <c r="D5" s="2" t="s">
        <v>13</v>
      </c>
      <c r="E5" s="2" t="s">
        <v>2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3</v>
      </c>
      <c r="M5" s="2" t="s">
        <v>4</v>
      </c>
      <c r="N5" s="2" t="s">
        <v>5</v>
      </c>
      <c r="O5" s="2" t="s">
        <v>6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  <c r="X5" s="2" t="s">
        <v>28</v>
      </c>
      <c r="Y5" s="2" t="s">
        <v>29</v>
      </c>
      <c r="Z5" s="2" t="s">
        <v>30</v>
      </c>
      <c r="AA5" s="2" t="s">
        <v>31</v>
      </c>
      <c r="AB5" s="2" t="s">
        <v>32</v>
      </c>
      <c r="AC5" s="2" t="s">
        <v>33</v>
      </c>
      <c r="AD5" s="2" t="s">
        <v>34</v>
      </c>
      <c r="AE5" s="2" t="s">
        <v>7</v>
      </c>
    </row>
    <row r="6" spans="1:31" x14ac:dyDescent="0.25">
      <c r="A6" s="4">
        <v>1</v>
      </c>
      <c r="B6" s="1" t="s">
        <v>35</v>
      </c>
      <c r="C6" s="5">
        <f>HYPERLINK("https://client.unique.diamonds/dna/21081-20","DNA")</f>
      </c>
      <c r="D6" s="1" t="s">
        <v>36</v>
      </c>
      <c r="E6" s="6">
        <v>2</v>
      </c>
      <c r="F6" s="1" t="s">
        <v>37</v>
      </c>
      <c r="G6" s="1" t="s">
        <v>38</v>
      </c>
      <c r="H6" s="1" t="s">
        <v>39</v>
      </c>
      <c r="I6" s="1" t="s">
        <v>40</v>
      </c>
      <c r="J6" s="1" t="s">
        <v>40</v>
      </c>
      <c r="K6" s="1" t="s">
        <v>41</v>
      </c>
      <c r="L6" s="4">
        <v>23500</v>
      </c>
      <c r="M6" s="6">
        <v>-46</v>
      </c>
      <c r="N6" s="7">
        <f>IF(AND(L6 &lt;&gt; "-", M6 &lt;&gt; "-"),L6*( 1 + M6%),0)</f>
      </c>
      <c r="O6" s="7">
        <f>( N6 * E6 )</f>
      </c>
      <c r="P6" s="1" t="s">
        <v>42</v>
      </c>
      <c r="Q6" s="6">
        <v>1.42</v>
      </c>
      <c r="R6" s="6">
        <v>68.1</v>
      </c>
      <c r="S6" s="4">
        <v>68</v>
      </c>
      <c r="T6" s="1" t="s">
        <v>43</v>
      </c>
      <c r="U6" s="5">
        <f>HYPERLINK("https://www.gia.edu/report-check?reportno=1468331356","1468331356")</f>
      </c>
      <c r="V6" s="1" t="s">
        <v>39</v>
      </c>
      <c r="W6" s="1" t="s">
        <v>44</v>
      </c>
      <c r="X6" s="1" t="s">
        <v>41</v>
      </c>
      <c r="Y6" s="1" t="s">
        <v>41</v>
      </c>
      <c r="Z6" s="1" t="s">
        <v>45</v>
      </c>
      <c r="AA6" s="1" t="s">
        <v>41</v>
      </c>
      <c r="AB6" s="1" t="s">
        <v>41</v>
      </c>
      <c r="AC6" s="1" t="s">
        <v>46</v>
      </c>
      <c r="AD6" s="1" t="s">
        <v>39</v>
      </c>
      <c r="AE6" s="8">
        <f>IF(L6&lt;&gt;"",L6*E6,0)</f>
      </c>
    </row>
    <row r="7" spans="1:31" x14ac:dyDescent="0.25">
      <c r="A7" s="4">
        <v>2</v>
      </c>
      <c r="B7" s="1" t="s">
        <v>47</v>
      </c>
      <c r="C7" s="5">
        <f>HYPERLINK("https://client.unique.diamonds/dna/21118-66","DNA")</f>
      </c>
      <c r="D7" s="1" t="s">
        <v>36</v>
      </c>
      <c r="E7" s="6">
        <v>2.01</v>
      </c>
      <c r="F7" s="1" t="s">
        <v>48</v>
      </c>
      <c r="G7" s="1" t="s">
        <v>38</v>
      </c>
      <c r="H7" s="1" t="s">
        <v>39</v>
      </c>
      <c r="I7" s="1" t="s">
        <v>40</v>
      </c>
      <c r="J7" s="1" t="s">
        <v>40</v>
      </c>
      <c r="K7" s="1" t="s">
        <v>41</v>
      </c>
      <c r="L7" s="4">
        <v>19000</v>
      </c>
      <c r="M7" s="6">
        <v>-41.5</v>
      </c>
      <c r="N7" s="7">
        <f>IF(AND(L7 &lt;&gt; "-", M7 &lt;&gt; "-"),L7*( 1 + M7%),0)</f>
      </c>
      <c r="O7" s="7">
        <f>( N7 * E7 )</f>
      </c>
      <c r="P7" s="1" t="s">
        <v>49</v>
      </c>
      <c r="Q7" s="6">
        <v>1.38</v>
      </c>
      <c r="R7" s="6">
        <v>68</v>
      </c>
      <c r="S7" s="4">
        <v>64</v>
      </c>
      <c r="T7" s="1" t="s">
        <v>43</v>
      </c>
      <c r="U7" s="5">
        <f>HYPERLINK("https://www.gia.edu/report-check?reportno=6462716788","6462716788")</f>
      </c>
      <c r="V7" s="1" t="s">
        <v>39</v>
      </c>
      <c r="W7" s="1" t="s">
        <v>50</v>
      </c>
      <c r="X7" s="1" t="s">
        <v>45</v>
      </c>
      <c r="Y7" s="1" t="s">
        <v>41</v>
      </c>
      <c r="Z7" s="1" t="s">
        <v>51</v>
      </c>
      <c r="AA7" s="1" t="s">
        <v>41</v>
      </c>
      <c r="AB7" s="1" t="s">
        <v>41</v>
      </c>
      <c r="AC7" s="1" t="s">
        <v>46</v>
      </c>
      <c r="AD7" s="1" t="s">
        <v>39</v>
      </c>
      <c r="AE7" s="8">
        <f>IF(L7&lt;&gt;"",L7*E7,0)</f>
      </c>
    </row>
    <row r="8" spans="1:31" x14ac:dyDescent="0.25">
      <c r="A8" s="4">
        <v>3</v>
      </c>
      <c r="B8" s="1" t="s">
        <v>52</v>
      </c>
      <c r="C8" s="5">
        <f>HYPERLINK("https://client.unique.diamonds/dna/21108-113","DNA")</f>
      </c>
      <c r="D8" s="1" t="s">
        <v>36</v>
      </c>
      <c r="E8" s="6">
        <v>1.5</v>
      </c>
      <c r="F8" s="1" t="s">
        <v>53</v>
      </c>
      <c r="G8" s="1" t="s">
        <v>38</v>
      </c>
      <c r="H8" s="1" t="s">
        <v>39</v>
      </c>
      <c r="I8" s="1" t="s">
        <v>40</v>
      </c>
      <c r="J8" s="1" t="s">
        <v>40</v>
      </c>
      <c r="K8" s="1" t="s">
        <v>41</v>
      </c>
      <c r="L8" s="4">
        <v>12200</v>
      </c>
      <c r="M8" s="6">
        <v>-40.5</v>
      </c>
      <c r="N8" s="7">
        <f>IF(AND(L8 &lt;&gt; "-", M8 &lt;&gt; "-"),L8*( 1 + M8%),0)</f>
      </c>
      <c r="O8" s="7">
        <f>( N8 * E8 )</f>
      </c>
      <c r="P8" s="1" t="s">
        <v>54</v>
      </c>
      <c r="Q8" s="6">
        <v>1.38</v>
      </c>
      <c r="R8" s="6">
        <v>66.8</v>
      </c>
      <c r="S8" s="4">
        <v>64</v>
      </c>
      <c r="T8" s="1" t="s">
        <v>43</v>
      </c>
      <c r="U8" s="5">
        <f>HYPERLINK("https://www.gia.edu/report-check?reportno=7461624260","7461624260")</f>
      </c>
      <c r="V8" s="1" t="s">
        <v>39</v>
      </c>
      <c r="W8" s="1" t="s">
        <v>55</v>
      </c>
      <c r="X8" s="1" t="s">
        <v>41</v>
      </c>
      <c r="Y8" s="1" t="s">
        <v>41</v>
      </c>
      <c r="Z8" s="1" t="s">
        <v>51</v>
      </c>
      <c r="AA8" s="1" t="s">
        <v>41</v>
      </c>
      <c r="AB8" s="1" t="s">
        <v>41</v>
      </c>
      <c r="AC8" s="1" t="s">
        <v>46</v>
      </c>
      <c r="AD8" s="1" t="s">
        <v>39</v>
      </c>
      <c r="AE8" s="8">
        <f>IF(L8&lt;&gt;"",L8*E8,0)</f>
      </c>
    </row>
    <row r="9" spans="1:31" x14ac:dyDescent="0.25">
      <c r="A9" s="4">
        <v>4</v>
      </c>
      <c r="B9" s="1" t="s">
        <v>56</v>
      </c>
      <c r="C9" s="5">
        <f>HYPERLINK("https://client.unique.diamonds/dna/21102-44","DNA")</f>
      </c>
      <c r="D9" s="1" t="s">
        <v>36</v>
      </c>
      <c r="E9" s="6">
        <v>1.7</v>
      </c>
      <c r="F9" s="1" t="s">
        <v>53</v>
      </c>
      <c r="G9" s="1" t="s">
        <v>38</v>
      </c>
      <c r="H9" s="1" t="s">
        <v>39</v>
      </c>
      <c r="I9" s="1" t="s">
        <v>40</v>
      </c>
      <c r="J9" s="1" t="s">
        <v>40</v>
      </c>
      <c r="K9" s="1" t="s">
        <v>41</v>
      </c>
      <c r="L9" s="4">
        <v>12200</v>
      </c>
      <c r="M9" s="6">
        <v>-30.5</v>
      </c>
      <c r="N9" s="7">
        <f>IF(AND(L9 &lt;&gt; "-", M9 &lt;&gt; "-"),L9*( 1 + M9%),0)</f>
      </c>
      <c r="O9" s="7">
        <f>( N9 * E9 )</f>
      </c>
      <c r="P9" s="1" t="s">
        <v>57</v>
      </c>
      <c r="Q9" s="6">
        <v>1.38</v>
      </c>
      <c r="R9" s="6">
        <v>68.7</v>
      </c>
      <c r="S9" s="4">
        <v>65</v>
      </c>
      <c r="T9" s="1" t="s">
        <v>43</v>
      </c>
      <c r="U9" s="5">
        <f>HYPERLINK("https://www.gia.edu/report-check?reportno=7468655988","7468655988")</f>
      </c>
      <c r="V9" s="1" t="s">
        <v>39</v>
      </c>
      <c r="W9" s="1" t="s">
        <v>55</v>
      </c>
      <c r="X9" s="1" t="s">
        <v>45</v>
      </c>
      <c r="Y9" s="1" t="s">
        <v>41</v>
      </c>
      <c r="Z9" s="1" t="s">
        <v>51</v>
      </c>
      <c r="AA9" s="1" t="s">
        <v>41</v>
      </c>
      <c r="AB9" s="1" t="s">
        <v>41</v>
      </c>
      <c r="AC9" s="1" t="s">
        <v>46</v>
      </c>
      <c r="AD9" s="1" t="s">
        <v>39</v>
      </c>
      <c r="AE9" s="8">
        <f>IF(L9&lt;&gt;"",L9*E9,0)</f>
      </c>
    </row>
    <row r="10" spans="1:31" x14ac:dyDescent="0.25">
      <c r="A10" s="4">
        <v>5</v>
      </c>
      <c r="B10" s="1" t="s">
        <v>58</v>
      </c>
      <c r="C10" s="5">
        <f>HYPERLINK("https://client.unique.diamonds/dna/21118-76","DNA")</f>
      </c>
      <c r="D10" s="1" t="s">
        <v>36</v>
      </c>
      <c r="E10" s="6">
        <v>1.6</v>
      </c>
      <c r="F10" s="1" t="s">
        <v>59</v>
      </c>
      <c r="G10" s="1" t="s">
        <v>38</v>
      </c>
      <c r="H10" s="1" t="s">
        <v>39</v>
      </c>
      <c r="I10" s="1" t="s">
        <v>40</v>
      </c>
      <c r="J10" s="1" t="s">
        <v>40</v>
      </c>
      <c r="K10" s="1" t="s">
        <v>41</v>
      </c>
      <c r="L10" s="4">
        <v>10300</v>
      </c>
      <c r="M10" s="6">
        <v>-41.5</v>
      </c>
      <c r="N10" s="7">
        <f>IF(AND(L10 &lt;&gt; "-", M10 &lt;&gt; "-"),L10*( 1 + M10%),0)</f>
      </c>
      <c r="O10" s="7">
        <f>( N10 * E10 )</f>
      </c>
      <c r="P10" s="1" t="s">
        <v>60</v>
      </c>
      <c r="Q10" s="6">
        <v>1.4</v>
      </c>
      <c r="R10" s="6">
        <v>67.4</v>
      </c>
      <c r="S10" s="4">
        <v>64</v>
      </c>
      <c r="T10" s="1" t="s">
        <v>43</v>
      </c>
      <c r="U10" s="5">
        <f>HYPERLINK("https://www.gia.edu/report-check?reportno=2467746343","2467746343")</f>
      </c>
      <c r="V10" s="1" t="s">
        <v>39</v>
      </c>
      <c r="W10" s="1" t="s">
        <v>55</v>
      </c>
      <c r="X10" s="1" t="s">
        <v>41</v>
      </c>
      <c r="Y10" s="1" t="s">
        <v>41</v>
      </c>
      <c r="Z10" s="1" t="s">
        <v>51</v>
      </c>
      <c r="AA10" s="1" t="s">
        <v>41</v>
      </c>
      <c r="AB10" s="1" t="s">
        <v>41</v>
      </c>
      <c r="AC10" s="1" t="s">
        <v>46</v>
      </c>
      <c r="AD10" s="1" t="s">
        <v>39</v>
      </c>
      <c r="AE10" s="8">
        <f>IF(L10&lt;&gt;"",L10*E10,0)</f>
      </c>
    </row>
    <row r="11" spans="1:31" x14ac:dyDescent="0.25">
      <c r="A11" s="4">
        <v>6</v>
      </c>
      <c r="B11" s="1" t="s">
        <v>61</v>
      </c>
      <c r="C11" s="5">
        <f>HYPERLINK("https://client.unique.diamonds/dna/21099-30","DNA")</f>
      </c>
      <c r="D11" s="1" t="s">
        <v>36</v>
      </c>
      <c r="E11" s="6">
        <v>1.7</v>
      </c>
      <c r="F11" s="1" t="s">
        <v>62</v>
      </c>
      <c r="G11" s="1" t="s">
        <v>38</v>
      </c>
      <c r="H11" s="1" t="s">
        <v>39</v>
      </c>
      <c r="I11" s="1" t="s">
        <v>40</v>
      </c>
      <c r="J11" s="1" t="s">
        <v>40</v>
      </c>
      <c r="K11" s="1" t="s">
        <v>41</v>
      </c>
      <c r="L11" s="4">
        <v>8500</v>
      </c>
      <c r="M11" s="6">
        <v>-32</v>
      </c>
      <c r="N11" s="7">
        <f>IF(AND(L11 &lt;&gt; "-", M11 &lt;&gt; "-"),L11*( 1 + M11%),0)</f>
      </c>
      <c r="O11" s="7">
        <f>( N11 * E11 )</f>
      </c>
      <c r="P11" s="1" t="s">
        <v>63</v>
      </c>
      <c r="Q11" s="6">
        <v>1.38</v>
      </c>
      <c r="R11" s="6">
        <v>68.6</v>
      </c>
      <c r="S11" s="4">
        <v>65</v>
      </c>
      <c r="T11" s="1" t="s">
        <v>43</v>
      </c>
      <c r="U11" s="5">
        <f>HYPERLINK("https://www.gia.edu/report-check?reportno=5463405300","5463405300")</f>
      </c>
      <c r="V11" s="1" t="s">
        <v>39</v>
      </c>
      <c r="W11" s="1" t="s">
        <v>64</v>
      </c>
      <c r="X11" s="1" t="s">
        <v>41</v>
      </c>
      <c r="Y11" s="1" t="s">
        <v>41</v>
      </c>
      <c r="Z11" s="1" t="s">
        <v>51</v>
      </c>
      <c r="AA11" s="1" t="s">
        <v>41</v>
      </c>
      <c r="AB11" s="1" t="s">
        <v>41</v>
      </c>
      <c r="AC11" s="1" t="s">
        <v>46</v>
      </c>
      <c r="AD11" s="1" t="s">
        <v>39</v>
      </c>
      <c r="AE11" s="8">
        <f>IF(L11&lt;&gt;"",L11*E11,0)</f>
      </c>
    </row>
    <row r="12" spans="1:31" x14ac:dyDescent="0.25">
      <c r="A12" s="4">
        <v>7</v>
      </c>
      <c r="B12" s="1" t="s">
        <v>65</v>
      </c>
      <c r="C12" s="5">
        <f>HYPERLINK("https://client.unique.diamonds/dna/21111-43","DNA")</f>
      </c>
      <c r="D12" s="1" t="s">
        <v>36</v>
      </c>
      <c r="E12" s="6">
        <v>1.8</v>
      </c>
      <c r="F12" s="1" t="s">
        <v>62</v>
      </c>
      <c r="G12" s="1" t="s">
        <v>38</v>
      </c>
      <c r="H12" s="1" t="s">
        <v>39</v>
      </c>
      <c r="I12" s="1" t="s">
        <v>40</v>
      </c>
      <c r="J12" s="1" t="s">
        <v>40</v>
      </c>
      <c r="K12" s="1" t="s">
        <v>41</v>
      </c>
      <c r="L12" s="4">
        <v>8500</v>
      </c>
      <c r="M12" s="6">
        <v>-28.5</v>
      </c>
      <c r="N12" s="7">
        <f>IF(AND(L12 &lt;&gt; "-", M12 &lt;&gt; "-"),L12*( 1 + M12%),0)</f>
      </c>
      <c r="O12" s="7">
        <f>( N12 * E12 )</f>
      </c>
      <c r="P12" s="1" t="s">
        <v>66</v>
      </c>
      <c r="Q12" s="6">
        <v>1.47</v>
      </c>
      <c r="R12" s="6">
        <v>66.8</v>
      </c>
      <c r="S12" s="4">
        <v>64</v>
      </c>
      <c r="T12" s="1" t="s">
        <v>43</v>
      </c>
      <c r="U12" s="5">
        <f>HYPERLINK("https://www.gia.edu/report-check?reportno=6461645302","6461645302")</f>
      </c>
      <c r="V12" s="1" t="s">
        <v>39</v>
      </c>
      <c r="W12" s="1" t="s">
        <v>55</v>
      </c>
      <c r="X12" s="1" t="s">
        <v>45</v>
      </c>
      <c r="Y12" s="1" t="s">
        <v>41</v>
      </c>
      <c r="Z12" s="1" t="s">
        <v>51</v>
      </c>
      <c r="AA12" s="1" t="s">
        <v>41</v>
      </c>
      <c r="AB12" s="1" t="s">
        <v>41</v>
      </c>
      <c r="AC12" s="1" t="s">
        <v>46</v>
      </c>
      <c r="AD12" s="1" t="s">
        <v>39</v>
      </c>
      <c r="AE12" s="8">
        <f>IF(L12&lt;&gt;"",L12*E12,0)</f>
      </c>
    </row>
    <row r="13" spans="1:31" x14ac:dyDescent="0.25">
      <c r="A13" s="4">
        <v>8</v>
      </c>
      <c r="B13" s="1" t="s">
        <v>67</v>
      </c>
      <c r="C13" s="5">
        <f>HYPERLINK("https://client.unique.diamonds/dna/21117-57","DNA")</f>
      </c>
      <c r="D13" s="1" t="s">
        <v>36</v>
      </c>
      <c r="E13" s="6">
        <v>2.09</v>
      </c>
      <c r="F13" s="1" t="s">
        <v>37</v>
      </c>
      <c r="G13" s="1" t="s">
        <v>68</v>
      </c>
      <c r="H13" s="1" t="s">
        <v>39</v>
      </c>
      <c r="I13" s="1" t="s">
        <v>40</v>
      </c>
      <c r="J13" s="1" t="s">
        <v>40</v>
      </c>
      <c r="K13" s="1" t="s">
        <v>69</v>
      </c>
      <c r="L13" s="4">
        <v>21000</v>
      </c>
      <c r="M13" s="6">
        <v>-46.5</v>
      </c>
      <c r="N13" s="7">
        <f>IF(AND(L13 &lt;&gt; "-", M13 &lt;&gt; "-"),L13*( 1 + M13%),0)</f>
      </c>
      <c r="O13" s="7">
        <f>( N13 * E13 )</f>
      </c>
      <c r="P13" s="1" t="s">
        <v>70</v>
      </c>
      <c r="Q13" s="6">
        <v>1.46</v>
      </c>
      <c r="R13" s="6">
        <v>67.8</v>
      </c>
      <c r="S13" s="4">
        <v>65</v>
      </c>
      <c r="T13" s="1" t="s">
        <v>43</v>
      </c>
      <c r="U13" s="5">
        <f>HYPERLINK("https://www.gia.edu/report-check?reportno=1463683734","1463683734")</f>
      </c>
      <c r="V13" s="1" t="s">
        <v>39</v>
      </c>
      <c r="W13" s="1" t="s">
        <v>71</v>
      </c>
      <c r="X13" s="1" t="s">
        <v>45</v>
      </c>
      <c r="Y13" s="1" t="s">
        <v>41</v>
      </c>
      <c r="Z13" s="1" t="s">
        <v>51</v>
      </c>
      <c r="AA13" s="1" t="s">
        <v>41</v>
      </c>
      <c r="AB13" s="1" t="s">
        <v>72</v>
      </c>
      <c r="AC13" s="1" t="s">
        <v>46</v>
      </c>
      <c r="AD13" s="1" t="s">
        <v>39</v>
      </c>
      <c r="AE13" s="8">
        <f>IF(L13&lt;&gt;"",L13*E13,0)</f>
      </c>
    </row>
    <row r="14" spans="1:31" x14ac:dyDescent="0.25">
      <c r="A14" s="4">
        <v>9</v>
      </c>
      <c r="B14" s="1" t="s">
        <v>73</v>
      </c>
      <c r="C14" s="5">
        <f>HYPERLINK("https://client.unique.diamonds/dna/21130-68","DNA")</f>
      </c>
      <c r="D14" s="1" t="s">
        <v>36</v>
      </c>
      <c r="E14" s="6">
        <v>2.09</v>
      </c>
      <c r="F14" s="1" t="s">
        <v>48</v>
      </c>
      <c r="G14" s="1" t="s">
        <v>68</v>
      </c>
      <c r="H14" s="1" t="s">
        <v>39</v>
      </c>
      <c r="I14" s="1" t="s">
        <v>40</v>
      </c>
      <c r="J14" s="1" t="s">
        <v>40</v>
      </c>
      <c r="K14" s="1" t="s">
        <v>69</v>
      </c>
      <c r="L14" s="4">
        <v>18000</v>
      </c>
      <c r="M14" s="6">
        <v>-47.5</v>
      </c>
      <c r="N14" s="7">
        <f>IF(AND(L14 &lt;&gt; "-", M14 &lt;&gt; "-"),L14*( 1 + M14%),0)</f>
      </c>
      <c r="O14" s="7">
        <f>( N14 * E14 )</f>
      </c>
      <c r="P14" s="1" t="s">
        <v>74</v>
      </c>
      <c r="Q14" s="6">
        <v>1.4</v>
      </c>
      <c r="R14" s="6">
        <v>67.5</v>
      </c>
      <c r="S14" s="4">
        <v>65</v>
      </c>
      <c r="T14" s="1" t="s">
        <v>43</v>
      </c>
      <c r="U14" s="5">
        <f>HYPERLINK("https://www.gia.edu/report-check?reportno=2467716787","2467716787")</f>
      </c>
      <c r="V14" s="1" t="s">
        <v>39</v>
      </c>
      <c r="W14" s="1" t="s">
        <v>75</v>
      </c>
      <c r="X14" s="1" t="s">
        <v>45</v>
      </c>
      <c r="Y14" s="1" t="s">
        <v>41</v>
      </c>
      <c r="Z14" s="1" t="s">
        <v>45</v>
      </c>
      <c r="AA14" s="1" t="s">
        <v>76</v>
      </c>
      <c r="AB14" s="1" t="s">
        <v>41</v>
      </c>
      <c r="AC14" s="1" t="s">
        <v>46</v>
      </c>
      <c r="AD14" s="1" t="s">
        <v>39</v>
      </c>
      <c r="AE14" s="8">
        <f>IF(L14&lt;&gt;"",L14*E14,0)</f>
      </c>
    </row>
    <row r="15" spans="1:31" x14ac:dyDescent="0.25">
      <c r="A15" s="4">
        <v>10</v>
      </c>
      <c r="B15" s="1" t="s">
        <v>77</v>
      </c>
      <c r="C15" s="5">
        <f>HYPERLINK("https://client.unique.diamonds/dna/21131-58","DNA")</f>
      </c>
      <c r="D15" s="1" t="s">
        <v>36</v>
      </c>
      <c r="E15" s="6">
        <v>2.1</v>
      </c>
      <c r="F15" s="1" t="s">
        <v>48</v>
      </c>
      <c r="G15" s="1" t="s">
        <v>68</v>
      </c>
      <c r="H15" s="1" t="s">
        <v>39</v>
      </c>
      <c r="I15" s="1" t="s">
        <v>40</v>
      </c>
      <c r="J15" s="1" t="s">
        <v>40</v>
      </c>
      <c r="K15" s="1" t="s">
        <v>41</v>
      </c>
      <c r="L15" s="4">
        <v>18000</v>
      </c>
      <c r="M15" s="6">
        <v>-42.5</v>
      </c>
      <c r="N15" s="7">
        <f>IF(AND(L15 &lt;&gt; "-", M15 &lt;&gt; "-"),L15*( 1 + M15%),0)</f>
      </c>
      <c r="O15" s="7">
        <f>( N15 * E15 )</f>
      </c>
      <c r="P15" s="1" t="s">
        <v>78</v>
      </c>
      <c r="Q15" s="6">
        <v>1.47</v>
      </c>
      <c r="R15" s="6">
        <v>68.8</v>
      </c>
      <c r="S15" s="4">
        <v>64</v>
      </c>
      <c r="T15" s="1" t="s">
        <v>43</v>
      </c>
      <c r="U15" s="5">
        <f>HYPERLINK("https://www.gia.edu/report-check?reportno=2466723960","2466723960")</f>
      </c>
      <c r="V15" s="1" t="s">
        <v>39</v>
      </c>
      <c r="W15" s="1" t="s">
        <v>79</v>
      </c>
      <c r="X15" s="1" t="s">
        <v>80</v>
      </c>
      <c r="Y15" s="1" t="s">
        <v>41</v>
      </c>
      <c r="Z15" s="1" t="s">
        <v>45</v>
      </c>
      <c r="AA15" s="1" t="s">
        <v>76</v>
      </c>
      <c r="AB15" s="1" t="s">
        <v>41</v>
      </c>
      <c r="AC15" s="1" t="s">
        <v>46</v>
      </c>
      <c r="AD15" s="1" t="s">
        <v>39</v>
      </c>
      <c r="AE15" s="8">
        <f>IF(L15&lt;&gt;"",L15*E15,0)</f>
      </c>
    </row>
    <row r="16" spans="1:31" x14ac:dyDescent="0.25">
      <c r="A16" s="4">
        <v>11</v>
      </c>
      <c r="B16" s="1" t="s">
        <v>81</v>
      </c>
      <c r="C16" s="5">
        <f>HYPERLINK("https://client.unique.diamonds/dna/21023-26","DNA")</f>
      </c>
      <c r="D16" s="1" t="s">
        <v>36</v>
      </c>
      <c r="E16" s="6">
        <v>1.5</v>
      </c>
      <c r="F16" s="1" t="s">
        <v>53</v>
      </c>
      <c r="G16" s="1" t="s">
        <v>68</v>
      </c>
      <c r="H16" s="1" t="s">
        <v>39</v>
      </c>
      <c r="I16" s="1" t="s">
        <v>82</v>
      </c>
      <c r="J16" s="1" t="s">
        <v>40</v>
      </c>
      <c r="K16" s="1" t="s">
        <v>69</v>
      </c>
      <c r="L16" s="4">
        <v>11700</v>
      </c>
      <c r="M16" s="6">
        <v>-48.5</v>
      </c>
      <c r="N16" s="7">
        <f>IF(AND(L16 &lt;&gt; "-", M16 &lt;&gt; "-"),L16*( 1 + M16%),0)</f>
      </c>
      <c r="O16" s="7">
        <f>( N16 * E16 )</f>
      </c>
      <c r="P16" s="1" t="s">
        <v>83</v>
      </c>
      <c r="Q16" s="6">
        <v>1.4</v>
      </c>
      <c r="R16" s="6">
        <v>68.9</v>
      </c>
      <c r="S16" s="4">
        <v>65</v>
      </c>
      <c r="T16" s="1" t="s">
        <v>43</v>
      </c>
      <c r="U16" s="5">
        <f>HYPERLINK("https://www.gia.edu/report-check?reportno=1459583638","1459583638")</f>
      </c>
      <c r="V16" s="1" t="s">
        <v>39</v>
      </c>
      <c r="W16" s="1" t="s">
        <v>84</v>
      </c>
      <c r="X16" s="1" t="s">
        <v>41</v>
      </c>
      <c r="Y16" s="1" t="s">
        <v>41</v>
      </c>
      <c r="Z16" s="1" t="s">
        <v>51</v>
      </c>
      <c r="AA16" s="1" t="s">
        <v>76</v>
      </c>
      <c r="AB16" s="1" t="s">
        <v>41</v>
      </c>
      <c r="AC16" s="1" t="s">
        <v>85</v>
      </c>
      <c r="AD16" s="1" t="s">
        <v>39</v>
      </c>
      <c r="AE16" s="8">
        <f>IF(L16&lt;&gt;"",L16*E16,0)</f>
      </c>
    </row>
    <row r="17" spans="1:31" x14ac:dyDescent="0.25">
      <c r="A17" s="4">
        <v>12</v>
      </c>
      <c r="B17" s="1" t="s">
        <v>86</v>
      </c>
      <c r="C17" s="5">
        <f>HYPERLINK("https://client.unique.diamonds/dna/21109-33","DNA")</f>
      </c>
      <c r="D17" s="1" t="s">
        <v>36</v>
      </c>
      <c r="E17" s="6">
        <v>2.71</v>
      </c>
      <c r="F17" s="1" t="s">
        <v>53</v>
      </c>
      <c r="G17" s="1" t="s">
        <v>68</v>
      </c>
      <c r="H17" s="1" t="s">
        <v>39</v>
      </c>
      <c r="I17" s="1" t="s">
        <v>40</v>
      </c>
      <c r="J17" s="1" t="s">
        <v>40</v>
      </c>
      <c r="K17" s="1" t="s">
        <v>69</v>
      </c>
      <c r="L17" s="4">
        <v>16500</v>
      </c>
      <c r="M17" s="6">
        <v>-29.5</v>
      </c>
      <c r="N17" s="7">
        <f>IF(AND(L17 &lt;&gt; "-", M17 &lt;&gt; "-"),L17*( 1 + M17%),0)</f>
      </c>
      <c r="O17" s="7">
        <f>( N17 * E17 )</f>
      </c>
      <c r="P17" s="1" t="s">
        <v>87</v>
      </c>
      <c r="Q17" s="6">
        <v>1.49</v>
      </c>
      <c r="R17" s="6">
        <v>68.6</v>
      </c>
      <c r="S17" s="4">
        <v>65</v>
      </c>
      <c r="T17" s="1" t="s">
        <v>43</v>
      </c>
      <c r="U17" s="5">
        <f>HYPERLINK("https://www.gia.edu/report-check?reportno=6462570993","6462570993")</f>
      </c>
      <c r="V17" s="1" t="s">
        <v>39</v>
      </c>
      <c r="W17" s="1" t="s">
        <v>88</v>
      </c>
      <c r="X17" s="1" t="s">
        <v>80</v>
      </c>
      <c r="Y17" s="1" t="s">
        <v>41</v>
      </c>
      <c r="Z17" s="1" t="s">
        <v>51</v>
      </c>
      <c r="AA17" s="1" t="s">
        <v>76</v>
      </c>
      <c r="AB17" s="1" t="s">
        <v>41</v>
      </c>
      <c r="AC17" s="1" t="s">
        <v>46</v>
      </c>
      <c r="AD17" s="1" t="s">
        <v>39</v>
      </c>
      <c r="AE17" s="8">
        <f>IF(L17&lt;&gt;"",L17*E17,0)</f>
      </c>
    </row>
    <row r="18" spans="1:31" x14ac:dyDescent="0.25">
      <c r="A18" s="4">
        <v>13</v>
      </c>
      <c r="B18" s="1" t="s">
        <v>89</v>
      </c>
      <c r="C18" s="5">
        <f>HYPERLINK("https://client.unique.diamonds/dna/21102-34","DNA")</f>
      </c>
      <c r="D18" s="1" t="s">
        <v>36</v>
      </c>
      <c r="E18" s="6">
        <v>2.01</v>
      </c>
      <c r="F18" s="1" t="s">
        <v>62</v>
      </c>
      <c r="G18" s="1" t="s">
        <v>68</v>
      </c>
      <c r="H18" s="1" t="s">
        <v>39</v>
      </c>
      <c r="I18" s="1" t="s">
        <v>40</v>
      </c>
      <c r="J18" s="1" t="s">
        <v>40</v>
      </c>
      <c r="K18" s="1" t="s">
        <v>41</v>
      </c>
      <c r="L18" s="4">
        <v>10700</v>
      </c>
      <c r="M18" s="6">
        <v>-33.5</v>
      </c>
      <c r="N18" s="7">
        <f>IF(AND(L18 &lt;&gt; "-", M18 &lt;&gt; "-"),L18*( 1 + M18%),0)</f>
      </c>
      <c r="O18" s="7">
        <f>( N18 * E18 )</f>
      </c>
      <c r="P18" s="1" t="s">
        <v>90</v>
      </c>
      <c r="Q18" s="6">
        <v>1.38</v>
      </c>
      <c r="R18" s="6">
        <v>68.5</v>
      </c>
      <c r="S18" s="4">
        <v>65</v>
      </c>
      <c r="T18" s="1" t="s">
        <v>43</v>
      </c>
      <c r="U18" s="5">
        <f>HYPERLINK("https://www.gia.edu/report-check?reportno=2467571072","2467571072")</f>
      </c>
      <c r="V18" s="1" t="s">
        <v>39</v>
      </c>
      <c r="W18" s="1" t="s">
        <v>91</v>
      </c>
      <c r="X18" s="1" t="s">
        <v>45</v>
      </c>
      <c r="Y18" s="1" t="s">
        <v>41</v>
      </c>
      <c r="Z18" s="1" t="s">
        <v>92</v>
      </c>
      <c r="AA18" s="1" t="s">
        <v>41</v>
      </c>
      <c r="AB18" s="1" t="s">
        <v>41</v>
      </c>
      <c r="AC18" s="1" t="s">
        <v>46</v>
      </c>
      <c r="AD18" s="1" t="s">
        <v>39</v>
      </c>
      <c r="AE18" s="8">
        <f>IF(L18&lt;&gt;"",L18*E18,0)</f>
      </c>
    </row>
    <row r="19" spans="1:31" x14ac:dyDescent="0.25">
      <c r="A19" s="4">
        <v>14</v>
      </c>
      <c r="B19" s="1" t="s">
        <v>93</v>
      </c>
      <c r="C19" s="5">
        <f>HYPERLINK("https://client.unique.diamonds/dna/21056-8","DNA")</f>
      </c>
      <c r="D19" s="1" t="s">
        <v>36</v>
      </c>
      <c r="E19" s="6">
        <v>1.5</v>
      </c>
      <c r="F19" s="1" t="s">
        <v>94</v>
      </c>
      <c r="G19" s="1" t="s">
        <v>95</v>
      </c>
      <c r="H19" s="1" t="s">
        <v>39</v>
      </c>
      <c r="I19" s="1" t="s">
        <v>40</v>
      </c>
      <c r="J19" s="1" t="s">
        <v>40</v>
      </c>
      <c r="K19" s="1" t="s">
        <v>41</v>
      </c>
      <c r="L19" s="4">
        <v>12800</v>
      </c>
      <c r="M19" s="6">
        <v>-42</v>
      </c>
      <c r="N19" s="7">
        <f>IF(AND(L19 &lt;&gt; "-", M19 &lt;&gt; "-"),L19*( 1 + M19%),0)</f>
      </c>
      <c r="O19" s="7">
        <f>( N19 * E19 )</f>
      </c>
      <c r="P19" s="1" t="s">
        <v>96</v>
      </c>
      <c r="Q19" s="6">
        <v>1.54</v>
      </c>
      <c r="R19" s="6">
        <v>66.1</v>
      </c>
      <c r="S19" s="4">
        <v>65</v>
      </c>
      <c r="T19" s="1" t="s">
        <v>43</v>
      </c>
      <c r="U19" s="5">
        <f>HYPERLINK("https://www.gia.edu/report-check?reportno=1469040510","1469040510")</f>
      </c>
      <c r="V19" s="1" t="s">
        <v>39</v>
      </c>
      <c r="W19" s="1" t="s">
        <v>91</v>
      </c>
      <c r="X19" s="1" t="s">
        <v>92</v>
      </c>
      <c r="Y19" s="1" t="s">
        <v>41</v>
      </c>
      <c r="Z19" s="1" t="s">
        <v>51</v>
      </c>
      <c r="AA19" s="1" t="s">
        <v>76</v>
      </c>
      <c r="AB19" s="1" t="s">
        <v>41</v>
      </c>
      <c r="AC19" s="1" t="s">
        <v>46</v>
      </c>
      <c r="AD19" s="1" t="s">
        <v>39</v>
      </c>
      <c r="AE19" s="8">
        <f>IF(L19&lt;&gt;"",L19*E19,0)</f>
      </c>
    </row>
    <row r="20" spans="1:31" x14ac:dyDescent="0.25">
      <c r="A20" s="4">
        <v>15</v>
      </c>
      <c r="B20" s="1" t="s">
        <v>97</v>
      </c>
      <c r="C20" s="5">
        <f>HYPERLINK("https://client.unique.diamonds/dna/21118-62","DNA")</f>
      </c>
      <c r="D20" s="1" t="s">
        <v>36</v>
      </c>
      <c r="E20" s="6">
        <v>1.8</v>
      </c>
      <c r="F20" s="1" t="s">
        <v>94</v>
      </c>
      <c r="G20" s="1" t="s">
        <v>95</v>
      </c>
      <c r="H20" s="1" t="s">
        <v>39</v>
      </c>
      <c r="I20" s="1" t="s">
        <v>82</v>
      </c>
      <c r="J20" s="1" t="s">
        <v>40</v>
      </c>
      <c r="K20" s="1" t="s">
        <v>69</v>
      </c>
      <c r="L20" s="4">
        <v>12800</v>
      </c>
      <c r="M20" s="6">
        <v>-39.5</v>
      </c>
      <c r="N20" s="7">
        <f>IF(AND(L20 &lt;&gt; "-", M20 &lt;&gt; "-"),L20*( 1 + M20%),0)</f>
      </c>
      <c r="O20" s="7">
        <f>( N20 * E20 )</f>
      </c>
      <c r="P20" s="1" t="s">
        <v>98</v>
      </c>
      <c r="Q20" s="6">
        <v>1.44</v>
      </c>
      <c r="R20" s="6">
        <v>67.8</v>
      </c>
      <c r="S20" s="4">
        <v>66</v>
      </c>
      <c r="T20" s="1" t="s">
        <v>43</v>
      </c>
      <c r="U20" s="5">
        <f>HYPERLINK("https://www.gia.edu/report-check?reportno=1465715856","1465715856")</f>
      </c>
      <c r="V20" s="1" t="s">
        <v>39</v>
      </c>
      <c r="W20" s="1" t="s">
        <v>99</v>
      </c>
      <c r="X20" s="1" t="s">
        <v>92</v>
      </c>
      <c r="Y20" s="1" t="s">
        <v>41</v>
      </c>
      <c r="Z20" s="1" t="s">
        <v>45</v>
      </c>
      <c r="AA20" s="1" t="s">
        <v>76</v>
      </c>
      <c r="AB20" s="1" t="s">
        <v>41</v>
      </c>
      <c r="AC20" s="1" t="s">
        <v>46</v>
      </c>
      <c r="AD20" s="1" t="s">
        <v>39</v>
      </c>
      <c r="AE20" s="8">
        <f>IF(L20&lt;&gt;"",L20*E20,0)</f>
      </c>
    </row>
    <row r="21" spans="1:31" x14ac:dyDescent="0.25">
      <c r="A21" s="4">
        <v>16</v>
      </c>
      <c r="B21" s="1" t="s">
        <v>100</v>
      </c>
      <c r="C21" s="5">
        <f>HYPERLINK("https://client.unique.diamonds/dna/21109-48","DNA")</f>
      </c>
      <c r="D21" s="1" t="s">
        <v>36</v>
      </c>
      <c r="E21" s="6">
        <v>2.01</v>
      </c>
      <c r="F21" s="1" t="s">
        <v>53</v>
      </c>
      <c r="G21" s="1" t="s">
        <v>95</v>
      </c>
      <c r="H21" s="1" t="s">
        <v>39</v>
      </c>
      <c r="I21" s="1" t="s">
        <v>40</v>
      </c>
      <c r="J21" s="1" t="s">
        <v>40</v>
      </c>
      <c r="K21" s="1" t="s">
        <v>69</v>
      </c>
      <c r="L21" s="4">
        <v>15500</v>
      </c>
      <c r="M21" s="6">
        <v>-42.5</v>
      </c>
      <c r="N21" s="7">
        <f>IF(AND(L21 &lt;&gt; "-", M21 &lt;&gt; "-"),L21*( 1 + M21%),0)</f>
      </c>
      <c r="O21" s="7">
        <f>( N21 * E21 )</f>
      </c>
      <c r="P21" s="1" t="s">
        <v>101</v>
      </c>
      <c r="Q21" s="6">
        <v>1.39</v>
      </c>
      <c r="R21" s="6">
        <v>65.1</v>
      </c>
      <c r="S21" s="4">
        <v>66</v>
      </c>
      <c r="T21" s="1" t="s">
        <v>43</v>
      </c>
      <c r="U21" s="5">
        <f>HYPERLINK("https://www.gia.edu/report-check?reportno=7466683536","7466683536")</f>
      </c>
      <c r="V21" s="1" t="s">
        <v>39</v>
      </c>
      <c r="W21" s="1" t="s">
        <v>102</v>
      </c>
      <c r="X21" s="1" t="s">
        <v>92</v>
      </c>
      <c r="Y21" s="1" t="s">
        <v>41</v>
      </c>
      <c r="Z21" s="1" t="s">
        <v>41</v>
      </c>
      <c r="AA21" s="1" t="s">
        <v>76</v>
      </c>
      <c r="AB21" s="1" t="s">
        <v>41</v>
      </c>
      <c r="AC21" s="1" t="s">
        <v>46</v>
      </c>
      <c r="AD21" s="1" t="s">
        <v>39</v>
      </c>
      <c r="AE21" s="8">
        <f>IF(L21&lt;&gt;"",L21*E21,0)</f>
      </c>
    </row>
    <row r="22" spans="1:31" x14ac:dyDescent="0.25">
      <c r="A22" s="4">
        <v>17</v>
      </c>
      <c r="B22" s="1" t="s">
        <v>103</v>
      </c>
      <c r="C22" s="5">
        <f>HYPERLINK("https://client.unique.diamonds/dna/21108-118","DNA")</f>
      </c>
      <c r="D22" s="1" t="s">
        <v>36</v>
      </c>
      <c r="E22" s="6">
        <v>1.5</v>
      </c>
      <c r="F22" s="1" t="s">
        <v>59</v>
      </c>
      <c r="G22" s="1" t="s">
        <v>95</v>
      </c>
      <c r="H22" s="1" t="s">
        <v>39</v>
      </c>
      <c r="I22" s="1" t="s">
        <v>40</v>
      </c>
      <c r="J22" s="1" t="s">
        <v>82</v>
      </c>
      <c r="K22" s="1" t="s">
        <v>41</v>
      </c>
      <c r="L22" s="4">
        <v>9500</v>
      </c>
      <c r="M22" s="6">
        <v>-41.5</v>
      </c>
      <c r="N22" s="7">
        <f>IF(AND(L22 &lt;&gt; "-", M22 &lt;&gt; "-"),L22*( 1 + M22%),0)</f>
      </c>
      <c r="O22" s="7">
        <f>( N22 * E22 )</f>
      </c>
      <c r="P22" s="1" t="s">
        <v>104</v>
      </c>
      <c r="Q22" s="6">
        <v>1.41</v>
      </c>
      <c r="R22" s="6">
        <v>67</v>
      </c>
      <c r="S22" s="4">
        <v>66</v>
      </c>
      <c r="T22" s="1" t="s">
        <v>43</v>
      </c>
      <c r="U22" s="5">
        <f>HYPERLINK("https://www.gia.edu/report-check?reportno=7461655999","7461655999")</f>
      </c>
      <c r="V22" s="1" t="s">
        <v>39</v>
      </c>
      <c r="W22" s="1" t="s">
        <v>105</v>
      </c>
      <c r="X22" s="1" t="s">
        <v>51</v>
      </c>
      <c r="Y22" s="1" t="s">
        <v>41</v>
      </c>
      <c r="Z22" s="1" t="s">
        <v>80</v>
      </c>
      <c r="AA22" s="1" t="s">
        <v>106</v>
      </c>
      <c r="AB22" s="1" t="s">
        <v>41</v>
      </c>
      <c r="AC22" s="1" t="s">
        <v>107</v>
      </c>
      <c r="AD22" s="1" t="s">
        <v>39</v>
      </c>
      <c r="AE22" s="8">
        <f>IF(L22&lt;&gt;"",L22*E22,0)</f>
      </c>
    </row>
    <row r="23" spans="1:31" x14ac:dyDescent="0.25">
      <c r="A23" s="4">
        <v>18</v>
      </c>
      <c r="B23" s="1" t="s">
        <v>108</v>
      </c>
      <c r="C23" s="5">
        <f>HYPERLINK("https://client.unique.diamonds/dna/21102-41","DNA")</f>
      </c>
      <c r="D23" s="1" t="s">
        <v>36</v>
      </c>
      <c r="E23" s="6">
        <v>1.7</v>
      </c>
      <c r="F23" s="1" t="s">
        <v>59</v>
      </c>
      <c r="G23" s="1" t="s">
        <v>95</v>
      </c>
      <c r="H23" s="1" t="s">
        <v>39</v>
      </c>
      <c r="I23" s="1" t="s">
        <v>82</v>
      </c>
      <c r="J23" s="1" t="s">
        <v>82</v>
      </c>
      <c r="K23" s="1" t="s">
        <v>69</v>
      </c>
      <c r="L23" s="4">
        <v>9500</v>
      </c>
      <c r="M23" s="6">
        <v>-39.5</v>
      </c>
      <c r="N23" s="7">
        <f>IF(AND(L23 &lt;&gt; "-", M23 &lt;&gt; "-"),L23*( 1 + M23%),0)</f>
      </c>
      <c r="O23" s="7">
        <f>( N23 * E23 )</f>
      </c>
      <c r="P23" s="1" t="s">
        <v>109</v>
      </c>
      <c r="Q23" s="6">
        <v>1.38</v>
      </c>
      <c r="R23" s="6">
        <v>68.8</v>
      </c>
      <c r="S23" s="4">
        <v>65</v>
      </c>
      <c r="T23" s="1" t="s">
        <v>43</v>
      </c>
      <c r="U23" s="5">
        <f>HYPERLINK("https://www.gia.edu/report-check?reportno=6462633139","6462633139")</f>
      </c>
      <c r="V23" s="1" t="s">
        <v>39</v>
      </c>
      <c r="W23" s="1" t="s">
        <v>110</v>
      </c>
      <c r="X23" s="1" t="s">
        <v>41</v>
      </c>
      <c r="Y23" s="1" t="s">
        <v>41</v>
      </c>
      <c r="Z23" s="1" t="s">
        <v>51</v>
      </c>
      <c r="AA23" s="1" t="s">
        <v>41</v>
      </c>
      <c r="AB23" s="1" t="s">
        <v>41</v>
      </c>
      <c r="AC23" s="1" t="s">
        <v>46</v>
      </c>
      <c r="AD23" s="1" t="s">
        <v>39</v>
      </c>
      <c r="AE23" s="8">
        <f>IF(L23&lt;&gt;"",L23*E23,0)</f>
      </c>
    </row>
    <row r="24" spans="1:31" x14ac:dyDescent="0.25">
      <c r="A24" s="4">
        <v>19</v>
      </c>
      <c r="B24" s="1" t="s">
        <v>111</v>
      </c>
      <c r="C24" s="5">
        <f>HYPERLINK("https://client.unique.diamonds/dna/21112-39","DNA")</f>
      </c>
      <c r="D24" s="1" t="s">
        <v>36</v>
      </c>
      <c r="E24" s="6">
        <v>2</v>
      </c>
      <c r="F24" s="1" t="s">
        <v>59</v>
      </c>
      <c r="G24" s="1" t="s">
        <v>95</v>
      </c>
      <c r="H24" s="1" t="s">
        <v>39</v>
      </c>
      <c r="I24" s="1" t="s">
        <v>40</v>
      </c>
      <c r="J24" s="1" t="s">
        <v>40</v>
      </c>
      <c r="K24" s="1" t="s">
        <v>41</v>
      </c>
      <c r="L24" s="4">
        <v>13000</v>
      </c>
      <c r="M24" s="6">
        <v>-36.5</v>
      </c>
      <c r="N24" s="7">
        <f>IF(AND(L24 &lt;&gt; "-", M24 &lt;&gt; "-"),L24*( 1 + M24%),0)</f>
      </c>
      <c r="O24" s="7">
        <f>( N24 * E24 )</f>
      </c>
      <c r="P24" s="1" t="s">
        <v>112</v>
      </c>
      <c r="Q24" s="6">
        <v>1.45</v>
      </c>
      <c r="R24" s="6">
        <v>67.9</v>
      </c>
      <c r="S24" s="4">
        <v>65</v>
      </c>
      <c r="T24" s="1" t="s">
        <v>43</v>
      </c>
      <c r="U24" s="5">
        <f>HYPERLINK("https://www.gia.edu/report-check?reportno=2467610057","2467610057")</f>
      </c>
      <c r="V24" s="1" t="s">
        <v>39</v>
      </c>
      <c r="W24" s="1" t="s">
        <v>113</v>
      </c>
      <c r="X24" s="1" t="s">
        <v>41</v>
      </c>
      <c r="Y24" s="1" t="s">
        <v>41</v>
      </c>
      <c r="Z24" s="1" t="s">
        <v>51</v>
      </c>
      <c r="AA24" s="1" t="s">
        <v>41</v>
      </c>
      <c r="AB24" s="1" t="s">
        <v>41</v>
      </c>
      <c r="AC24" s="1" t="s">
        <v>46</v>
      </c>
      <c r="AD24" s="1" t="s">
        <v>39</v>
      </c>
      <c r="AE24" s="8">
        <f>IF(L24&lt;&gt;"",L24*E24,0)</f>
      </c>
    </row>
    <row r="25" spans="1:31" x14ac:dyDescent="0.25">
      <c r="A25" s="4">
        <v>20</v>
      </c>
      <c r="B25" s="1" t="s">
        <v>114</v>
      </c>
      <c r="C25" s="5">
        <f>HYPERLINK("https://client.unique.diamonds/dna/21113-38","DNA")</f>
      </c>
      <c r="D25" s="1" t="s">
        <v>36</v>
      </c>
      <c r="E25" s="6">
        <v>2.01</v>
      </c>
      <c r="F25" s="1" t="s">
        <v>62</v>
      </c>
      <c r="G25" s="1" t="s">
        <v>95</v>
      </c>
      <c r="H25" s="1" t="s">
        <v>39</v>
      </c>
      <c r="I25" s="1" t="s">
        <v>40</v>
      </c>
      <c r="J25" s="1" t="s">
        <v>40</v>
      </c>
      <c r="K25" s="1" t="s">
        <v>69</v>
      </c>
      <c r="L25" s="4">
        <v>10300</v>
      </c>
      <c r="M25" s="6">
        <v>-40.5</v>
      </c>
      <c r="N25" s="7">
        <f>IF(AND(L25 &lt;&gt; "-", M25 &lt;&gt; "-"),L25*( 1 + M25%),0)</f>
      </c>
      <c r="O25" s="7">
        <f>( N25 * E25 )</f>
      </c>
      <c r="P25" s="1" t="s">
        <v>115</v>
      </c>
      <c r="Q25" s="6">
        <v>1.38</v>
      </c>
      <c r="R25" s="6">
        <v>68.5</v>
      </c>
      <c r="S25" s="4">
        <v>65</v>
      </c>
      <c r="T25" s="1" t="s">
        <v>43</v>
      </c>
      <c r="U25" s="5">
        <f>HYPERLINK("https://www.gia.edu/report-check?reportno=6462583112","6462583112")</f>
      </c>
      <c r="V25" s="1" t="s">
        <v>39</v>
      </c>
      <c r="W25" s="1" t="s">
        <v>116</v>
      </c>
      <c r="X25" s="1" t="s">
        <v>92</v>
      </c>
      <c r="Y25" s="1" t="s">
        <v>41</v>
      </c>
      <c r="Z25" s="1" t="s">
        <v>80</v>
      </c>
      <c r="AA25" s="1" t="s">
        <v>76</v>
      </c>
      <c r="AB25" s="1" t="s">
        <v>106</v>
      </c>
      <c r="AC25" s="1" t="s">
        <v>46</v>
      </c>
      <c r="AD25" s="1" t="s">
        <v>39</v>
      </c>
      <c r="AE25" s="8">
        <f>IF(L25&lt;&gt;"",L25*E25,0)</f>
      </c>
    </row>
    <row r="26" spans="1:31" x14ac:dyDescent="0.25">
      <c r="A26" s="4">
        <v>21</v>
      </c>
      <c r="B26" s="1" t="s">
        <v>117</v>
      </c>
      <c r="C26" s="5">
        <f>HYPERLINK("https://client.unique.diamonds/dna/21108-121","DNA")</f>
      </c>
      <c r="D26" s="1" t="s">
        <v>36</v>
      </c>
      <c r="E26" s="6">
        <v>1.5</v>
      </c>
      <c r="F26" s="1" t="s">
        <v>53</v>
      </c>
      <c r="G26" s="1" t="s">
        <v>118</v>
      </c>
      <c r="H26" s="1" t="s">
        <v>39</v>
      </c>
      <c r="I26" s="1" t="s">
        <v>40</v>
      </c>
      <c r="J26" s="1" t="s">
        <v>40</v>
      </c>
      <c r="K26" s="1" t="s">
        <v>41</v>
      </c>
      <c r="L26" s="4">
        <v>10100</v>
      </c>
      <c r="M26" s="6">
        <v>-42.5</v>
      </c>
      <c r="N26" s="7">
        <f>IF(AND(L26 &lt;&gt; "-", M26 &lt;&gt; "-"),L26*( 1 + M26%),0)</f>
      </c>
      <c r="O26" s="7">
        <f>( N26 * E26 )</f>
      </c>
      <c r="P26" s="1" t="s">
        <v>119</v>
      </c>
      <c r="Q26" s="6">
        <v>1.38</v>
      </c>
      <c r="R26" s="6">
        <v>68.8</v>
      </c>
      <c r="S26" s="4">
        <v>64</v>
      </c>
      <c r="T26" s="1" t="s">
        <v>43</v>
      </c>
      <c r="U26" s="5">
        <f>HYPERLINK("https://www.gia.edu/report-check?reportno=6462733536","6462733536")</f>
      </c>
      <c r="V26" s="1" t="s">
        <v>39</v>
      </c>
      <c r="W26" s="1" t="s">
        <v>120</v>
      </c>
      <c r="X26" s="1" t="s">
        <v>51</v>
      </c>
      <c r="Y26" s="1" t="s">
        <v>41</v>
      </c>
      <c r="Z26" s="1" t="s">
        <v>51</v>
      </c>
      <c r="AA26" s="1" t="s">
        <v>76</v>
      </c>
      <c r="AB26" s="1" t="s">
        <v>41</v>
      </c>
      <c r="AC26" s="1" t="s">
        <v>85</v>
      </c>
      <c r="AD26" s="1" t="s">
        <v>39</v>
      </c>
      <c r="AE26" s="8">
        <f>IF(L26&lt;&gt;"",L26*E26,0)</f>
      </c>
    </row>
    <row r="27" spans="1:31" x14ac:dyDescent="0.25">
      <c r="A27" s="4">
        <v>22</v>
      </c>
      <c r="B27" s="1" t="s">
        <v>121</v>
      </c>
      <c r="C27" s="5">
        <f>HYPERLINK("https://client.unique.diamonds/dna/21118-49","DNA")</f>
      </c>
      <c r="D27" s="1" t="s">
        <v>36</v>
      </c>
      <c r="E27" s="6">
        <v>2.01</v>
      </c>
      <c r="F27" s="1" t="s">
        <v>53</v>
      </c>
      <c r="G27" s="1" t="s">
        <v>118</v>
      </c>
      <c r="H27" s="1" t="s">
        <v>39</v>
      </c>
      <c r="I27" s="1" t="s">
        <v>40</v>
      </c>
      <c r="J27" s="1" t="s">
        <v>40</v>
      </c>
      <c r="K27" s="1" t="s">
        <v>41</v>
      </c>
      <c r="L27" s="4">
        <v>14500</v>
      </c>
      <c r="M27" s="6">
        <v>-43.5</v>
      </c>
      <c r="N27" s="7">
        <f>IF(AND(L27 &lt;&gt; "-", M27 &lt;&gt; "-"),L27*( 1 + M27%),0)</f>
      </c>
      <c r="O27" s="7">
        <f>( N27 * E27 )</f>
      </c>
      <c r="P27" s="1" t="s">
        <v>122</v>
      </c>
      <c r="Q27" s="6">
        <v>1.4</v>
      </c>
      <c r="R27" s="6">
        <v>68.6</v>
      </c>
      <c r="S27" s="4">
        <v>64</v>
      </c>
      <c r="T27" s="1" t="s">
        <v>43</v>
      </c>
      <c r="U27" s="5">
        <f>HYPERLINK("https://www.gia.edu/report-check?reportno=2466683711","2466683711")</f>
      </c>
      <c r="V27" s="1" t="s">
        <v>39</v>
      </c>
      <c r="W27" s="1" t="s">
        <v>123</v>
      </c>
      <c r="X27" s="1" t="s">
        <v>41</v>
      </c>
      <c r="Y27" s="1" t="s">
        <v>41</v>
      </c>
      <c r="Z27" s="1" t="s">
        <v>41</v>
      </c>
      <c r="AA27" s="1" t="s">
        <v>106</v>
      </c>
      <c r="AB27" s="1" t="s">
        <v>41</v>
      </c>
      <c r="AC27" s="1" t="s">
        <v>46</v>
      </c>
      <c r="AD27" s="1" t="s">
        <v>39</v>
      </c>
      <c r="AE27" s="8">
        <f>IF(L27&lt;&gt;"",L27*E27,0)</f>
      </c>
    </row>
    <row r="28" spans="1:31" x14ac:dyDescent="0.25">
      <c r="A28" s="4">
        <v>23</v>
      </c>
      <c r="B28" s="1" t="s">
        <v>124</v>
      </c>
      <c r="C28" s="5">
        <f>HYPERLINK("https://client.unique.diamonds/dna/21121-26","DNA")</f>
      </c>
      <c r="D28" s="1" t="s">
        <v>36</v>
      </c>
      <c r="E28" s="6">
        <v>2.02</v>
      </c>
      <c r="F28" s="1" t="s">
        <v>62</v>
      </c>
      <c r="G28" s="1" t="s">
        <v>118</v>
      </c>
      <c r="H28" s="1" t="s">
        <v>39</v>
      </c>
      <c r="I28" s="1" t="s">
        <v>40</v>
      </c>
      <c r="J28" s="1" t="s">
        <v>40</v>
      </c>
      <c r="K28" s="1" t="s">
        <v>41</v>
      </c>
      <c r="L28" s="4">
        <v>9700</v>
      </c>
      <c r="M28" s="6">
        <v>-35.5</v>
      </c>
      <c r="N28" s="7">
        <f>IF(AND(L28 &lt;&gt; "-", M28 &lt;&gt; "-"),L28*( 1 + M28%),0)</f>
      </c>
      <c r="O28" s="7">
        <f>( N28 * E28 )</f>
      </c>
      <c r="P28" s="1" t="s">
        <v>125</v>
      </c>
      <c r="Q28" s="6">
        <v>1.38</v>
      </c>
      <c r="R28" s="6">
        <v>67.5</v>
      </c>
      <c r="S28" s="4">
        <v>66</v>
      </c>
      <c r="T28" s="1" t="s">
        <v>43</v>
      </c>
      <c r="U28" s="5">
        <f>HYPERLINK("https://www.gia.edu/report-check?reportno=2467716784","2467716784")</f>
      </c>
      <c r="V28" s="1" t="s">
        <v>39</v>
      </c>
      <c r="W28" s="1" t="s">
        <v>126</v>
      </c>
      <c r="X28" s="1" t="s">
        <v>41</v>
      </c>
      <c r="Y28" s="1" t="s">
        <v>41</v>
      </c>
      <c r="Z28" s="1" t="s">
        <v>51</v>
      </c>
      <c r="AA28" s="1" t="s">
        <v>106</v>
      </c>
      <c r="AB28" s="1" t="s">
        <v>41</v>
      </c>
      <c r="AC28" s="1" t="s">
        <v>46</v>
      </c>
      <c r="AD28" s="1" t="s">
        <v>39</v>
      </c>
      <c r="AE28" s="8">
        <f>IF(L28&lt;&gt;"",L28*E28,0)</f>
      </c>
    </row>
    <row r="29" spans="1:31" x14ac:dyDescent="0.25">
      <c r="A29" s="4">
        <v>24</v>
      </c>
      <c r="B29" s="1" t="s">
        <v>127</v>
      </c>
      <c r="C29" s="5">
        <f>HYPERLINK("https://client.unique.diamonds/dna/21072-45","DNA")</f>
      </c>
      <c r="D29" s="1" t="s">
        <v>128</v>
      </c>
      <c r="E29" s="6">
        <v>2.02</v>
      </c>
      <c r="F29" s="1" t="s">
        <v>37</v>
      </c>
      <c r="G29" s="1" t="s">
        <v>129</v>
      </c>
      <c r="H29" s="1" t="s">
        <v>39</v>
      </c>
      <c r="I29" s="1" t="s">
        <v>40</v>
      </c>
      <c r="J29" s="1" t="s">
        <v>40</v>
      </c>
      <c r="K29" s="1" t="s">
        <v>41</v>
      </c>
      <c r="L29" s="4">
        <v>14500</v>
      </c>
      <c r="M29" s="6">
        <v>-34</v>
      </c>
      <c r="N29" s="7">
        <f>IF(AND(L29 &lt;&gt; "-", M29 &lt;&gt; "-"),L29*( 1 + M29%),0)</f>
      </c>
      <c r="O29" s="7">
        <f>( N29 * E29 )</f>
      </c>
      <c r="P29" s="1" t="s">
        <v>130</v>
      </c>
      <c r="Q29" s="6">
        <v>1.45</v>
      </c>
      <c r="R29" s="6">
        <v>67.8</v>
      </c>
      <c r="S29" s="4">
        <v>63</v>
      </c>
      <c r="T29" s="1" t="s">
        <v>43</v>
      </c>
      <c r="U29" s="5">
        <f>HYPERLINK("https://www.gia.edu/report-check?reportno=5466365249","5466365249")</f>
      </c>
      <c r="V29" s="1" t="s">
        <v>39</v>
      </c>
      <c r="W29" s="1" t="s">
        <v>131</v>
      </c>
      <c r="X29" s="1" t="s">
        <v>80</v>
      </c>
      <c r="Y29" s="1" t="s">
        <v>41</v>
      </c>
      <c r="Z29" s="1" t="s">
        <v>51</v>
      </c>
      <c r="AA29" s="1" t="s">
        <v>106</v>
      </c>
      <c r="AB29" s="1" t="s">
        <v>72</v>
      </c>
      <c r="AC29" s="1" t="s">
        <v>107</v>
      </c>
      <c r="AD29" s="1" t="s">
        <v>39</v>
      </c>
      <c r="AE29" s="8">
        <f>IF(L29&lt;&gt;"",L29*E29,0)</f>
      </c>
    </row>
    <row r="30" spans="1:31" x14ac:dyDescent="0.25">
      <c r="A30" s="4">
        <v>25</v>
      </c>
      <c r="B30" s="1" t="s">
        <v>132</v>
      </c>
      <c r="C30" s="5">
        <f>HYPERLINK("https://client.unique.diamonds/dna/21121-15","DNA")</f>
      </c>
      <c r="D30" s="1" t="s">
        <v>128</v>
      </c>
      <c r="E30" s="6">
        <v>1.5</v>
      </c>
      <c r="F30" s="1" t="s">
        <v>48</v>
      </c>
      <c r="G30" s="1" t="s">
        <v>129</v>
      </c>
      <c r="H30" s="1" t="s">
        <v>39</v>
      </c>
      <c r="I30" s="1" t="s">
        <v>40</v>
      </c>
      <c r="J30" s="1" t="s">
        <v>40</v>
      </c>
      <c r="K30" s="1" t="s">
        <v>41</v>
      </c>
      <c r="L30" s="4">
        <v>9600</v>
      </c>
      <c r="M30" s="6">
        <v>-42.5</v>
      </c>
      <c r="N30" s="7">
        <f>IF(AND(L30 &lt;&gt; "-", M30 &lt;&gt; "-"),L30*( 1 + M30%),0)</f>
      </c>
      <c r="O30" s="7">
        <f>( N30 * E30 )</f>
      </c>
      <c r="P30" s="1" t="s">
        <v>133</v>
      </c>
      <c r="Q30" s="6">
        <v>1.4</v>
      </c>
      <c r="R30" s="6">
        <v>71.6</v>
      </c>
      <c r="S30" s="4">
        <v>68</v>
      </c>
      <c r="T30" s="1" t="s">
        <v>43</v>
      </c>
      <c r="U30" s="5">
        <f>HYPERLINK("https://www.gia.edu/report-check?reportno=5466667679","5466667679")</f>
      </c>
      <c r="V30" s="1" t="s">
        <v>39</v>
      </c>
      <c r="W30" s="1" t="s">
        <v>134</v>
      </c>
      <c r="X30" s="1" t="s">
        <v>80</v>
      </c>
      <c r="Y30" s="1" t="s">
        <v>41</v>
      </c>
      <c r="Z30" s="1" t="s">
        <v>41</v>
      </c>
      <c r="AA30" s="1" t="s">
        <v>106</v>
      </c>
      <c r="AB30" s="1" t="s">
        <v>72</v>
      </c>
      <c r="AC30" s="1" t="s">
        <v>46</v>
      </c>
      <c r="AD30" s="1" t="s">
        <v>39</v>
      </c>
      <c r="AE30" s="8">
        <f>IF(L30&lt;&gt;"",L30*E30,0)</f>
      </c>
    </row>
    <row r="31" spans="1:31" x14ac:dyDescent="0.25">
      <c r="A31" s="4">
        <v>26</v>
      </c>
      <c r="B31" s="1" t="s">
        <v>135</v>
      </c>
      <c r="C31" s="5">
        <f>HYPERLINK("https://client.unique.diamonds/dna/21033-21","DNA")</f>
      </c>
      <c r="D31" s="1" t="s">
        <v>128</v>
      </c>
      <c r="E31" s="6">
        <v>3.02</v>
      </c>
      <c r="F31" s="1" t="s">
        <v>48</v>
      </c>
      <c r="G31" s="1" t="s">
        <v>129</v>
      </c>
      <c r="H31" s="1" t="s">
        <v>39</v>
      </c>
      <c r="I31" s="1" t="s">
        <v>40</v>
      </c>
      <c r="J31" s="1" t="s">
        <v>40</v>
      </c>
      <c r="K31" s="1" t="s">
        <v>69</v>
      </c>
      <c r="L31" s="4">
        <v>19500</v>
      </c>
      <c r="M31" s="6">
        <v>-40</v>
      </c>
      <c r="N31" s="7">
        <f>IF(AND(L31 &lt;&gt; "-", M31 &lt;&gt; "-"),L31*( 1 + M31%),0)</f>
      </c>
      <c r="O31" s="7">
        <f>( N31 * E31 )</f>
      </c>
      <c r="P31" s="1" t="s">
        <v>136</v>
      </c>
      <c r="Q31" s="6">
        <v>1.38</v>
      </c>
      <c r="R31" s="6">
        <v>68.3</v>
      </c>
      <c r="S31" s="4">
        <v>66</v>
      </c>
      <c r="T31" s="1" t="s">
        <v>43</v>
      </c>
      <c r="U31" s="5">
        <f>HYPERLINK("https://www.gia.edu/report-check?reportno=7452751261","7452751261")</f>
      </c>
      <c r="V31" s="1" t="s">
        <v>39</v>
      </c>
      <c r="W31" s="1" t="s">
        <v>137</v>
      </c>
      <c r="X31" s="1" t="s">
        <v>80</v>
      </c>
      <c r="Y31" s="1" t="s">
        <v>41</v>
      </c>
      <c r="Z31" s="1" t="s">
        <v>41</v>
      </c>
      <c r="AA31" s="1" t="s">
        <v>106</v>
      </c>
      <c r="AB31" s="1" t="s">
        <v>41</v>
      </c>
      <c r="AC31" s="1" t="s">
        <v>46</v>
      </c>
      <c r="AD31" s="1" t="s">
        <v>39</v>
      </c>
      <c r="AE31" s="8">
        <f>IF(L31&lt;&gt;"",L31*E31,0)</f>
      </c>
    </row>
    <row r="32" spans="1:31" x14ac:dyDescent="0.25">
      <c r="A32" s="4">
        <v>27</v>
      </c>
      <c r="B32" s="1" t="s">
        <v>138</v>
      </c>
      <c r="C32" s="5">
        <f>HYPERLINK("https://client.unique.diamonds/dna/HU-4","DNA")</f>
      </c>
      <c r="D32" s="1" t="s">
        <v>128</v>
      </c>
      <c r="E32" s="6">
        <v>5.01</v>
      </c>
      <c r="F32" s="1" t="s">
        <v>62</v>
      </c>
      <c r="G32" s="1" t="s">
        <v>139</v>
      </c>
      <c r="H32" s="1" t="s">
        <v>39</v>
      </c>
      <c r="I32" s="1" t="s">
        <v>82</v>
      </c>
      <c r="J32" s="1" t="s">
        <v>40</v>
      </c>
      <c r="K32" s="1" t="s">
        <v>69</v>
      </c>
      <c r="L32" s="4">
        <v>18000</v>
      </c>
      <c r="M32" s="6">
        <v>-42.5</v>
      </c>
      <c r="N32" s="7">
        <f>IF(AND(L32 &lt;&gt; "-", M32 &lt;&gt; "-"),L32*( 1 + M32%),0)</f>
      </c>
      <c r="O32" s="7">
        <f>( N32 * E32 )</f>
      </c>
      <c r="P32" s="1" t="s">
        <v>140</v>
      </c>
      <c r="Q32" s="6">
        <v>1.41</v>
      </c>
      <c r="R32" s="6">
        <v>71.9</v>
      </c>
      <c r="S32" s="4">
        <v>70</v>
      </c>
      <c r="T32" s="1" t="s">
        <v>43</v>
      </c>
      <c r="U32" s="5">
        <f>HYPERLINK("https://www.gia.edu/report-check?reportno=6435963061","6435963061")</f>
      </c>
      <c r="V32" s="1" t="s">
        <v>39</v>
      </c>
      <c r="W32" s="1" t="s">
        <v>141</v>
      </c>
      <c r="X32" s="1" t="s">
        <v>92</v>
      </c>
      <c r="Y32" s="1" t="s">
        <v>41</v>
      </c>
      <c r="Z32" s="1" t="s">
        <v>142</v>
      </c>
      <c r="AA32" s="1" t="s">
        <v>143</v>
      </c>
      <c r="AB32" s="1" t="s">
        <v>41</v>
      </c>
      <c r="AC32" s="1" t="s">
        <v>46</v>
      </c>
      <c r="AD32" s="1" t="s">
        <v>39</v>
      </c>
      <c r="AE32" s="8">
        <f>IF(L32&lt;&gt;"",L32*E32,0)</f>
      </c>
    </row>
    <row r="33" hidden="1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idden="1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1" x14ac:dyDescent="0.25">
      <c r="A35" s="1"/>
      <c r="B35" s="1"/>
      <c r="C35" s="1"/>
      <c r="D35" s="1"/>
      <c r="E35" s="9">
        <f>ROUND(SUBTOTAL(9,E6:E32),2)</f>
      </c>
      <c r="F35" s="1"/>
      <c r="G35" s="1"/>
      <c r="H35" s="1"/>
      <c r="I35" s="1"/>
      <c r="J35" s="1"/>
      <c r="K35" s="1"/>
      <c r="L35" s="9">
        <f>ROUND(AY3/E3,2)</f>
      </c>
      <c r="M35" s="9">
        <f>ROUND((I3/AY3*100)-100,2)</f>
      </c>
      <c r="N35" s="9">
        <f>ROUND(I3/E3,2)</f>
      </c>
      <c r="O35" s="9">
        <f>ROUND(SUBTOTAL(9,O6:O32),2)</f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9">
        <f>ROUND(SUBTOTAL(9,AE6:AE32),2)</f>
      </c>
    </row>
  </sheetData>
  <autoFilter ref="A5:AE32"/>
  <mergeCells count="3">
    <mergeCell ref="A1:B3"/>
    <mergeCell ref="A33:AM33"/>
    <mergeCell ref="A34:AM34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2023-06-14T21:28:56Z</dcterms:created>
  <dcterms:modified xsi:type="dcterms:W3CDTF">2023-06-14T21:28:56Z</dcterms:modified>
</cp:coreProperties>
</file>