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635"/>
  </bookViews>
  <sheets>
    <sheet name="Tiền TK" sheetId="1" r:id="rId1"/>
    <sheet name="bảng tính đóng NH" sheetId="3" r:id="rId2"/>
    <sheet name="Sheet1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96" i="1" l="1"/>
  <c r="F2093" i="1" l="1"/>
  <c r="F2089" i="1" l="1"/>
  <c r="F2084" i="1"/>
  <c r="F2078" i="1"/>
  <c r="F2073" i="1" l="1"/>
  <c r="F2065" i="1" l="1"/>
  <c r="F2054" i="1"/>
  <c r="C2038" i="1" l="1"/>
  <c r="C2021" i="1" l="1"/>
  <c r="N14" i="3" l="1"/>
  <c r="N15" i="3"/>
  <c r="N16" i="3"/>
  <c r="N17" i="3"/>
  <c r="N18" i="3"/>
  <c r="I14" i="3"/>
  <c r="I15" i="3"/>
  <c r="I16" i="3"/>
  <c r="I17" i="3"/>
  <c r="I18" i="3"/>
  <c r="C2000" i="1" l="1"/>
  <c r="C1784" i="1" l="1"/>
  <c r="B12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3" i="3"/>
  <c r="B11" i="3"/>
  <c r="E27" i="3" l="1"/>
  <c r="C1545" i="1" l="1"/>
  <c r="F25" i="4" l="1"/>
  <c r="G25" i="4"/>
  <c r="H25" i="4" s="1"/>
  <c r="H24" i="4" l="1"/>
  <c r="G24" i="4"/>
  <c r="F24" i="4"/>
  <c r="H23" i="4" l="1"/>
  <c r="B25" i="4" l="1"/>
  <c r="B26" i="4" s="1"/>
  <c r="B27" i="4" s="1"/>
  <c r="B28" i="4" s="1"/>
  <c r="B29" i="4" s="1"/>
  <c r="B30" i="4" s="1"/>
  <c r="B31" i="4" s="1"/>
  <c r="B32" i="4" s="1"/>
  <c r="B24" i="4"/>
  <c r="G22" i="3"/>
  <c r="G23" i="4"/>
  <c r="F23" i="4"/>
  <c r="B23" i="4" l="1"/>
  <c r="G25" i="3"/>
  <c r="H22" i="4"/>
  <c r="F22" i="4"/>
  <c r="G22" i="4" s="1"/>
  <c r="K11" i="4" l="1"/>
  <c r="G7" i="4"/>
  <c r="G8" i="4" s="1"/>
  <c r="H5" i="4"/>
  <c r="B11" i="4"/>
  <c r="B10" i="4"/>
  <c r="B8" i="4"/>
  <c r="B7" i="4"/>
  <c r="H12" i="4"/>
  <c r="H4" i="4"/>
  <c r="H3" i="4"/>
  <c r="H2" i="4"/>
  <c r="M13" i="3" l="1"/>
  <c r="C971" i="1" l="1"/>
  <c r="C960" i="1" l="1"/>
  <c r="C953" i="1" l="1"/>
  <c r="C907" i="1" l="1"/>
  <c r="C909" i="1"/>
  <c r="B29" i="3" l="1"/>
  <c r="C845" i="1" l="1"/>
  <c r="Q13" i="3" l="1"/>
  <c r="C760" i="1" l="1"/>
  <c r="D29" i="3" l="1"/>
  <c r="C29" i="3"/>
  <c r="M18" i="3" l="1"/>
  <c r="Q18" i="3" s="1"/>
  <c r="M17" i="3"/>
  <c r="Q17" i="3" s="1"/>
  <c r="M16" i="3"/>
  <c r="Q16" i="3" s="1"/>
  <c r="M15" i="3"/>
  <c r="Q15" i="3" s="1"/>
  <c r="M14" i="3"/>
  <c r="Q14" i="3" s="1"/>
  <c r="M12" i="3"/>
  <c r="Q12" i="3" s="1"/>
  <c r="M11" i="3"/>
  <c r="Q11" i="3" s="1"/>
  <c r="M10" i="3"/>
  <c r="Q10" i="3" s="1"/>
  <c r="M9" i="3"/>
  <c r="Q9" i="3" s="1"/>
  <c r="M8" i="3"/>
  <c r="Q8" i="3" s="1"/>
  <c r="M7" i="3"/>
  <c r="Q7" i="3" s="1"/>
  <c r="M6" i="3"/>
  <c r="Q6" i="3" s="1"/>
  <c r="M5" i="3"/>
  <c r="Q5" i="3" s="1"/>
  <c r="M4" i="3"/>
  <c r="Q4" i="3" s="1"/>
  <c r="F4" i="3"/>
  <c r="F5" i="3" s="1"/>
  <c r="F6" i="3" s="1"/>
  <c r="N3" i="3"/>
  <c r="M3" i="3"/>
  <c r="Q3" i="3" s="1"/>
  <c r="I3" i="3"/>
  <c r="J3" i="3" s="1"/>
  <c r="G3" i="3"/>
  <c r="I4" i="3" l="1"/>
  <c r="J4" i="3" s="1"/>
  <c r="G4" i="3"/>
  <c r="L3" i="3"/>
  <c r="L4" i="3" s="1"/>
  <c r="O3" i="3"/>
  <c r="P3" i="3" s="1"/>
  <c r="R3" i="3" s="1"/>
  <c r="F7" i="3"/>
  <c r="F8" i="3" s="1"/>
  <c r="I6" i="3"/>
  <c r="J6" i="3" s="1"/>
  <c r="K4" i="3"/>
  <c r="I5" i="3"/>
  <c r="J5" i="3" s="1"/>
  <c r="S3" i="3" l="1"/>
  <c r="G5" i="3"/>
  <c r="S4" i="3"/>
  <c r="I7" i="3"/>
  <c r="J7" i="3" s="1"/>
  <c r="N4" i="3"/>
  <c r="O4" i="3" s="1"/>
  <c r="P4" i="3" s="1"/>
  <c r="R4" i="3" s="1"/>
  <c r="K5" i="3"/>
  <c r="G6" i="3" l="1"/>
  <c r="S5" i="3"/>
  <c r="N5" i="3"/>
  <c r="O5" i="3" s="1"/>
  <c r="P5" i="3" s="1"/>
  <c r="R5" i="3" s="1"/>
  <c r="K6" i="3"/>
  <c r="L5" i="3"/>
  <c r="L6" i="3" s="1"/>
  <c r="F9" i="3"/>
  <c r="F10" i="3" s="1"/>
  <c r="I8" i="3"/>
  <c r="J8" i="3" s="1"/>
  <c r="G7" i="3" l="1"/>
  <c r="S6" i="3"/>
  <c r="N6" i="3"/>
  <c r="O6" i="3" s="1"/>
  <c r="P6" i="3" s="1"/>
  <c r="R6" i="3" s="1"/>
  <c r="K7" i="3"/>
  <c r="I9" i="3"/>
  <c r="J9" i="3" s="1"/>
  <c r="G8" i="3" l="1"/>
  <c r="F11" i="3"/>
  <c r="I10" i="3"/>
  <c r="J10" i="3" s="1"/>
  <c r="N7" i="3"/>
  <c r="O7" i="3" s="1"/>
  <c r="P7" i="3" s="1"/>
  <c r="R7" i="3" s="1"/>
  <c r="K8" i="3"/>
  <c r="L7" i="3"/>
  <c r="L8" i="3" s="1"/>
  <c r="S7" i="3" l="1"/>
  <c r="G9" i="3"/>
  <c r="S8" i="3"/>
  <c r="N8" i="3"/>
  <c r="O8" i="3" s="1"/>
  <c r="P8" i="3" s="1"/>
  <c r="R8" i="3" s="1"/>
  <c r="K9" i="3"/>
  <c r="F12" i="3"/>
  <c r="I11" i="3"/>
  <c r="J11" i="3" s="1"/>
  <c r="G10" i="3" l="1"/>
  <c r="F13" i="3"/>
  <c r="I13" i="3" s="1"/>
  <c r="I12" i="3"/>
  <c r="J12" i="3" s="1"/>
  <c r="N9" i="3"/>
  <c r="O9" i="3" s="1"/>
  <c r="P9" i="3" s="1"/>
  <c r="R9" i="3" s="1"/>
  <c r="K10" i="3"/>
  <c r="L9" i="3"/>
  <c r="L10" i="3" s="1"/>
  <c r="S9" i="3" l="1"/>
  <c r="G11" i="3"/>
  <c r="S10" i="3"/>
  <c r="F14" i="3"/>
  <c r="J13" i="3"/>
  <c r="N10" i="3"/>
  <c r="O10" i="3" s="1"/>
  <c r="P10" i="3" s="1"/>
  <c r="R10" i="3" s="1"/>
  <c r="K11" i="3"/>
  <c r="G12" i="3" l="1"/>
  <c r="S11" i="3"/>
  <c r="N11" i="3"/>
  <c r="O11" i="3" s="1"/>
  <c r="P11" i="3" s="1"/>
  <c r="R11" i="3" s="1"/>
  <c r="K12" i="3"/>
  <c r="L11" i="3"/>
  <c r="L12" i="3" s="1"/>
  <c r="F15" i="3"/>
  <c r="F16" i="3" s="1"/>
  <c r="F17" i="3" s="1"/>
  <c r="F18" i="3" s="1"/>
  <c r="J14" i="3"/>
  <c r="G13" i="3" l="1"/>
  <c r="S12" i="3"/>
  <c r="N12" i="3"/>
  <c r="O12" i="3" s="1"/>
  <c r="P12" i="3" s="1"/>
  <c r="R12" i="3" s="1"/>
  <c r="K13" i="3"/>
  <c r="G14" i="3" l="1"/>
  <c r="N13" i="3"/>
  <c r="O13" i="3" s="1"/>
  <c r="P13" i="3" s="1"/>
  <c r="R13" i="3" s="1"/>
  <c r="K14" i="3"/>
  <c r="L13" i="3"/>
  <c r="L14" i="3" s="1"/>
  <c r="S13" i="3" l="1"/>
  <c r="S14" i="3"/>
  <c r="J15" i="3"/>
  <c r="G15" i="3"/>
  <c r="O14" i="3"/>
  <c r="K15" i="3"/>
  <c r="G16" i="3" l="1"/>
  <c r="J16" i="3"/>
  <c r="P14" i="3"/>
  <c r="R14" i="3" s="1"/>
  <c r="O15" i="3"/>
  <c r="P15" i="3" s="1"/>
  <c r="R15" i="3" s="1"/>
  <c r="K16" i="3"/>
  <c r="L15" i="3"/>
  <c r="L16" i="3" s="1"/>
  <c r="J17" i="3" l="1"/>
  <c r="S16" i="3"/>
  <c r="G17" i="3"/>
  <c r="S15" i="3"/>
  <c r="O16" i="3"/>
  <c r="P16" i="3" s="1"/>
  <c r="R16" i="3" s="1"/>
  <c r="K17" i="3"/>
  <c r="J18" i="3" l="1"/>
  <c r="G18" i="3"/>
  <c r="S18" i="3" s="1"/>
  <c r="O17" i="3"/>
  <c r="P17" i="3" s="1"/>
  <c r="R17" i="3" s="1"/>
  <c r="K18" i="3"/>
  <c r="L17" i="3"/>
  <c r="L18" i="3" s="1"/>
  <c r="O18" i="3" l="1"/>
  <c r="P18" i="3" s="1"/>
  <c r="R18" i="3" s="1"/>
  <c r="S17" i="3"/>
  <c r="C445" i="1"/>
  <c r="C348" i="1" l="1"/>
  <c r="C299" i="1" l="1"/>
  <c r="C254" i="1" l="1"/>
  <c r="C193" i="1" l="1"/>
  <c r="C79" i="1" l="1"/>
  <c r="C32" i="1" l="1"/>
  <c r="C29" i="1"/>
  <c r="C33" i="1" l="1"/>
  <c r="B35" i="1" s="1"/>
  <c r="F11" i="1"/>
  <c r="F13" i="1" s="1"/>
  <c r="F19" i="1" s="1"/>
  <c r="F21" i="1" s="1"/>
  <c r="F24" i="1" s="1"/>
  <c r="F36" i="1" s="1"/>
  <c r="F41" i="1" s="1"/>
  <c r="F45" i="1" s="1"/>
  <c r="F48" i="1" l="1"/>
  <c r="F52" i="1" s="1"/>
  <c r="F54" i="1" s="1"/>
  <c r="F57" i="1" s="1"/>
  <c r="F60" i="1" s="1"/>
  <c r="F62" i="1" s="1"/>
  <c r="F66" i="1" s="1"/>
  <c r="F69" i="1" s="1"/>
  <c r="F72" i="1" s="1"/>
  <c r="F76" i="1" s="1"/>
  <c r="F81" i="1" s="1"/>
  <c r="F83" i="1" s="1"/>
  <c r="F85" i="1" s="1"/>
  <c r="F91" i="1" s="1"/>
  <c r="F95" i="1" s="1"/>
  <c r="F102" i="1" s="1"/>
  <c r="F106" i="1" s="1"/>
  <c r="F110" i="1" s="1"/>
  <c r="F113" i="1" s="1"/>
  <c r="F116" i="1" s="1"/>
  <c r="F125" i="1" s="1"/>
  <c r="F127" i="1" s="1"/>
  <c r="F131" i="1" s="1"/>
  <c r="F142" i="1" s="1"/>
  <c r="F145" i="1" s="1"/>
  <c r="F149" i="1" s="1"/>
  <c r="F151" i="1" s="1"/>
  <c r="F154" i="1" s="1"/>
  <c r="F157" i="1" s="1"/>
  <c r="F160" i="1" s="1"/>
  <c r="F162" i="1" s="1"/>
  <c r="F164" i="1" s="1"/>
  <c r="F167" i="1" s="1"/>
  <c r="F170" i="1" s="1"/>
  <c r="F172" i="1" s="1"/>
  <c r="F175" i="1" s="1"/>
  <c r="F177" i="1" s="1"/>
  <c r="F179" i="1" s="1"/>
  <c r="F182" i="1" s="1"/>
  <c r="F185" i="1" s="1"/>
  <c r="F187" i="1" s="1"/>
  <c r="F190" i="1" s="1"/>
  <c r="F193" i="1" s="1"/>
  <c r="F196" i="1" s="1"/>
  <c r="F199" i="1" s="1"/>
  <c r="F202" i="1" s="1"/>
  <c r="F204" i="1" s="1"/>
  <c r="F206" i="1" s="1"/>
  <c r="F208" i="1" s="1"/>
  <c r="F214" i="1" s="1"/>
  <c r="F216" i="1" s="1"/>
  <c r="F224" i="1" s="1"/>
  <c r="F226" i="1" s="1"/>
  <c r="F228" i="1" s="1"/>
  <c r="F231" i="1" s="1"/>
  <c r="F235" i="1" s="1"/>
  <c r="F239" i="1" s="1"/>
  <c r="F241" i="1" s="1"/>
  <c r="F248" i="1" s="1"/>
  <c r="F249" i="1" s="1"/>
  <c r="F252" i="1" s="1"/>
  <c r="F254" i="1" s="1"/>
  <c r="F256" i="1" s="1"/>
  <c r="F259" i="1" s="1"/>
  <c r="F263" i="1" s="1"/>
  <c r="F265" i="1" s="1"/>
  <c r="F269" i="1" s="1"/>
  <c r="F271" i="1" s="1"/>
  <c r="F274" i="1" s="1"/>
  <c r="F277" i="1" s="1"/>
  <c r="F283" i="1" l="1"/>
  <c r="F285" i="1" s="1"/>
  <c r="F287" i="1" s="1"/>
  <c r="F289" i="1" s="1"/>
  <c r="F293" i="1" s="1"/>
  <c r="F297" i="1" s="1"/>
  <c r="F306" i="1" s="1"/>
  <c r="F310" i="1" s="1"/>
  <c r="F312" i="1" s="1"/>
  <c r="F316" i="1" s="1"/>
  <c r="F318" i="1" s="1"/>
  <c r="F324" i="1" s="1"/>
  <c r="F329" i="1" s="1"/>
  <c r="F332" i="1" s="1"/>
  <c r="F341" i="1" l="1"/>
  <c r="F345" i="1" s="1"/>
  <c r="F351" i="1" s="1"/>
  <c r="F353" i="1" s="1"/>
  <c r="F356" i="1" s="1"/>
  <c r="F359" i="1" s="1"/>
  <c r="F362" i="1" s="1"/>
  <c r="F369" i="1" s="1"/>
  <c r="F373" i="1" s="1"/>
  <c r="F375" i="1" s="1"/>
  <c r="F379" i="1" s="1"/>
  <c r="F381" i="1" s="1"/>
  <c r="F384" i="1" s="1"/>
  <c r="F389" i="1" s="1"/>
  <c r="F393" i="1" s="1"/>
  <c r="F399" i="1" s="1"/>
  <c r="F403" i="1" s="1"/>
  <c r="F408" i="1" s="1"/>
  <c r="F412" i="1" s="1"/>
  <c r="F414" i="1" s="1"/>
  <c r="F418" i="1" s="1"/>
  <c r="F420" i="1" s="1"/>
  <c r="F425" i="1" s="1"/>
  <c r="F433" i="1" s="1"/>
  <c r="F435" i="1" s="1"/>
  <c r="F438" i="1" s="1"/>
  <c r="F442" i="1" s="1"/>
  <c r="F445" i="1" s="1"/>
  <c r="F452" i="1" s="1"/>
  <c r="F455" i="1" s="1"/>
  <c r="F457" i="1" s="1"/>
  <c r="F464" i="1" s="1"/>
  <c r="F467" i="1" s="1"/>
  <c r="F471" i="1" s="1"/>
  <c r="F475" i="1" s="1"/>
  <c r="F481" i="1" s="1"/>
  <c r="F486" i="1" s="1"/>
  <c r="F489" i="1" s="1"/>
  <c r="F492" i="1" s="1"/>
  <c r="F497" i="1" s="1"/>
  <c r="F499" i="1" s="1"/>
  <c r="F505" i="1" s="1"/>
  <c r="F507" i="1" s="1"/>
  <c r="F512" i="1" s="1"/>
  <c r="F517" i="1" s="1"/>
  <c r="F520" i="1" s="1"/>
  <c r="F522" i="1" s="1"/>
  <c r="F527" i="1" s="1"/>
  <c r="F537" i="1" s="1"/>
  <c r="F542" i="1" s="1"/>
  <c r="F548" i="1" s="1"/>
  <c r="F551" i="1" s="1"/>
  <c r="F555" i="1" s="1"/>
  <c r="F559" i="1" s="1"/>
  <c r="F563" i="1" s="1"/>
  <c r="F566" i="1" s="1"/>
  <c r="F572" i="1" s="1"/>
  <c r="F577" i="1" s="1"/>
  <c r="F582" i="1" s="1"/>
  <c r="F586" i="1" s="1"/>
  <c r="F590" i="1" s="1"/>
  <c r="F594" i="1" s="1"/>
  <c r="F597" i="1" s="1"/>
  <c r="F600" i="1" s="1"/>
  <c r="F604" i="1" s="1"/>
  <c r="F607" i="1" s="1"/>
  <c r="F613" i="1" s="1"/>
  <c r="F616" i="1" s="1"/>
  <c r="F618" i="1" s="1"/>
  <c r="F621" i="1" s="1"/>
  <c r="F629" i="1" s="1"/>
  <c r="F632" i="1" s="1"/>
  <c r="F635" i="1" s="1"/>
  <c r="F638" i="1" s="1"/>
  <c r="F641" i="1" s="1"/>
  <c r="F643" i="1" s="1"/>
  <c r="F648" i="1" s="1"/>
  <c r="F658" i="1" s="1"/>
  <c r="F660" i="1" s="1"/>
  <c r="F662" i="1" s="1"/>
  <c r="F665" i="1" s="1"/>
  <c r="F672" i="1" s="1"/>
  <c r="F675" i="1" s="1"/>
  <c r="F678" i="1" s="1"/>
  <c r="F680" i="1" s="1"/>
  <c r="F682" i="1" s="1"/>
  <c r="F685" i="1" s="1"/>
  <c r="F689" i="1" s="1"/>
  <c r="F693" i="1" s="1"/>
  <c r="F697" i="1" s="1"/>
  <c r="F700" i="1" s="1"/>
  <c r="F702" i="1" s="1"/>
  <c r="F705" i="1" s="1"/>
  <c r="F708" i="1" s="1"/>
  <c r="F712" i="1" s="1"/>
  <c r="F720" i="1" s="1"/>
  <c r="F724" i="1" s="1"/>
  <c r="F730" i="1" s="1"/>
  <c r="F736" i="1" s="1"/>
  <c r="F739" i="1" s="1"/>
  <c r="F741" i="1" s="1"/>
  <c r="F744" i="1" s="1"/>
  <c r="F747" i="1" s="1"/>
  <c r="F754" i="1" s="1"/>
  <c r="F758" i="1" s="1"/>
  <c r="F762" i="1" s="1"/>
  <c r="F765" i="1" s="1"/>
  <c r="F767" i="1" s="1"/>
  <c r="F770" i="1" s="1"/>
  <c r="F776" i="1" s="1"/>
  <c r="F782" i="1" s="1"/>
  <c r="F788" i="1" s="1"/>
  <c r="F792" i="1" s="1"/>
  <c r="F796" i="1" s="1"/>
  <c r="F799" i="1" s="1"/>
  <c r="F807" i="1" s="1"/>
  <c r="F811" i="1" s="1"/>
  <c r="F814" i="1" s="1"/>
  <c r="F817" i="1" s="1"/>
  <c r="F822" i="1" s="1"/>
  <c r="F828" i="1" s="1"/>
  <c r="F830" i="1" s="1"/>
  <c r="F832" i="1" s="1"/>
  <c r="F837" i="1" s="1"/>
  <c r="F840" i="1" s="1"/>
  <c r="F846" i="1" s="1"/>
  <c r="F852" i="1" s="1"/>
  <c r="F859" i="1" s="1"/>
  <c r="F868" i="1" s="1"/>
  <c r="F873" i="1" s="1"/>
  <c r="F877" i="1" s="1"/>
  <c r="F879" i="1" s="1"/>
  <c r="F883" i="1" s="1"/>
  <c r="F887" i="1" s="1"/>
  <c r="F891" i="1" s="1"/>
  <c r="F896" i="1" s="1"/>
  <c r="F902" i="1" s="1"/>
  <c r="F907" i="1" s="1"/>
  <c r="F910" i="1" s="1"/>
  <c r="F914" i="1" s="1"/>
  <c r="F917" i="1" s="1"/>
  <c r="F919" i="1" s="1"/>
  <c r="F924" i="1" s="1"/>
  <c r="F927" i="1" s="1"/>
  <c r="F935" i="1" l="1"/>
  <c r="F940" i="1" s="1"/>
  <c r="F942" i="1" s="1"/>
  <c r="F945" i="1" s="1"/>
  <c r="F947" i="1" s="1"/>
  <c r="F953" i="1" s="1"/>
  <c r="F957" i="1" s="1"/>
  <c r="F962" i="1" s="1"/>
  <c r="F967" i="1" s="1"/>
  <c r="F973" i="1" s="1"/>
  <c r="F975" i="1" s="1"/>
  <c r="F979" i="1" s="1"/>
  <c r="F983" i="1" s="1"/>
  <c r="F987" i="1" s="1"/>
  <c r="F990" i="1" s="1"/>
  <c r="F995" i="1" s="1"/>
  <c r="F997" i="1" s="1"/>
  <c r="F1001" i="1" s="1"/>
  <c r="F1008" i="1" s="1"/>
  <c r="F1015" i="1" s="1"/>
  <c r="F1021" i="1" s="1"/>
  <c r="F1025" i="1" s="1"/>
  <c r="F1034" i="1" s="1"/>
  <c r="F1039" i="1" s="1"/>
  <c r="F1043" i="1" s="1"/>
  <c r="F1048" i="1" s="1"/>
  <c r="F1052" i="1" s="1"/>
  <c r="F1055" i="1" s="1"/>
  <c r="F1060" i="1" s="1"/>
  <c r="F1062" i="1" s="1"/>
  <c r="F1064" i="1" s="1"/>
  <c r="F1068" i="1" s="1"/>
  <c r="F1071" i="1" s="1"/>
  <c r="F1075" i="1" s="1"/>
  <c r="F1084" i="1" s="1"/>
  <c r="F1087" i="1" s="1"/>
  <c r="F1090" i="1" s="1"/>
  <c r="F1092" i="1" s="1"/>
  <c r="F1098" i="1" s="1"/>
  <c r="F1100" i="1" s="1"/>
  <c r="F1103" i="1" s="1"/>
  <c r="F1105" i="1" s="1"/>
  <c r="F1111" i="1" s="1"/>
  <c r="F1114" i="1" s="1"/>
  <c r="F1117" i="1" s="1"/>
  <c r="F1119" i="1" s="1"/>
  <c r="F1122" i="1" s="1"/>
  <c r="F1124" i="1" s="1"/>
  <c r="F1126" i="1" s="1"/>
  <c r="F1130" i="1" s="1"/>
  <c r="F1132" i="1" s="1"/>
  <c r="F1134" i="1" s="1"/>
  <c r="F1141" i="1" s="1"/>
  <c r="F1144" i="1" s="1"/>
  <c r="F1146" i="1" s="1"/>
  <c r="F1150" i="1" s="1"/>
  <c r="F1152" i="1" s="1"/>
  <c r="F1156" i="1" s="1"/>
  <c r="F1164" i="1" s="1"/>
  <c r="F1168" i="1" s="1"/>
  <c r="F1175" i="1" s="1"/>
  <c r="F1178" i="1" s="1"/>
  <c r="F1180" i="1" s="1"/>
  <c r="F1183" i="1" s="1"/>
  <c r="F1185" i="1" s="1"/>
  <c r="F1188" i="1" s="1"/>
  <c r="F1192" i="1" s="1"/>
  <c r="F1197" i="1" s="1"/>
  <c r="F1199" i="1" s="1"/>
  <c r="F1202" i="1" s="1"/>
  <c r="F1205" i="1" s="1"/>
  <c r="F1207" i="1" s="1"/>
  <c r="F1210" i="1" s="1"/>
  <c r="F1213" i="1" s="1"/>
  <c r="F1217" i="1" s="1"/>
  <c r="F1227" i="1" s="1"/>
  <c r="F1230" i="1" s="1"/>
  <c r="F1233" i="1" s="1"/>
  <c r="F1237" i="1" s="1"/>
  <c r="F1239" i="1" s="1"/>
  <c r="F1242" i="1" s="1"/>
  <c r="F1245" i="1" s="1"/>
  <c r="F1249" i="1" s="1"/>
  <c r="F1251" i="1" s="1"/>
  <c r="F1255" i="1" s="1"/>
  <c r="F1259" i="1" s="1"/>
  <c r="F1263" i="1" s="1"/>
  <c r="F1271" i="1" s="1"/>
  <c r="F1277" i="1" s="1"/>
  <c r="F1279" i="1" s="1"/>
  <c r="F1281" i="1" s="1"/>
  <c r="F1286" i="1" s="1"/>
  <c r="F1289" i="1" s="1"/>
  <c r="F1292" i="1" s="1"/>
  <c r="F1297" i="1" s="1"/>
  <c r="F1301" i="1" s="1"/>
  <c r="F1305" i="1" s="1"/>
  <c r="F1307" i="1" s="1"/>
  <c r="F1310" i="1" s="1"/>
  <c r="F1314" i="1" s="1"/>
  <c r="F1320" i="1" s="1"/>
  <c r="F1321" i="1" s="1"/>
  <c r="F1324" i="1" s="1"/>
  <c r="F1329" i="1" s="1"/>
  <c r="F1332" i="1" s="1"/>
  <c r="F1336" i="1" s="1"/>
  <c r="F1341" i="1" s="1"/>
  <c r="F1347" i="1" s="1"/>
  <c r="F1351" i="1" s="1"/>
  <c r="F1354" i="1" s="1"/>
  <c r="F1356" i="1" s="1"/>
  <c r="F1360" i="1" s="1"/>
  <c r="F1363" i="1" s="1"/>
  <c r="F1365" i="1" s="1"/>
  <c r="F1367" i="1" s="1"/>
  <c r="F1373" i="1" s="1"/>
  <c r="F1377" i="1" s="1"/>
  <c r="F1380" i="1" s="1"/>
  <c r="F1383" i="1" s="1"/>
  <c r="F1389" i="1" s="1"/>
  <c r="F1393" i="1" s="1"/>
  <c r="F1397" i="1" s="1"/>
  <c r="F1401" i="1" s="1"/>
  <c r="F1405" i="1" s="1"/>
  <c r="F1412" i="1" s="1"/>
  <c r="F1416" i="1" s="1"/>
  <c r="F1421" i="1" s="1"/>
  <c r="F1425" i="1" s="1"/>
  <c r="F1428" i="1" s="1"/>
  <c r="F1435" i="1" s="1"/>
  <c r="F1440" i="1" s="1"/>
  <c r="F1442" i="1" s="1"/>
  <c r="F1448" i="1" s="1"/>
  <c r="F1451" i="1" s="1"/>
  <c r="F1460" i="1" s="1"/>
  <c r="F1462" i="1" s="1"/>
  <c r="F1472" i="1" l="1"/>
  <c r="F1477" i="1" s="1"/>
  <c r="F1484" i="1" s="1"/>
  <c r="F1490" i="1" s="1"/>
  <c r="F1493" i="1" s="1"/>
  <c r="F1495" i="1" s="1"/>
  <c r="F1500" i="1" s="1"/>
  <c r="F1503" i="1" s="1"/>
  <c r="F1508" i="1" s="1"/>
  <c r="F1514" i="1" s="1"/>
  <c r="F1519" i="1" s="1"/>
  <c r="F1523" i="1" s="1"/>
  <c r="F1528" i="1" s="1"/>
  <c r="F1532" i="1" s="1"/>
  <c r="F1537" i="1" s="1"/>
  <c r="F1542" i="1" s="1"/>
  <c r="F1552" i="1" s="1"/>
  <c r="F1561" i="1" s="1"/>
  <c r="F1565" i="1" s="1"/>
  <c r="F1569" i="1" s="1"/>
  <c r="F1573" i="1" s="1"/>
  <c r="F1577" i="1" s="1"/>
  <c r="F1581" i="1" s="1"/>
  <c r="F1587" i="1" s="1"/>
  <c r="F1592" i="1" s="1"/>
  <c r="F1594" i="1" s="1"/>
  <c r="F1609" i="1" s="1"/>
  <c r="F1616" i="1" s="1"/>
  <c r="F1619" i="1" s="1"/>
  <c r="F1623" i="1" s="1"/>
  <c r="F1630" i="1" l="1"/>
  <c r="F1635" i="1" s="1"/>
  <c r="F1639" i="1" s="1"/>
  <c r="F1648" i="1" l="1"/>
  <c r="F1656" i="1" s="1"/>
  <c r="F1660" i="1" s="1"/>
  <c r="F1665" i="1" s="1"/>
  <c r="F1671" i="1" s="1"/>
  <c r="F1684" i="1" s="1"/>
  <c r="F1686" i="1" s="1"/>
  <c r="F1700" i="1" l="1"/>
  <c r="F1706" i="1" s="1"/>
  <c r="F1713" i="1" s="1"/>
  <c r="F1724" i="1" s="1"/>
  <c r="F1727" i="1" s="1"/>
  <c r="F1730" i="1" l="1"/>
  <c r="F1735" i="1" s="1"/>
  <c r="F1739" i="1" s="1"/>
  <c r="F1745" i="1" l="1"/>
  <c r="F1754" i="1" s="1"/>
  <c r="F1757" i="1" s="1"/>
  <c r="F1764" i="1" l="1"/>
  <c r="F1769" i="1" s="1"/>
  <c r="F1777" i="1" l="1"/>
  <c r="F1784" i="1" s="1"/>
  <c r="F1790" i="1" s="1"/>
  <c r="F1798" i="1" s="1"/>
  <c r="F1803" i="1" s="1"/>
  <c r="F1810" i="1" s="1"/>
  <c r="F1815" i="1" s="1"/>
  <c r="F1823" i="1" s="1"/>
  <c r="F1827" i="1" s="1"/>
  <c r="F1831" i="1" s="1"/>
  <c r="F1837" i="1" l="1"/>
  <c r="F1844" i="1" s="1"/>
  <c r="F1849" i="1" s="1"/>
  <c r="F1853" i="1" s="1"/>
  <c r="F1861" i="1" s="1"/>
  <c r="F1867" i="1" s="1"/>
  <c r="F1872" i="1" s="1"/>
  <c r="F1876" i="1" s="1"/>
  <c r="F1878" i="1" s="1"/>
  <c r="F1884" i="1" s="1"/>
  <c r="F1887" i="1" s="1"/>
  <c r="F1893" i="1" s="1"/>
  <c r="F1896" i="1" s="1"/>
  <c r="F1899" i="1" s="1"/>
  <c r="F1902" i="1" s="1"/>
  <c r="F1906" i="1" s="1"/>
  <c r="F1908" i="1" s="1"/>
  <c r="F1914" i="1" s="1"/>
  <c r="F1917" i="1" s="1"/>
  <c r="F1922" i="1" s="1"/>
  <c r="F1925" i="1" s="1"/>
  <c r="F1927" i="1" s="1"/>
  <c r="F1931" i="1" s="1"/>
  <c r="F1938" i="1" s="1"/>
  <c r="F1940" i="1" s="1"/>
  <c r="F1942" i="1" s="1"/>
  <c r="F1945" i="1" s="1"/>
  <c r="F1951" i="1" s="1"/>
  <c r="F1953" i="1" s="1"/>
  <c r="F1958" i="1" s="1"/>
  <c r="F1963" i="1" s="1"/>
  <c r="F1967" i="1" s="1"/>
  <c r="F1972" i="1" s="1"/>
  <c r="F1977" i="1" s="1"/>
  <c r="F1984" i="1" s="1"/>
  <c r="F1992" i="1" s="1"/>
  <c r="F1997" i="1" s="1"/>
  <c r="F2002" i="1" s="1"/>
  <c r="F2006" i="1" s="1"/>
  <c r="F2011" i="1" s="1"/>
  <c r="F2013" i="1" s="1"/>
  <c r="F2019" i="1" s="1"/>
  <c r="F2024" i="1" s="1"/>
  <c r="F2027" i="1" s="1"/>
  <c r="F2030" i="1" s="1"/>
  <c r="F2035" i="1" s="1"/>
  <c r="F2042" i="1" s="1"/>
  <c r="F2045" i="1" s="1"/>
  <c r="F2048" i="1" s="1"/>
  <c r="F2051" i="1" s="1"/>
</calcChain>
</file>

<file path=xl/sharedStrings.xml><?xml version="1.0" encoding="utf-8"?>
<sst xmlns="http://schemas.openxmlformats.org/spreadsheetml/2006/main" count="2658" uniqueCount="2222">
  <si>
    <t>Ngày 21/08/2021</t>
  </si>
  <si>
    <t>Nội dung</t>
  </si>
  <si>
    <t>số tiền</t>
  </si>
  <si>
    <t>Thanh toán tiền nợ ngân hàng</t>
  </si>
  <si>
    <t>Tiền nhà với chị ba</t>
  </si>
  <si>
    <t>Tiền ck lắc nhắc với chị ba</t>
  </si>
  <si>
    <t>Tiền trả góp chị ba</t>
  </si>
  <si>
    <t>-</t>
  </si>
  <si>
    <t>+</t>
  </si>
  <si>
    <t>Tổng ngày</t>
  </si>
  <si>
    <t>Tiền tiết kiệm còn lại
 21/08/2021</t>
  </si>
  <si>
    <t>Chị ba cho lại</t>
  </si>
  <si>
    <t>Ngày 23/08/2021</t>
  </si>
  <si>
    <t>Má cho</t>
  </si>
  <si>
    <t>Tiền tiết kiệm còn lại
 23/08/2021</t>
  </si>
  <si>
    <t>Ngày 31/08/2021</t>
  </si>
  <si>
    <t>Lương t08 của anh</t>
  </si>
  <si>
    <t>Tiền tiết kiệm còn lại
 31/08/2021</t>
  </si>
  <si>
    <t>Ngày 01/09//2021</t>
  </si>
  <si>
    <t>Lương thẻ TD tháng 06</t>
  </si>
  <si>
    <t>Tiền tiết kiệm còn lại
 01/09/2021</t>
  </si>
  <si>
    <t>Ngày 06/09//2021</t>
  </si>
  <si>
    <t>1. Trả tiền phòng tháng 08</t>
  </si>
  <si>
    <t>2. Trả tiền phòng tháng 09</t>
  </si>
  <si>
    <t>3. Tiền ăn</t>
  </si>
  <si>
    <t>4. Tiền trái cây</t>
  </si>
  <si>
    <t>5. Tiền cho thuê nhà</t>
  </si>
  <si>
    <t>Tiền tiết kiệm còn lại
 06/09/2021</t>
  </si>
  <si>
    <t>Ngày 10/09//2021</t>
  </si>
  <si>
    <t>Lương tháng 08 của vợ</t>
  </si>
  <si>
    <t>Ngày 15/09//2021</t>
  </si>
  <si>
    <t>Rút tiền mặt</t>
  </si>
  <si>
    <t>Bỏ vào lại</t>
  </si>
  <si>
    <t>Tiền tiết kiệm còn lại
 16/09/2021</t>
  </si>
  <si>
    <t>Khách cho</t>
  </si>
  <si>
    <t>Ngày 01/10//2021</t>
  </si>
  <si>
    <t>Tiền ngân hàng tháng 09</t>
  </si>
  <si>
    <t>Trả nợ vào ngày 05/10</t>
  </si>
  <si>
    <t>Tiền xe Big</t>
  </si>
  <si>
    <t>Chị ba nợ</t>
  </si>
  <si>
    <t>tiền thẻ</t>
  </si>
  <si>
    <t>tiền ck</t>
  </si>
  <si>
    <t>Chuyển chị ba</t>
  </si>
  <si>
    <t>Còn lại</t>
  </si>
  <si>
    <t>Tiền đầy tháng Mây</t>
  </si>
  <si>
    <t>Tổng Chuyển Chị ba</t>
  </si>
  <si>
    <t>Tiền tiết kiệm còn lại
 01/10/2021</t>
  </si>
  <si>
    <t>Rút thêm tiền:</t>
  </si>
  <si>
    <t>Ngày 06/10//2021</t>
  </si>
  <si>
    <t>Nhận tiền nhà tháng 10</t>
  </si>
  <si>
    <t>Trả tiền thuê phòng là</t>
  </si>
  <si>
    <t xml:space="preserve">Tiền ăn </t>
  </si>
  <si>
    <t>Tiền khách cho</t>
  </si>
  <si>
    <t>Ngày 08/10//2021</t>
  </si>
  <si>
    <t>Tiền hh bh trả lại</t>
  </si>
  <si>
    <t xml:space="preserve">Tiền khách cho </t>
  </si>
  <si>
    <t>Lương T09 của vợ</t>
  </si>
  <si>
    <t>Ngày 10/10//2021</t>
  </si>
  <si>
    <t xml:space="preserve">Rút tiền </t>
  </si>
  <si>
    <t>Ngày 15/10//2021</t>
  </si>
  <si>
    <t>Ngày 17/10/2021</t>
  </si>
  <si>
    <t>Mua túi  + giày + yến</t>
  </si>
  <si>
    <t>Tiền tiết kiệm còn lại
 17/10/2021</t>
  </si>
  <si>
    <t>Ngày 19/10/2021</t>
  </si>
  <si>
    <t>4 cho</t>
  </si>
  <si>
    <t>khách cho</t>
  </si>
  <si>
    <t>Ngày 22/10/2021</t>
  </si>
  <si>
    <t>Ba cho</t>
  </si>
  <si>
    <t>khách cho + Bh xe</t>
  </si>
  <si>
    <t>Tiền tiết kiệm còn lại
22/10/2021</t>
  </si>
  <si>
    <t>Ngày 23/10/2021</t>
  </si>
  <si>
    <t>Khám thai</t>
  </si>
  <si>
    <t>Ngày 26/10/2021</t>
  </si>
  <si>
    <t>Tiền bhxh</t>
  </si>
  <si>
    <t>Tiền tiết kiệm còn lại
26/10/2021</t>
  </si>
  <si>
    <t>Bốn mượn</t>
  </si>
  <si>
    <t>Ngày 27/10/2021</t>
  </si>
  <si>
    <t>Tiền tiết kiệm còn lại
27/10/2021</t>
  </si>
  <si>
    <t>Ngày 28/10/2021</t>
  </si>
  <si>
    <t>tiền bhtn</t>
  </si>
  <si>
    <t>Ngày 29/10/2021</t>
  </si>
  <si>
    <t>Tiền lương T10</t>
  </si>
  <si>
    <t>Ngày 01/11/2021</t>
  </si>
  <si>
    <t xml:space="preserve">khách cho </t>
  </si>
  <si>
    <t>Tiền ngân hàng t10</t>
  </si>
  <si>
    <t>Chị ba mượn</t>
  </si>
  <si>
    <t>tiền thuốc Vitamin</t>
  </si>
  <si>
    <t>Tiền tiết kiệm còn lại
01/11/2021</t>
  </si>
  <si>
    <t>Ngày 04/11/2021</t>
  </si>
  <si>
    <t>Tiền tiết kiệm còn lại
04/11/2021</t>
  </si>
  <si>
    <t>Ngày 05/11/2021</t>
  </si>
  <si>
    <t>Tiền tiết kiệm còn lại
05/11/2021</t>
  </si>
  <si>
    <t>lương tháng 10 vợ</t>
  </si>
  <si>
    <t>a bốn trả</t>
  </si>
  <si>
    <t>trả tiền nhà trọ</t>
  </si>
  <si>
    <t>sn má</t>
  </si>
  <si>
    <t>đi ăn</t>
  </si>
  <si>
    <t>Tiền tiết kiệm còn lại
10/11/2021</t>
  </si>
  <si>
    <t>Ngày 10/11/2021</t>
  </si>
  <si>
    <t>Ngày 14/11/2021</t>
  </si>
  <si>
    <t>trả cậu</t>
  </si>
  <si>
    <t xml:space="preserve">tiền khám bệnh </t>
  </si>
  <si>
    <t>tiền mua thuốc trị rạn</t>
  </si>
  <si>
    <t>Tiền tiết kiệm còn lại
14/11/2021</t>
  </si>
  <si>
    <t>Ngày 18/11/2021</t>
  </si>
  <si>
    <t>tiền thuốc của anh</t>
  </si>
  <si>
    <t>tiền thuốc bố</t>
  </si>
  <si>
    <t>tiền test PCR</t>
  </si>
  <si>
    <t>bh tái tục xe củ kh</t>
  </si>
  <si>
    <t>tiền kh cho</t>
  </si>
  <si>
    <t xml:space="preserve">ba cho </t>
  </si>
  <si>
    <t>Tiền tiết kiệm còn lại
18/11/2021</t>
  </si>
  <si>
    <t>Ngày 19/11/2021</t>
  </si>
  <si>
    <t>tiền thuốc cho mẹ</t>
  </si>
  <si>
    <t>tiền mua nhiệt kế + spo2</t>
  </si>
  <si>
    <t>Ngày 20/11/2021</t>
  </si>
  <si>
    <t>tiền nhà</t>
  </si>
  <si>
    <t>Ngày 22/11/2021</t>
  </si>
  <si>
    <t>Tiền test nhanh</t>
  </si>
  <si>
    <t>Tiền internet</t>
  </si>
  <si>
    <t>Tiền tiết kiệm còn lại
22/11/2021</t>
  </si>
  <si>
    <t>tiền BH</t>
  </si>
  <si>
    <t>Ngày 23/11/2021</t>
  </si>
  <si>
    <t>Tiền ký quỹ - sau lấy lại</t>
  </si>
  <si>
    <t>Tiền tiết kiệm còn lại
23/11/2021</t>
  </si>
  <si>
    <t>chị ba cho</t>
  </si>
  <si>
    <t>tiền hh xe</t>
  </si>
  <si>
    <t>Ngày 28/11/2021</t>
  </si>
  <si>
    <t>Mua sơn nhà</t>
  </si>
  <si>
    <t>Đi siêu thị mua nội thất cơ bản</t>
  </si>
  <si>
    <t>Mua nội thất lớn</t>
  </si>
  <si>
    <t>Tiền mua lặt vặt</t>
  </si>
  <si>
    <t>Tiền PCR</t>
  </si>
  <si>
    <t>Tiền tiết kiệm còn lại
28/11/2021</t>
  </si>
  <si>
    <t>Tiền đồ shopee</t>
  </si>
  <si>
    <t>Tiền test PCR Duyên</t>
  </si>
  <si>
    <t>Ngày 29/11/2021</t>
  </si>
  <si>
    <t>Lương tháng 11 của ck</t>
  </si>
  <si>
    <t>Tiền tiết kiệm còn lại
29/11/2021</t>
  </si>
  <si>
    <t>Ngày 02/12/2021</t>
  </si>
  <si>
    <t>Khách hàng tái tục bh</t>
  </si>
  <si>
    <t>mua đồ gia dụng</t>
  </si>
  <si>
    <t>mua đồ gia đình</t>
  </si>
  <si>
    <t>Tiền tiết kiệm còn lại
02/12/2021</t>
  </si>
  <si>
    <t>Ngày 05/12/2021</t>
  </si>
  <si>
    <t xml:space="preserve">Khách cho </t>
  </si>
  <si>
    <t>Đi chợ</t>
  </si>
  <si>
    <t>Mua hàu</t>
  </si>
  <si>
    <t>lặt vặt</t>
  </si>
  <si>
    <t>Trả tiền ngân hàng</t>
  </si>
  <si>
    <t>Tiền trọ</t>
  </si>
  <si>
    <t>Ngày 06/12/2021</t>
  </si>
  <si>
    <t>gủi bố</t>
  </si>
  <si>
    <t>mua đồ</t>
  </si>
  <si>
    <t>Tiền tiết kiệm còn lại
06/12/2021</t>
  </si>
  <si>
    <t>TIỀN ĂN T12</t>
  </si>
  <si>
    <t>Ngày 07/12/2021</t>
  </si>
  <si>
    <t>Tiền covid</t>
  </si>
  <si>
    <t>Tiền tiết kiệm còn lại
07/12/2021</t>
  </si>
  <si>
    <t>Ngày 09/12/2021</t>
  </si>
  <si>
    <t>Tiền tiết kiệm còn lại
09/12/2021</t>
  </si>
  <si>
    <t>Ngày 10/12/2021</t>
  </si>
  <si>
    <t>Lương vợ t11</t>
  </si>
  <si>
    <t>Ngày 12/12/2021</t>
  </si>
  <si>
    <t>bàn ăn</t>
  </si>
  <si>
    <t>Tiền tiết kiệm còn lại
12/12/2021</t>
  </si>
  <si>
    <t>Ngày 13/12/2021</t>
  </si>
  <si>
    <t>A4+C.tuyết mừng nhà mới</t>
  </si>
  <si>
    <t>Tiền tiết kiệm còn lại
13/12/2021</t>
  </si>
  <si>
    <t>Ngày 14/12/2021</t>
  </si>
  <si>
    <t>Tiền tiết kiệm còn lại
14/12/2021</t>
  </si>
  <si>
    <t>Ngày 16/12/2021</t>
  </si>
  <si>
    <t>KHÁCH CHO+ TIỀN BH</t>
  </si>
  <si>
    <t>Ngày 17/12/2021</t>
  </si>
  <si>
    <t>tiền khách</t>
  </si>
  <si>
    <t>tiền trích ra đi chơi</t>
  </si>
  <si>
    <t>Tiền tiết kiệm còn lại
17/12/2021</t>
  </si>
  <si>
    <t>Hoàn trả tiền đi chơi</t>
  </si>
  <si>
    <t>mua bàn</t>
  </si>
  <si>
    <t>Tiền tiết kiệm còn lại
19/12/2021</t>
  </si>
  <si>
    <t>Ngày 19/12/2021</t>
  </si>
  <si>
    <t>Ngày 20/12/2021</t>
  </si>
  <si>
    <t>Ngày 21/12/2021</t>
  </si>
  <si>
    <t>Tiền tái tục BH</t>
  </si>
  <si>
    <t>Ngày 22/12/2021</t>
  </si>
  <si>
    <t>Ngày 23+24/12/2021</t>
  </si>
  <si>
    <t>Khách cho + thưởng tết</t>
  </si>
  <si>
    <t>Tiền tiết kiệm còn lại
24/12/2021</t>
  </si>
  <si>
    <t>Ngày 26/12/2021</t>
  </si>
  <si>
    <t>Mua nhẫn</t>
  </si>
  <si>
    <t>Tiền tiết kiệm còn lại
26/12/2021</t>
  </si>
  <si>
    <t>Đóng tiền BH nhân thọ</t>
  </si>
  <si>
    <t>Ngày 28+29/12/2021</t>
  </si>
  <si>
    <t>Tiền tiết kiệm còn lại
29/12/2021</t>
  </si>
  <si>
    <t>Ngày 30/12021</t>
  </si>
  <si>
    <t>LƯƠng</t>
  </si>
  <si>
    <t>Tiền tiết kiệm còn lại
30/12/2021</t>
  </si>
  <si>
    <t>Ngày 31/12/2021</t>
  </si>
  <si>
    <t>Lương T13</t>
  </si>
  <si>
    <t>Tiền tiết kiệm còn lại
31/12/2021</t>
  </si>
  <si>
    <t>Tiền đi chợ T1</t>
  </si>
  <si>
    <t>Ngày 01/01/2022</t>
  </si>
  <si>
    <t>Tiền mừng tuổi</t>
  </si>
  <si>
    <t>Tiền chi ra mua đồ</t>
  </si>
  <si>
    <t>Tiền tiết kiệm còn lại
01/01/2022</t>
  </si>
  <si>
    <t>Ăn tối</t>
  </si>
  <si>
    <t>Tiền tiết kiệm còn lại
02/01/2022</t>
  </si>
  <si>
    <t xml:space="preserve">Tiền ngân hàng tháng thứ 9 </t>
  </si>
  <si>
    <t>mua giày</t>
  </si>
  <si>
    <t>đồ cho con</t>
  </si>
  <si>
    <t>mua caxi</t>
  </si>
  <si>
    <t>Tiền tiết kiệm còn lại
03/01/2022</t>
  </si>
  <si>
    <t>Ngày 04/01/2022</t>
  </si>
  <si>
    <t>Ngày 02/01/2022</t>
  </si>
  <si>
    <t>Ngày 03/01/2022</t>
  </si>
  <si>
    <t>quà</t>
  </si>
  <si>
    <t>Tiền tiết kiệm còn lại
04/01/2022</t>
  </si>
  <si>
    <t>Ngày 06/01/2022</t>
  </si>
  <si>
    <t>Tiền tiết kiệm còn lại
06/01/2022</t>
  </si>
  <si>
    <t>Ngày 07/01/2022</t>
  </si>
  <si>
    <t>Tiền tiết kiệm còn lại 07/01/2022</t>
  </si>
  <si>
    <t>Ngày 08/01/2022</t>
  </si>
  <si>
    <t>Tiền tiết kiệm còn lại 08/01/2022</t>
  </si>
  <si>
    <t>Ngày 10/01/2022</t>
  </si>
  <si>
    <t>Mua gas gối</t>
  </si>
  <si>
    <t>Ngày 12/01/2022</t>
  </si>
  <si>
    <t>lương vợ t12</t>
  </si>
  <si>
    <t>Ngày 13/01/2022</t>
  </si>
  <si>
    <t>mua tivi</t>
  </si>
  <si>
    <t>Tiền tiết kiệm còn lại 13/01/2022</t>
  </si>
  <si>
    <t>Tiền tiết kiệm còn lại 12/01/2022</t>
  </si>
  <si>
    <t>Ngày 14/01/2022</t>
  </si>
  <si>
    <t>Mua gương</t>
  </si>
  <si>
    <t>Mua áo cho chồng</t>
  </si>
  <si>
    <t>Ngày 16/01/2022</t>
  </si>
  <si>
    <t>trả tiền tivi</t>
  </si>
  <si>
    <t>sữa xe vợ</t>
  </si>
  <si>
    <t>Tiền tiết kiệm còn lại 16/01/2022</t>
  </si>
  <si>
    <t>Ngày 18/01/2022</t>
  </si>
  <si>
    <t>Tiền BH</t>
  </si>
  <si>
    <t>Ngày 21/01/2022</t>
  </si>
  <si>
    <t>Tiền tiết kiệm còn lại 21/01/2022</t>
  </si>
  <si>
    <t>Tiền đi chợ T1 lần 2</t>
  </si>
  <si>
    <t>Ngày 22/01/2022</t>
  </si>
  <si>
    <t>Tiền tiết kiệm còn lại 22/01/2022</t>
  </si>
  <si>
    <t>Ngày 23/01/2022</t>
  </si>
  <si>
    <t>Sửa đồng hồ</t>
  </si>
  <si>
    <t>Mua hải sản</t>
  </si>
  <si>
    <t>Tiền tiết kiệm còn lại 23/01/2022</t>
  </si>
  <si>
    <t>Cho Dương 500k</t>
  </si>
  <si>
    <t>Ngày 24/01/2022</t>
  </si>
  <si>
    <t>Sửa xe</t>
  </si>
  <si>
    <t>Lương Ck T01</t>
  </si>
  <si>
    <t>Tiền tiết kiệm còn lại 24/01/2022</t>
  </si>
  <si>
    <t>Ngày 26/01/2022</t>
  </si>
  <si>
    <t>tiền BH + lương</t>
  </si>
  <si>
    <t>Tiền tiết kiệm còn lại 26/01/2022</t>
  </si>
  <si>
    <t>vé máy bay</t>
  </si>
  <si>
    <t>Ngày 28/01/2022</t>
  </si>
  <si>
    <t>chị ba nợ</t>
  </si>
  <si>
    <t>nợ chị ba</t>
  </si>
  <si>
    <t>trả tiền ngân hàng tháng 01/2022</t>
  </si>
  <si>
    <t>Tiền sếp cho</t>
  </si>
  <si>
    <t>Tiền của chồng</t>
  </si>
  <si>
    <t>Tiền tiết kiệm còn lại 28/01/2022</t>
  </si>
  <si>
    <t>rút tiền mặt tiêu tết</t>
  </si>
  <si>
    <t>Ngày 29/01/2022</t>
  </si>
  <si>
    <t>Tiền khám thai</t>
  </si>
  <si>
    <t>Tiền ăn tháng 2</t>
  </si>
  <si>
    <t>Tiền tiết kiệm còn lại 29/01/2022</t>
  </si>
  <si>
    <t>Ngày 03/02/2022</t>
  </si>
  <si>
    <t>hoàn tiền</t>
  </si>
  <si>
    <t>Tiền tiết kiệm còn lại 03/02/2022</t>
  </si>
  <si>
    <t>Trừ tiền anh</t>
  </si>
  <si>
    <t>Trừ tiền em</t>
  </si>
  <si>
    <t>Tiền mặt chưa bỏ vào ngân hàng</t>
  </si>
  <si>
    <t>tiền lì xì ở quê</t>
  </si>
  <si>
    <t>ba cho</t>
  </si>
  <si>
    <t>tiền vé máy bay</t>
  </si>
  <si>
    <t>Tiền tiết kiệm còn lại 04/02/2022</t>
  </si>
  <si>
    <t>Ngày 04/02/2022</t>
  </si>
  <si>
    <t>Ngày 05/02/2022</t>
  </si>
  <si>
    <t>Tiền Grap</t>
  </si>
  <si>
    <t>Tiền tiết kiệm còn lại 05/02/2022</t>
  </si>
  <si>
    <t>Ngày 07/02/2022</t>
  </si>
  <si>
    <t>tiền khám thai + mua trái cây</t>
  </si>
  <si>
    <t>Tiền tiết kiệm còn lại 07/02/2022</t>
  </si>
  <si>
    <t>Ngày 10/02/2022</t>
  </si>
  <si>
    <t>Tiền mawht bỏ vô NH</t>
  </si>
  <si>
    <t>Mua thàn tai + ông địa</t>
  </si>
  <si>
    <t>Tiền tiết kiệm còn lại 10/02/2022</t>
  </si>
  <si>
    <t>Ngày 12/02/2022</t>
  </si>
  <si>
    <t>Tiền tiết kiệm còn lại 12/02/2022</t>
  </si>
  <si>
    <t>Ngày 15/02/2022</t>
  </si>
  <si>
    <t>Viện phí má</t>
  </si>
  <si>
    <t>Tiền tiết kiệm còn lại 15/02/2022</t>
  </si>
  <si>
    <t>Ngày 16/02/2022</t>
  </si>
  <si>
    <t>mua yến</t>
  </si>
  <si>
    <t>cty cho</t>
  </si>
  <si>
    <t>Tiền tiết kiệm còn lại 16/02/2022</t>
  </si>
  <si>
    <t>Ngày 21/02/2022</t>
  </si>
  <si>
    <t>má cho</t>
  </si>
  <si>
    <t>Công ty</t>
  </si>
  <si>
    <t xml:space="preserve">Tiền của anh </t>
  </si>
  <si>
    <t>Tiền của em</t>
  </si>
  <si>
    <t>Tiền tiết kiệm còn lại 21/02/2022</t>
  </si>
  <si>
    <t>Ngày 22/02/2022</t>
  </si>
  <si>
    <t>Tiền tiết kiệm còn lại 22/02/2022</t>
  </si>
  <si>
    <t>Ngày 23/02/2022</t>
  </si>
  <si>
    <t>Tiền tiết kiệm còn lại 23/02/2022</t>
  </si>
  <si>
    <t>Ngày 24/02/2022</t>
  </si>
  <si>
    <t>Tiền tiết kiệm còn lại 24/02/2022</t>
  </si>
  <si>
    <t>Ngày 25/02/2022</t>
  </si>
  <si>
    <t>lương chồng t2</t>
  </si>
  <si>
    <t>sếp Tưởng cho</t>
  </si>
  <si>
    <t>trả tiền ngân hàng tháng 02/2022</t>
  </si>
  <si>
    <t>Tiền tiết kiệm còn lại 25/02/2022</t>
  </si>
  <si>
    <t>Ngày 05/03/2022</t>
  </si>
  <si>
    <t>Lương kinh doanh</t>
  </si>
  <si>
    <t>hoa hồng</t>
  </si>
  <si>
    <t>Tiền tiết kiệm còn lại 05/03/2022</t>
  </si>
  <si>
    <t>Ngày 10/03/2022</t>
  </si>
  <si>
    <t>Chị ba trả tiền lại</t>
  </si>
  <si>
    <t>Tiền tiêu bệnh viện của anh</t>
  </si>
  <si>
    <t>Tiền lắp RAM cho máy tính</t>
  </si>
  <si>
    <t>Tổng trừ</t>
  </si>
  <si>
    <t>Tiền cộng</t>
  </si>
  <si>
    <t>Bệnh viện vợ</t>
  </si>
  <si>
    <t>Tiền ăn tháng 07</t>
  </si>
  <si>
    <t>Tiền tiết kiệm còn lại 10/03/2022</t>
  </si>
  <si>
    <t>Ngày 11/03/2022</t>
  </si>
  <si>
    <t xml:space="preserve">lương vợ </t>
  </si>
  <si>
    <t>kh cho</t>
  </si>
  <si>
    <t>mua đồ cho con</t>
  </si>
  <si>
    <t>Tiền tiết kiệm còn lại 11/03/2022</t>
  </si>
  <si>
    <t>Ngày 12/03/2022</t>
  </si>
  <si>
    <t>Ngày 14/03/2022</t>
  </si>
  <si>
    <t>chị tuyết cho</t>
  </si>
  <si>
    <t>Tiền massa em</t>
  </si>
  <si>
    <t>Tiền tiết kiệm còn lại 14/03/2022</t>
  </si>
  <si>
    <t>Ngày 15/03/2022</t>
  </si>
  <si>
    <t>tiền khám bệnh</t>
  </si>
  <si>
    <t>Tiền tiết kiệm còn lại 15/03/2022</t>
  </si>
  <si>
    <t>Ngày 17/03/2022</t>
  </si>
  <si>
    <t>Tiền khám bệnh</t>
  </si>
  <si>
    <t>taxi</t>
  </si>
  <si>
    <t>Tiền hh bh</t>
  </si>
  <si>
    <t>Tiền bố cho</t>
  </si>
  <si>
    <t>Tiền tiết kiệm còn lại 17/03/2022</t>
  </si>
  <si>
    <t>Ngày 18/03/2022</t>
  </si>
  <si>
    <t>grap</t>
  </si>
  <si>
    <t>Tiền mua Cân</t>
  </si>
  <si>
    <t>Tiền tiết kiệm còn lại 18/03/2022</t>
  </si>
  <si>
    <t>Ngày 19/03/2022</t>
  </si>
  <si>
    <t>Tiền tiết kiệm còn lại 19/03/2022</t>
  </si>
  <si>
    <t>Ngày 21/03/2022</t>
  </si>
  <si>
    <t>bé thư</t>
  </si>
  <si>
    <t>chị ba</t>
  </si>
  <si>
    <t>thím phước và cô tám</t>
  </si>
  <si>
    <t>Tiền đi mua đồ</t>
  </si>
  <si>
    <t xml:space="preserve">Tiền đầy tháng </t>
  </si>
  <si>
    <t>Tiền yến</t>
  </si>
  <si>
    <t>Tiền tiết kiệm còn lại 21/03/2022</t>
  </si>
  <si>
    <t>Ngày 23/03/2022</t>
  </si>
  <si>
    <t xml:space="preserve">massage </t>
  </si>
  <si>
    <t>Tiền tiết kiệm còn lại 23/03/2022</t>
  </si>
  <si>
    <t>Ngày 25/03/2022</t>
  </si>
  <si>
    <t>tiền đi khám</t>
  </si>
  <si>
    <t>tiền mua đồ ăn</t>
  </si>
  <si>
    <t>tiền khám</t>
  </si>
  <si>
    <t>Tiền tiết kiệm còn lại 25/03/2022</t>
  </si>
  <si>
    <t>Ngày 26/03/2022</t>
  </si>
  <si>
    <t>tiền mừng cưới</t>
  </si>
  <si>
    <t>Tiền tiết kiệm còn lại 26/03/2022</t>
  </si>
  <si>
    <t>Ngày 28/03/2022</t>
  </si>
  <si>
    <t>dì 8 cho</t>
  </si>
  <si>
    <t>Ngày 29/03/2022</t>
  </si>
  <si>
    <t>tắm em</t>
  </si>
  <si>
    <t>Tiền tiết kiệm còn lại 28/03/2022</t>
  </si>
  <si>
    <t>Tiền tiết kiệm còn lại 29/03/2022</t>
  </si>
  <si>
    <t>Ngày 30/03/2022</t>
  </si>
  <si>
    <t>lương ck</t>
  </si>
  <si>
    <t>tạm ứng khám cho con</t>
  </si>
  <si>
    <t>Tiền tiết kiệm còn lại 30/03/2022</t>
  </si>
  <si>
    <t>Ngày 31/03/2022</t>
  </si>
  <si>
    <t>tiền bh</t>
  </si>
  <si>
    <t>tiền taxi</t>
  </si>
  <si>
    <t>tiền mua ốc</t>
  </si>
  <si>
    <t>tiền gốc NH tháng 3</t>
  </si>
  <si>
    <t>tiền tiêu</t>
  </si>
  <si>
    <t>Tiền tiết kiệm còn lại 31/03/2022</t>
  </si>
  <si>
    <t>tiền thưởng</t>
  </si>
  <si>
    <t>Ngày 01/04/2022</t>
  </si>
  <si>
    <t>tiền thưởng 2021</t>
  </si>
  <si>
    <t>tiền ăn T03 thiếu</t>
  </si>
  <si>
    <t>tiền ăn T04</t>
  </si>
  <si>
    <t>Tiền tiết kiệm còn lại 01/04/2022</t>
  </si>
  <si>
    <t>Ngày 02/04/2022</t>
  </si>
  <si>
    <t>tiền tắm con</t>
  </si>
  <si>
    <t>Tiền tiết kiệm còn lại 02/04/2022</t>
  </si>
  <si>
    <t>Ngày 04/04/2022</t>
  </si>
  <si>
    <t>tắm con</t>
  </si>
  <si>
    <t>mua điện thoại</t>
  </si>
  <si>
    <t>Tiền tiết kiệm còn lại 04/04/2022</t>
  </si>
  <si>
    <t>Ngày 05/04/2022</t>
  </si>
  <si>
    <t>Tiền tiết kiệm còn lại 05/04/2022</t>
  </si>
  <si>
    <t>Ngày 07/04/2022</t>
  </si>
  <si>
    <t>hoa hồng hso đất</t>
  </si>
  <si>
    <t>Tiền tiết kiệm còn lại 07/04/2022</t>
  </si>
  <si>
    <t>c thục cho</t>
  </si>
  <si>
    <t>Ngày 08/04/2022</t>
  </si>
  <si>
    <t>HH kinh doanh T01</t>
  </si>
  <si>
    <t>Tiền công chứng sổ hồng</t>
  </si>
  <si>
    <t>Tiền tiết kiệm còn lại 08/04/2022</t>
  </si>
  <si>
    <t>Ngày 09/04/2022</t>
  </si>
  <si>
    <t>cho duong</t>
  </si>
  <si>
    <t>tiền grab cho ba với má qua c3</t>
  </si>
  <si>
    <t>Tiền tiết kiệm còn lại 09/04/2022</t>
  </si>
  <si>
    <t>tiền cho CA</t>
  </si>
  <si>
    <t xml:space="preserve">tiền mua đồ </t>
  </si>
  <si>
    <t>Ngày 12/04/2022</t>
  </si>
  <si>
    <t>Mua men tiêu hóa</t>
  </si>
  <si>
    <t>Chung tiền mua đất với c3</t>
  </si>
  <si>
    <t>Tiền tiết kiệm còn lại 12/04/2022</t>
  </si>
  <si>
    <t>Ngày 14/04/2022</t>
  </si>
  <si>
    <t>khám em</t>
  </si>
  <si>
    <t>tiền dư hoàn trả</t>
  </si>
  <si>
    <t>Tiền tiết kiệm còn lại 14/04/2022</t>
  </si>
  <si>
    <t>Ngày 16/04/2022</t>
  </si>
  <si>
    <t>phí định giá nhà</t>
  </si>
  <si>
    <t>mua thịt nướng ụt ụt</t>
  </si>
  <si>
    <t>Tiền tiết kiệm còn lại 16/04/2022</t>
  </si>
  <si>
    <t>Ngày 17/04/2022</t>
  </si>
  <si>
    <t>cho tiền thẩm định ngân hàng</t>
  </si>
  <si>
    <t>Tiền tiết kiệm còn lại 17/04/2022</t>
  </si>
  <si>
    <t>Ngày 19/04/2022</t>
  </si>
  <si>
    <t>Tiền tiết kiệm còn lại 19/04/2022</t>
  </si>
  <si>
    <t>Ngày 22/04/2022</t>
  </si>
  <si>
    <t>tiền phí thuế</t>
  </si>
  <si>
    <t>Tiền tiết kiệm còn lại 22/04/2022</t>
  </si>
  <si>
    <t>Ngày 24/04/2022</t>
  </si>
  <si>
    <t>mua bình giữ nhiệt</t>
  </si>
  <si>
    <t>Tiền tiết kiệm còn lại 24/04/2022</t>
  </si>
  <si>
    <t>Ngày 27/04/2022</t>
  </si>
  <si>
    <t>mua ti giả + mua nước</t>
  </si>
  <si>
    <t>Tiền tiết kiệm còn lại 27/04/2022</t>
  </si>
  <si>
    <t>Ngày 30/04/2022</t>
  </si>
  <si>
    <t>lương</t>
  </si>
  <si>
    <t>đi chợ + sữa xe</t>
  </si>
  <si>
    <t>tiền ăn âm T04</t>
  </si>
  <si>
    <t>tiền tiêu của  vợ</t>
  </si>
  <si>
    <t>Tiền ăn T05</t>
  </si>
  <si>
    <t>Tiền tiết kiệm còn lại 30/04/2022</t>
  </si>
  <si>
    <t>Ngày 01/05/2022</t>
  </si>
  <si>
    <t>mua bỉm</t>
  </si>
  <si>
    <t>Tiền tiết kiệm còn lại 01/05/2022</t>
  </si>
  <si>
    <t>Ngày 03/05/2022</t>
  </si>
  <si>
    <t>sửa xe</t>
  </si>
  <si>
    <t>mua vé máy bay</t>
  </si>
  <si>
    <t>Tiền tiết kiệm còn lại 03/05/2022</t>
  </si>
  <si>
    <t>Ngày 05/05/2022</t>
  </si>
  <si>
    <t>tiền hh + khách cho</t>
  </si>
  <si>
    <t>tiền biếu sếp</t>
  </si>
  <si>
    <t>Tiền tiết kiệm còn lại 05/05/2022</t>
  </si>
  <si>
    <t>Ngày 06/05/2022</t>
  </si>
  <si>
    <t>quần áo cho con + trái cây+ máy hút bụi</t>
  </si>
  <si>
    <t>Tiền tiết kiệm còn lại 06/05/2022</t>
  </si>
  <si>
    <t>Ngày 09/05/2022</t>
  </si>
  <si>
    <t>anh tỏ cho cu</t>
  </si>
  <si>
    <t>ck cọc chụp hình</t>
  </si>
  <si>
    <t>Tiền tiết kiệm còn lại 09/05/2022</t>
  </si>
  <si>
    <t>Ngày 10/05/2022</t>
  </si>
  <si>
    <t>viếng ba a.trường</t>
  </si>
  <si>
    <t>Tiền tiết kiệm còn lại 10/05/2022</t>
  </si>
  <si>
    <t>Ngày 12./05/2022</t>
  </si>
  <si>
    <t>tiền về quê</t>
  </si>
  <si>
    <t>Tiền tiết kiệm còn lại 12/05/2022</t>
  </si>
  <si>
    <t>Ngày 16/05/2022</t>
  </si>
  <si>
    <t>mua xe đẩy</t>
  </si>
  <si>
    <t>mua nồi cơm</t>
  </si>
  <si>
    <t>Chị hai loan cho</t>
  </si>
  <si>
    <t>Mua vặt</t>
  </si>
  <si>
    <t>Chuyển tiền chị ba</t>
  </si>
  <si>
    <t>Tiền tiết kiệm còn lại 16/05/2022</t>
  </si>
  <si>
    <t>Ngày 17/05/2022</t>
  </si>
  <si>
    <t>Tiền tiết kiệm còn lại 17/05/2022</t>
  </si>
  <si>
    <t>V/C Big</t>
  </si>
  <si>
    <t>số tiền vay tổng</t>
  </si>
  <si>
    <t>kỳ</t>
  </si>
  <si>
    <t>Ngày thanh toán</t>
  </si>
  <si>
    <t>Số ngày tính lãi</t>
  </si>
  <si>
    <t>Dư nợ đầu kỳ</t>
  </si>
  <si>
    <t>Dư nợ cuối kỳ</t>
  </si>
  <si>
    <t>Trả gốc</t>
  </si>
  <si>
    <t>Trả lãi</t>
  </si>
  <si>
    <t>Tổng thanh toán</t>
  </si>
  <si>
    <t>Số tiền Gốc VC trả</t>
  </si>
  <si>
    <t>Số tiền lãi VC trả</t>
  </si>
  <si>
    <t>Của chị ba</t>
  </si>
  <si>
    <t>số tiền vay VC</t>
  </si>
  <si>
    <t>Số tiền chị ba</t>
  </si>
  <si>
    <t xml:space="preserve">lãi suất </t>
  </si>
  <si>
    <t>lãi suất VC</t>
  </si>
  <si>
    <t>Lãi suất sau vay</t>
  </si>
  <si>
    <t>Thời gian vay</t>
  </si>
  <si>
    <t>Thời gian ưu đãi</t>
  </si>
  <si>
    <t>Ngày vay</t>
  </si>
  <si>
    <t>tháng hết ưu đãi</t>
  </si>
  <si>
    <t>mua khẩu trang</t>
  </si>
  <si>
    <t>Ngày 20/05/2022</t>
  </si>
  <si>
    <t>lương KD T03</t>
  </si>
  <si>
    <t>Tiền tiết kiệm còn lại 20/05/2022</t>
  </si>
  <si>
    <t>mua hào + ăn sáng + linh tinh</t>
  </si>
  <si>
    <t>Ngày 23/05/2022</t>
  </si>
  <si>
    <t>Chụp hình</t>
  </si>
  <si>
    <t>mua bỉm + linh tinh cho pepsi</t>
  </si>
  <si>
    <t>Tiền tiết kiệm còn lại 23/05/2022</t>
  </si>
  <si>
    <t>Ngày 24/05/2022</t>
  </si>
  <si>
    <t>tiền nhậu</t>
  </si>
  <si>
    <t>phụ thu nâng sz ảnh</t>
  </si>
  <si>
    <t>tiền lấy giấy khai sinh</t>
  </si>
  <si>
    <t>mua trái cây</t>
  </si>
  <si>
    <t>Tiền tiết kiệm còn lại 24/05/2022</t>
  </si>
  <si>
    <t>Ngày 25/05/2022</t>
  </si>
  <si>
    <t>tiền khám + thuốc + tiêm</t>
  </si>
  <si>
    <t>mua bình cho con</t>
  </si>
  <si>
    <t>Ngày 26/05/2022</t>
  </si>
  <si>
    <t>mua máy hâm sữa + đun nước</t>
  </si>
  <si>
    <t>Tiền tiết kiệm còn lại 25/05/2022</t>
  </si>
  <si>
    <t>Tiền tiết kiệm còn lại 26/05/2022</t>
  </si>
  <si>
    <t>Ngày 29/05/2022</t>
  </si>
  <si>
    <t>chị 2 loan cho</t>
  </si>
  <si>
    <t>Tiền tiết kiệm còn lại 29/05/2022</t>
  </si>
  <si>
    <t>Ngày 30/05/2022</t>
  </si>
  <si>
    <t>tiền ăn T05 âm</t>
  </si>
  <si>
    <t>tiền tiêu của vợ T06</t>
  </si>
  <si>
    <t>Tiền tiết kiệm còn lại 30/05/2022</t>
  </si>
  <si>
    <t>Tiền ăn T06</t>
  </si>
  <si>
    <t>tiền lương T05</t>
  </si>
  <si>
    <t>Ngày 31/05/2022</t>
  </si>
  <si>
    <t>tiền thưởng bh+nv xuất sắc+kh cho</t>
  </si>
  <si>
    <t>Tiền tiết kiệm còn lại 31/05/2022</t>
  </si>
  <si>
    <t>Ngày 01/06/2022</t>
  </si>
  <si>
    <t>khách hàng cho</t>
  </si>
  <si>
    <t>mua đồ cho bà + pepsi</t>
  </si>
  <si>
    <t>ăn tối</t>
  </si>
  <si>
    <t>ông nội cho pepsi 1/6</t>
  </si>
  <si>
    <t>Tiền tiết kiệm còn lại 01/06/2022</t>
  </si>
  <si>
    <t>Ngày 02/06/2022</t>
  </si>
  <si>
    <t>Tiền tiết kiệm còn lại 02/06/2022</t>
  </si>
  <si>
    <t>Ngày 03/06/2022</t>
  </si>
  <si>
    <t>ông ngoại cho pepsi 1/6</t>
  </si>
  <si>
    <t>tiền hoa hồng BH xe</t>
  </si>
  <si>
    <t>gửi bố tiền bốc mộ ở quê</t>
  </si>
  <si>
    <t>Tiền tiết kiệm còn lại 03/06/2022</t>
  </si>
  <si>
    <t>mua thanh chắn giường+ dù che mưa</t>
  </si>
  <si>
    <t>Ngày 12/06/2022</t>
  </si>
  <si>
    <t>ăn gogi với nhà c3</t>
  </si>
  <si>
    <t>bánh xèo+nước bhx</t>
  </si>
  <si>
    <t>tiền thưởng bán bh</t>
  </si>
  <si>
    <t>Tiền tiết kiệm còn lại 12/06/2022</t>
  </si>
  <si>
    <t>Ngày 15/06/2022</t>
  </si>
  <si>
    <t>ông nọi cho pepsi</t>
  </si>
  <si>
    <t>lương kd T04</t>
  </si>
  <si>
    <t>Tiền tiết kiệm còn lại 15/06/2022</t>
  </si>
  <si>
    <t>Ngày 16/06/2022</t>
  </si>
  <si>
    <t>mua canxi</t>
  </si>
  <si>
    <t>Tiền tiết kiệm còn lại 16/06/2022</t>
  </si>
  <si>
    <t>Ngày 22/06/2022</t>
  </si>
  <si>
    <t>Tiền mua chiếu</t>
  </si>
  <si>
    <t>Tiền ba lý</t>
  </si>
  <si>
    <t xml:space="preserve">Tiền ngân hàng 01 </t>
  </si>
  <si>
    <t>Tiền đám cưới</t>
  </si>
  <si>
    <t>0421000540108</t>
  </si>
  <si>
    <t>Tiền tiết kiệm còn lại 22/06/2022</t>
  </si>
  <si>
    <t>Ngày 25/06/2022</t>
  </si>
  <si>
    <t>C3 mượn tiền đóng tiền NH</t>
  </si>
  <si>
    <t xml:space="preserve">tiền taxi đi khám </t>
  </si>
  <si>
    <t>tiền grab đi nhậu</t>
  </si>
  <si>
    <t>tiền tiêm</t>
  </si>
  <si>
    <t>tiền hoa hồng bán bh +hh gthieu xe</t>
  </si>
  <si>
    <t>Mua đồ cho mây</t>
  </si>
  <si>
    <t>Tiền tiết kiệm còn lại 25/06/2022</t>
  </si>
  <si>
    <t>mua đồ chơi cho pepsi</t>
  </si>
  <si>
    <t>Ngày 28/06/2022</t>
  </si>
  <si>
    <t>tiền taxi qua nhà c3</t>
  </si>
  <si>
    <t>tiền thăm hỏi bệnh chú toàn và cu phúc</t>
  </si>
  <si>
    <t>tiền mua sữa cho pepsi</t>
  </si>
  <si>
    <t>Ông ngoại cho pepsi</t>
  </si>
  <si>
    <t>Tiền tiết kiệm còn lại 29/06/2022</t>
  </si>
  <si>
    <t>Ngày 30/06/2022</t>
  </si>
  <si>
    <t>tiền lương ck</t>
  </si>
  <si>
    <t>tiền tiêu T07 của vk</t>
  </si>
  <si>
    <t>cho c3 mượn</t>
  </si>
  <si>
    <t>Tiền tiết kiệm còn lại 30/06/2022</t>
  </si>
  <si>
    <t>tiền ăn T06 bị âm</t>
  </si>
  <si>
    <t>Ngày 01/07/2022</t>
  </si>
  <si>
    <t>cho bố mượn 8tr</t>
  </si>
  <si>
    <t>Tiền tiết kiệm còn lại 01/07/2022</t>
  </si>
  <si>
    <t>Ngày 03/07/2022</t>
  </si>
  <si>
    <t>tiền taxi đi aoen</t>
  </si>
  <si>
    <t>tiền ăn hutong</t>
  </si>
  <si>
    <t>mua đồ uniqlo</t>
  </si>
  <si>
    <t>Ngày 05/07/2022</t>
  </si>
  <si>
    <t>Mừng đám cưới Quỳnh</t>
  </si>
  <si>
    <t>Mua bỉm+D3</t>
  </si>
  <si>
    <t>Tái tục BH+KH cho</t>
  </si>
  <si>
    <t>Tiền tiết kiệm còn lại 05/07/2022</t>
  </si>
  <si>
    <t>Ngày 07/07/2022</t>
  </si>
  <si>
    <t>Mua đồ chơi tặng SN Khôi</t>
  </si>
  <si>
    <t>Mẹ A.Win cho pepsi</t>
  </si>
  <si>
    <t>KH cho</t>
  </si>
  <si>
    <t>Tiền tiết kiệm còn lại 07/07/2022</t>
  </si>
  <si>
    <t>Ngày 08/07/2022</t>
  </si>
  <si>
    <t>Mừng nhà mới c3</t>
  </si>
  <si>
    <t>KH cho+tiền BH</t>
  </si>
  <si>
    <t>Tiền tiết kiệm còn lại 08/07/2022</t>
  </si>
  <si>
    <t>Ngày 10/07/2022</t>
  </si>
  <si>
    <t>bắt xe cho mẹ về</t>
  </si>
  <si>
    <t>taxi từ c3 về</t>
  </si>
  <si>
    <t>ăn trưa tokyo</t>
  </si>
  <si>
    <t>Áo gia đình đi chơi</t>
  </si>
  <si>
    <t>Tài hh giữ lại quý 1 + KH cho</t>
  </si>
  <si>
    <t>Tiền tiết kiệm còn lại 10/07/2022</t>
  </si>
  <si>
    <t>Ngày 12/07/2022</t>
  </si>
  <si>
    <t>Tiền ăn T07</t>
  </si>
  <si>
    <t>Mua vitamin cho vợ</t>
  </si>
  <si>
    <t>Mua đồ đi chơi cho bà</t>
  </si>
  <si>
    <t>Tiền tiết kiệm còn lại 12/07/2022</t>
  </si>
  <si>
    <t>Ngày 13/07/2022</t>
  </si>
  <si>
    <t>Mua đồ cho ba</t>
  </si>
  <si>
    <t>Mua bỉm+tấm lót</t>
  </si>
  <si>
    <t>Mừng 3 đám cưới</t>
  </si>
  <si>
    <t>Tiền tiết kiệm còn lại 13/07/2022</t>
  </si>
  <si>
    <t>Lương KD T05</t>
  </si>
  <si>
    <t>Ngày 18/07/2022</t>
  </si>
  <si>
    <t>Tiền taxi</t>
  </si>
  <si>
    <t>Ông nội cho pepsi</t>
  </si>
  <si>
    <t>Cả nhà đi chơi</t>
  </si>
  <si>
    <t>Tiền tiết kiệm còn lại 18/07/2022</t>
  </si>
  <si>
    <t>Mua giấy + bình sữa cho pepsi</t>
  </si>
  <si>
    <t>Ông nội cho lại tiền đi chơi</t>
  </si>
  <si>
    <t>Ngày 19/07/2022</t>
  </si>
  <si>
    <t>Tiền tiết kiệm còn lại 19/07/2022</t>
  </si>
  <si>
    <t>Ngày 20/07/2022</t>
  </si>
  <si>
    <t>mua vàng tặng sn Mây</t>
  </si>
  <si>
    <t>Tiền tiết kiệm còn lại 20/07/2022</t>
  </si>
  <si>
    <t>Tiền ngân hàng tháng thứ 2</t>
  </si>
  <si>
    <t>Ngày 22/07/2022</t>
  </si>
  <si>
    <t>Tiền taxi qua c3</t>
  </si>
  <si>
    <t>Mua áo thhun cho big</t>
  </si>
  <si>
    <t>Tiền tiết kiệm còn lại 23/07/2022</t>
  </si>
  <si>
    <t>Ngày 25/07/2022</t>
  </si>
  <si>
    <t>KH cho + tiền thưởng nv xuất sắc</t>
  </si>
  <si>
    <t>Tiền thai sản 50% của vợ</t>
  </si>
  <si>
    <t>Tiền tiết kiệm còn lại 25/07/2022</t>
  </si>
  <si>
    <t>Ngày 26/07/2022</t>
  </si>
  <si>
    <t>Mua vàng SJC 1 chỉ</t>
  </si>
  <si>
    <t>mua nước giặt cho pepsi</t>
  </si>
  <si>
    <t>Tiền tiết kiệm còn lại 26/07/2022</t>
  </si>
  <si>
    <t>Ngày 28/07/2022</t>
  </si>
  <si>
    <t>Tiền tiết kiệm còn lại 28/07/2022</t>
  </si>
  <si>
    <t>Mua quần áo cho Mây + pepsi</t>
  </si>
  <si>
    <t>Ngày 31/07/2022</t>
  </si>
  <si>
    <t>Tiền lương T07</t>
  </si>
  <si>
    <t>tiền ăn âm T07</t>
  </si>
  <si>
    <t>Tiền ăn T08</t>
  </si>
  <si>
    <t>Mua dung dịch tẩy rửa</t>
  </si>
  <si>
    <t>tiền tiêu vợ t08</t>
  </si>
  <si>
    <t>Tiền tiết kiệm còn lại 31/07/2022</t>
  </si>
  <si>
    <t>Ngày 02/08/2022</t>
  </si>
  <si>
    <t>Mua võng cho pepsi</t>
  </si>
  <si>
    <t>Mua quà sn tặng c3</t>
  </si>
  <si>
    <t>Tiền tiết kiệm còn lại 02/08/2022</t>
  </si>
  <si>
    <t>Ngày 03/08/2022</t>
  </si>
  <si>
    <t>Tiền tiết kiệm còn lại 03/08/2022</t>
  </si>
  <si>
    <t>Ngày 05/08/2022</t>
  </si>
  <si>
    <t>Hoa hồng BH T05</t>
  </si>
  <si>
    <t>Tiền tiết kiệm còn lại 05/08/2022</t>
  </si>
  <si>
    <t>Tiền mua trái cây giỗ</t>
  </si>
  <si>
    <t>Ngày 07/08/2022</t>
  </si>
  <si>
    <t>tiền taxi đi chơi</t>
  </si>
  <si>
    <t>mua quần áo</t>
  </si>
  <si>
    <t>mua nước uống</t>
  </si>
  <si>
    <t>mua son môi</t>
  </si>
  <si>
    <t>ăn lẩu haidilao</t>
  </si>
  <si>
    <t>Tiền mừng cưới Giang</t>
  </si>
  <si>
    <t>Tiền tiết kiệm còn lại 07/08/2022</t>
  </si>
  <si>
    <t>Ngày 10/08/2022</t>
  </si>
  <si>
    <t>Tiền tiết kiệm còn lại 10/08/2022</t>
  </si>
  <si>
    <t>Mua sữa cho pepsi</t>
  </si>
  <si>
    <t>Ngày 13/08/2022</t>
  </si>
  <si>
    <t>ông nội cho</t>
  </si>
  <si>
    <t>Tiền tiết kiệm còn lại 13/08/2022</t>
  </si>
  <si>
    <t>Ngày 14/08/2022</t>
  </si>
  <si>
    <t>Tiền ăn hutong</t>
  </si>
  <si>
    <t>Tiền tiết kiệm còn lại 14/08/2022</t>
  </si>
  <si>
    <t>Ngày 15/08/2022</t>
  </si>
  <si>
    <t>Tiền tiết kiệm còn lại 15/08/2022</t>
  </si>
  <si>
    <t>Ngày 18/08/2022</t>
  </si>
  <si>
    <t>Tiền tiết kiệm còn lại 18/08/2022</t>
  </si>
  <si>
    <t>Ngày 21/08/2022</t>
  </si>
  <si>
    <t>Dì 7 cho Pepsi</t>
  </si>
  <si>
    <t>Mua vali</t>
  </si>
  <si>
    <t>Tiền café+A hải mượn</t>
  </si>
  <si>
    <t>Tiền tiết kiệm còn lại 21/08/2022</t>
  </si>
  <si>
    <t>Ngày 23/08/2022</t>
  </si>
  <si>
    <t>Tiền lương KD T06</t>
  </si>
  <si>
    <t>tiền taxi khám con</t>
  </si>
  <si>
    <t>Tiền khám</t>
  </si>
  <si>
    <t>bột ăn dặm cho pepsi</t>
  </si>
  <si>
    <t>bỉm</t>
  </si>
  <si>
    <t>Tiền ngân hàng tháng thứ 3</t>
  </si>
  <si>
    <t>Tiền tiết kiệm còn lại 23/08/2022</t>
  </si>
  <si>
    <t xml:space="preserve">Mua đồ ZaRa </t>
  </si>
  <si>
    <t>đi nhậu + mừng thôi nôi con A.Thanh</t>
  </si>
  <si>
    <t>mua dạ hương</t>
  </si>
  <si>
    <t>Mua vitamin cho pepsi</t>
  </si>
  <si>
    <t>Ngày 27/08/2022</t>
  </si>
  <si>
    <t>Ngày 29/08/2022</t>
  </si>
  <si>
    <t>Tiền tiết kiệm còn lại 27/08/2022</t>
  </si>
  <si>
    <t>Tiền tiết kiệm còn lại 29/08/2022</t>
  </si>
  <si>
    <t>Ngày 30/08/2022</t>
  </si>
  <si>
    <t>Lương ck T08</t>
  </si>
  <si>
    <t>Tiền tiết kiệm còn lại 30/08/2022</t>
  </si>
  <si>
    <t>Ngày 31/08/2022</t>
  </si>
  <si>
    <t>Cty cho lễ 2/9</t>
  </si>
  <si>
    <t>Hoa hồng BH T06</t>
  </si>
  <si>
    <t>tiền ăn T08 còn dư</t>
  </si>
  <si>
    <t>tiền ăn T09</t>
  </si>
  <si>
    <t>Tiền tiêu vợ t09</t>
  </si>
  <si>
    <t>Tiền tiết kiệm còn lại 31/08/2022</t>
  </si>
  <si>
    <t>Ngày 01/09/2022</t>
  </si>
  <si>
    <t>Tiền taxi đi aeon</t>
  </si>
  <si>
    <t>tiền ăn+ mua đồ tại aeon</t>
  </si>
  <si>
    <t>Tiền tiết kiệm còn lại 01/09/2022</t>
  </si>
  <si>
    <t>Ngày 03/09/2022</t>
  </si>
  <si>
    <t>Mua bếp nướng + bếp điện</t>
  </si>
  <si>
    <t>Cho ông nội 500k</t>
  </si>
  <si>
    <t>Tiền tiết kiệm còn lại 03/09/2022</t>
  </si>
  <si>
    <t>Ngày 05/09/2022</t>
  </si>
  <si>
    <t>Ngày 06/09/2022</t>
  </si>
  <si>
    <t>Tiền tiết kiệm còn lại 05/09/2022</t>
  </si>
  <si>
    <t>Ngày 07/09/2022</t>
  </si>
  <si>
    <t>Ông ngoại cho Pepsi</t>
  </si>
  <si>
    <t xml:space="preserve">Mua vàng </t>
  </si>
  <si>
    <t>Tiền tiết kiệm còn lại 07/09/2022</t>
  </si>
  <si>
    <t>Tên vàng/Thương hiệu</t>
  </si>
  <si>
    <t>SL chỉ vàng</t>
  </si>
  <si>
    <t>Tiền mua</t>
  </si>
  <si>
    <t>Tiền bán</t>
  </si>
  <si>
    <t>Lời/Lỗ</t>
  </si>
  <si>
    <t>Vàng Doji</t>
  </si>
  <si>
    <t>Vàng má cho</t>
  </si>
  <si>
    <t>BẢNG THEO DÕI VÀNG</t>
  </si>
  <si>
    <t>Tổng SL vàng</t>
  </si>
  <si>
    <t>Ngày 08/09/2022</t>
  </si>
  <si>
    <t>Oong nội cho pepsi</t>
  </si>
  <si>
    <t>Má mượn 30tr</t>
  </si>
  <si>
    <t>Tiền tiết kiệm còn lại 08/09/2022</t>
  </si>
  <si>
    <t>Ngày 10/09/2022</t>
  </si>
  <si>
    <t>taxi đi tiêm cho Pepsi</t>
  </si>
  <si>
    <t>Tiền tiết kiệm còn lại 10/09/2022</t>
  </si>
  <si>
    <t>Ngày 11/09/2022</t>
  </si>
  <si>
    <t>tiền ăn tối</t>
  </si>
  <si>
    <t>Tiền tiết kiệm còn lại 11/09/2022</t>
  </si>
  <si>
    <t>Mua đồ cho pepsi</t>
  </si>
  <si>
    <t>Ngày 13/09/2022</t>
  </si>
  <si>
    <t>Tiền tiết kiệm còn lại 13/09/2022</t>
  </si>
  <si>
    <t>Ngày 15/09/2022</t>
  </si>
  <si>
    <t>Tiền tiết kiệm còn lại 15/09/2022</t>
  </si>
  <si>
    <t>nhuộm tóc bà ngoại + cho bà cố 500k</t>
  </si>
  <si>
    <t>Ngày 19/09/2022</t>
  </si>
  <si>
    <t>Tiền vận chuyển hàng từ ba lan về VN</t>
  </si>
  <si>
    <t>Tiền tiết kiệm còn lại 19/09/2022</t>
  </si>
  <si>
    <t>Ngày 20/09/2022</t>
  </si>
  <si>
    <t>Tiền tiết kiệm còn lại 20/09/2022</t>
  </si>
  <si>
    <t>Tiền vận chuyển hàng từ Anh về VN</t>
  </si>
  <si>
    <t>Ngày 22/09/2022</t>
  </si>
  <si>
    <t>tiền ngân hàng tháng 09/2022</t>
  </si>
  <si>
    <t>Lương kinh doanh T07</t>
  </si>
  <si>
    <t>Hoa hồng BH giữ lại</t>
  </si>
  <si>
    <t>Ngày 24/09/2022</t>
  </si>
  <si>
    <t>chích ngừa</t>
  </si>
  <si>
    <t>Ông nội cho Pepsi</t>
  </si>
  <si>
    <t>đi ăn tối</t>
  </si>
  <si>
    <t>Mua dthoai</t>
  </si>
  <si>
    <t>Cốc + ốp +cường lực</t>
  </si>
  <si>
    <t>Tiền tiết kiệm còn lại 24/09/2022</t>
  </si>
  <si>
    <t>Ngày 27/09/2022</t>
  </si>
  <si>
    <t>Taxi</t>
  </si>
  <si>
    <t>tiền khám+thuốc</t>
  </si>
  <si>
    <t>Tiền tiết kiệm còn lại 27/09/2022</t>
  </si>
  <si>
    <t>Ngày 28/09/2022</t>
  </si>
  <si>
    <t>Tiên sữa cho pepsi</t>
  </si>
  <si>
    <t>vc c3 mừng sn</t>
  </si>
  <si>
    <t>ông ngoại mừng sn</t>
  </si>
  <si>
    <t>Tiền tiết kiệm còn lại 28/09/2022</t>
  </si>
  <si>
    <t>vc a4 mừng sn</t>
  </si>
  <si>
    <t>ba má mưng sn</t>
  </si>
  <si>
    <t>Ngày 29/09/2022</t>
  </si>
  <si>
    <t>Tiền lương T09</t>
  </si>
  <si>
    <t>Tiền tiêu vợ T09</t>
  </si>
  <si>
    <t>tiền ăn âm T09</t>
  </si>
  <si>
    <t>Tiền ăn T10</t>
  </si>
  <si>
    <t>Tiền tiết kiệm còn lại 29/09/2022</t>
  </si>
  <si>
    <t>Ngày 01/10/2022</t>
  </si>
  <si>
    <t>tiền bảo hiểm</t>
  </si>
  <si>
    <t>Tiền tiết kiệm còn lại 01/10/2022</t>
  </si>
  <si>
    <t>Ngày 03/10/2022</t>
  </si>
  <si>
    <t>sủa bồn rửa chén</t>
  </si>
  <si>
    <t>Tiền tiết kiệm còn lại 03/10/2022</t>
  </si>
  <si>
    <t>Ngày 04/10/2022</t>
  </si>
  <si>
    <t>KH cho + tiền thưởng nv xs</t>
  </si>
  <si>
    <t>mua quà sn cho khang</t>
  </si>
  <si>
    <t>Tiền tiết kiệm còn lại 04/10/2022</t>
  </si>
  <si>
    <t>Ngày 06/10/2022</t>
  </si>
  <si>
    <t>Kh cho</t>
  </si>
  <si>
    <t>Tiền tiết kiệm còn lại 06/10/2022</t>
  </si>
  <si>
    <t>Ngày 08/10/2022</t>
  </si>
  <si>
    <t>Mừng sn bà ngoại</t>
  </si>
  <si>
    <t>tiêm phòng cho pepsi</t>
  </si>
  <si>
    <t>ông nội cho pepsi</t>
  </si>
  <si>
    <t>c3 trả tiền NH T09</t>
  </si>
  <si>
    <t>Tiền tiết kiệm còn lại 08/10/2022</t>
  </si>
  <si>
    <t>Ngày 09/10/2022</t>
  </si>
  <si>
    <t>Mua đồ Mango  về bán</t>
  </si>
  <si>
    <t>Tiền bán đồ hoàn lại</t>
  </si>
  <si>
    <t>Ngày 10/10/2022</t>
  </si>
  <si>
    <t>Mua bỉm + dụng cụ ăn dặm</t>
  </si>
  <si>
    <t>Tiền tiết kiệm còn lại 10/10/2022</t>
  </si>
  <si>
    <t>Ngày 12/10/2022</t>
  </si>
  <si>
    <t>Mua đồ Zara về bán</t>
  </si>
  <si>
    <t>Mua đồ H&amp;M về bán</t>
  </si>
  <si>
    <t>Tiền tiết kiệm còn lại 12/10/2022</t>
  </si>
  <si>
    <t>Ngày 14/10/2022</t>
  </si>
  <si>
    <t>Tiền tiết kiệm còn lại 14/10/2022</t>
  </si>
  <si>
    <t>Ngày 16/10/2022</t>
  </si>
  <si>
    <t>Tiền ăn trưa + tối</t>
  </si>
  <si>
    <t>Tiền tiết kiệm còn lại 16/10/2022</t>
  </si>
  <si>
    <t>Ngày 19/10/2022</t>
  </si>
  <si>
    <t>tiền taxi đi khám</t>
  </si>
  <si>
    <t>bắt xe cho mẹ qua</t>
  </si>
  <si>
    <t>Mua bình đựng sữa cho pepsi</t>
  </si>
  <si>
    <t>Ngày 20/10/2022</t>
  </si>
  <si>
    <t>Sửa máy giặt</t>
  </si>
  <si>
    <t>Tiền giỗ bà ngoại + tiền mừng 20-10 cho 2 bà</t>
  </si>
  <si>
    <t>Tiền tiết kiệm còn lại 19/10/2022</t>
  </si>
  <si>
    <t>Tiền VC hàng UK H&amp;M về VN</t>
  </si>
  <si>
    <t>Mua máy giặt</t>
  </si>
  <si>
    <t>Tiền tiết kiệm còn lại 20/10/2022</t>
  </si>
  <si>
    <t>Ngày 22/10/2022</t>
  </si>
  <si>
    <t xml:space="preserve">KH cho </t>
  </si>
  <si>
    <t>Bắt xe cho bà về</t>
  </si>
  <si>
    <t>mua núm ty+vitamin cho pepsi</t>
  </si>
  <si>
    <t>Mua đồ adiddas cho khách</t>
  </si>
  <si>
    <t>Mua đồ next</t>
  </si>
  <si>
    <t>Tiền tiết kiệm còn lại 22/10/2022</t>
  </si>
  <si>
    <t>Ngày 24/10/2022</t>
  </si>
  <si>
    <t>tiền đăng bafii 3 tháng</t>
  </si>
  <si>
    <t>Tiền tiết kiệm còn lại 24/10/2022</t>
  </si>
  <si>
    <t>Ngày 25/10/2022</t>
  </si>
  <si>
    <t>HH bảo hiểm T08</t>
  </si>
  <si>
    <t>tiền ngân hàng tháng 10/2022</t>
  </si>
  <si>
    <t>Tiền tiết kiệm còn lại 25/10/2022</t>
  </si>
  <si>
    <t>Ngày 27/10/2022</t>
  </si>
  <si>
    <t>Mua nước rửa binh cho pepsi</t>
  </si>
  <si>
    <t>Tiền tiết kiệm còn lại 27/10/2022</t>
  </si>
  <si>
    <t>Ngày 30/10/2022</t>
  </si>
  <si>
    <t>Lương T10</t>
  </si>
  <si>
    <t>mua sữa cho pepsi</t>
  </si>
  <si>
    <t>Mua cối xay cho pepsi</t>
  </si>
  <si>
    <t>Tiền ăn T10 âm</t>
  </si>
  <si>
    <t>Tiền tiêu T11 của vợ</t>
  </si>
  <si>
    <t>Tiền ăn T11</t>
  </si>
  <si>
    <t>Tiền cân hàng adidas</t>
  </si>
  <si>
    <t>Tiền tiết kiệm còn lại 30/10/2022</t>
  </si>
  <si>
    <t>Ngày 02/11/2022</t>
  </si>
  <si>
    <t>Kh cho ngày 1+2/11 cộng dồn</t>
  </si>
  <si>
    <t>Lương KD T08 + thưởng BH 1tr</t>
  </si>
  <si>
    <t>bình sữa cho pepsi</t>
  </si>
  <si>
    <t>Tiền tiết kiệm còn lại 02/11/2022</t>
  </si>
  <si>
    <t>Ngày 03/11/2022</t>
  </si>
  <si>
    <t>Tiền hàng next</t>
  </si>
  <si>
    <t>Tiền cân hàng ba lan + tbn</t>
  </si>
  <si>
    <t>Tiền tiết kiệm còn lại 03/11/2022</t>
  </si>
  <si>
    <t>Ngày 04/11/2022</t>
  </si>
  <si>
    <t>Tiền tiết kiệm còn lại 04/11/2022</t>
  </si>
  <si>
    <t>Ngày 08/11/2022</t>
  </si>
  <si>
    <t>Tiền tiêm</t>
  </si>
  <si>
    <t>Thưởng BH</t>
  </si>
  <si>
    <t>Mừng sn má</t>
  </si>
  <si>
    <t>Tiền tiết kiệm còn lại 10/11/2022</t>
  </si>
  <si>
    <t>Ngày 11/11/2022</t>
  </si>
  <si>
    <t>KH cho + Thưởng</t>
  </si>
  <si>
    <t>Tiền taxi đi SN má + Tiền ăn</t>
  </si>
  <si>
    <t>Tiền mua đồ Zara</t>
  </si>
  <si>
    <t>Tiền mua đồ H&amp;M</t>
  </si>
  <si>
    <t>Tiền ngân hàng T11 chuyển vô vietcom</t>
  </si>
  <si>
    <t>Gốc còn lại
chị ba</t>
  </si>
  <si>
    <t>Ngày 13/11/2022</t>
  </si>
  <si>
    <t>Tiền vsinh máy lạnh</t>
  </si>
  <si>
    <t>Tiền tiết kiệm còn lại 13/11/2022</t>
  </si>
  <si>
    <t>Ngày 15/11/2022</t>
  </si>
  <si>
    <t>Tiền tiết kiệm còn lại 15/11/2022</t>
  </si>
  <si>
    <t>Ngày 20/11/2022</t>
  </si>
  <si>
    <t>Tiền mua nhẫn cho ck</t>
  </si>
  <si>
    <t>Mừng sn a4</t>
  </si>
  <si>
    <t>Tiền tiết kiệm còn lại 20/11/2022</t>
  </si>
  <si>
    <t>Tiền cân đồ next</t>
  </si>
  <si>
    <t>Ngày 22/11/2022</t>
  </si>
  <si>
    <t>Tiền tiết kiệm còn lại 22/11/2022</t>
  </si>
  <si>
    <t>Hoa hồng BH T09</t>
  </si>
  <si>
    <t>Ngày 24/11/2022</t>
  </si>
  <si>
    <t>Mua khẩu trang + xịt mũi cho pepsi</t>
  </si>
  <si>
    <t>Mua đồ tết cho pepsi</t>
  </si>
  <si>
    <t>Mua đồ gia vị + sữa chua cho pepsi</t>
  </si>
  <si>
    <t>Mua đồ rửa bình + bỉm+ nồi cho pepsi</t>
  </si>
  <si>
    <t>Tiền tiết kiệm còn lại 24/11/2022</t>
  </si>
  <si>
    <t>Ngày 27/11/2022</t>
  </si>
  <si>
    <t>Tiền taxi đi aoen</t>
  </si>
  <si>
    <t>Mua đồ cho chip</t>
  </si>
  <si>
    <t>Tiền mua đồ lefties 25/11</t>
  </si>
  <si>
    <t>Tiền mua đồ Zara 25/11</t>
  </si>
  <si>
    <t>Tiền cân hàng zara</t>
  </si>
  <si>
    <t>Tiền tiết kiệm còn lại 29/11/2022</t>
  </si>
  <si>
    <t>Mua đồ zara đợt 2 sau 25/11</t>
  </si>
  <si>
    <t>Ngày 28/11/2022</t>
  </si>
  <si>
    <t>Mua lắc bạc cho pepsi</t>
  </si>
  <si>
    <t>Nhổ răng</t>
  </si>
  <si>
    <t>Tiền ngân hàng T11/2022</t>
  </si>
  <si>
    <t>Tiền lương T11</t>
  </si>
  <si>
    <t>Ông ngoại mượn 10tr</t>
  </si>
  <si>
    <t>Ngày 30/11/2022</t>
  </si>
  <si>
    <t>Tiền taxi đi tiêm</t>
  </si>
  <si>
    <t>Tiền ăn âm T11</t>
  </si>
  <si>
    <t>Tiền ăn T12</t>
  </si>
  <si>
    <t>Tiền tiêu T12 của vợ</t>
  </si>
  <si>
    <t>Mừng SN A.Hải</t>
  </si>
  <si>
    <t>Tiền mua đồ next cho pepsi và khách</t>
  </si>
  <si>
    <t>Lương KD T09</t>
  </si>
  <si>
    <t>HH BH xe T09</t>
  </si>
  <si>
    <t>Tiền tiết kiệm còn lại 30/11/2022</t>
  </si>
  <si>
    <t>Ngày 04/12/2022</t>
  </si>
  <si>
    <t>Tiền mua đồ pepsi</t>
  </si>
  <si>
    <t>Nộp tiền quỹ</t>
  </si>
  <si>
    <t>Tiền cân đồ h&amp;m</t>
  </si>
  <si>
    <t>Tiền tiết kiệm còn lại 04/12/2022</t>
  </si>
  <si>
    <t>Ngày 05/12/2022</t>
  </si>
  <si>
    <t>Đi khám bệnh</t>
  </si>
  <si>
    <t>Tiền cân đồ next mua cho pepsi</t>
  </si>
  <si>
    <t>Tiền tiết kiệm còn lại 05/12/2022</t>
  </si>
  <si>
    <t>Ngày 06/12/2022</t>
  </si>
  <si>
    <t>Bắt taxi cho ba nội</t>
  </si>
  <si>
    <t>Tiền tiết kiệm còn lại 06/12/2022</t>
  </si>
  <si>
    <t>Ngày 07/12/2022</t>
  </si>
  <si>
    <t>Tiền taxi đi ăn</t>
  </si>
  <si>
    <t>Tiền tiết kiệm còn lại 07/12/2022</t>
  </si>
  <si>
    <t>Tiền ăn Yên sushi</t>
  </si>
  <si>
    <t>Ngày 08/12/2022</t>
  </si>
  <si>
    <t>Mua đồ đi chơi thảo cầm viên</t>
  </si>
  <si>
    <t>Mua núm ty hegen cho pepsi</t>
  </si>
  <si>
    <t>Mua liệu trình masa</t>
  </si>
  <si>
    <t>Tiền tiết kiệm còn lại 08/12/2022</t>
  </si>
  <si>
    <t>Ngày 10/12/2022</t>
  </si>
  <si>
    <t>Tiền grab</t>
  </si>
  <si>
    <t>Mua giày cho ba</t>
  </si>
  <si>
    <t>Tiền tiết kiệm còn lại 10/12/2022</t>
  </si>
  <si>
    <t>Ngày 11/12/2022</t>
  </si>
  <si>
    <t>Tiền taxi đi chơi</t>
  </si>
  <si>
    <t xml:space="preserve">Tiền đi chơi + tiền ăn </t>
  </si>
  <si>
    <t>Tiền tiết kiệm còn lại 11/12/2022</t>
  </si>
  <si>
    <t>Ngày 12/12/2022</t>
  </si>
  <si>
    <t>Mừng sn ông nội</t>
  </si>
  <si>
    <t>Mua đồ cho pepsi nêxt</t>
  </si>
  <si>
    <t>Tiền tiết kiệm còn lại 12/12/2022</t>
  </si>
  <si>
    <t>Ngày 18/12/2022</t>
  </si>
  <si>
    <t>Tiền cân đồ lefties</t>
  </si>
  <si>
    <t xml:space="preserve">Tiền cân đồ zara </t>
  </si>
  <si>
    <t>Tiền sữa cho pepsi</t>
  </si>
  <si>
    <t>Tiền ăn đi chơi</t>
  </si>
  <si>
    <t>Tiền taxi đi uonongs vitamin</t>
  </si>
  <si>
    <t>Ngày 19/12/2022</t>
  </si>
  <si>
    <t>Tiền tiết kiệm còn lại 18/12/2022</t>
  </si>
  <si>
    <t>Tiền tiết kiệm còn lại 19/12/2022</t>
  </si>
  <si>
    <t>Ngày 21/12/2022</t>
  </si>
  <si>
    <t>tiền cân đồ next</t>
  </si>
  <si>
    <t>Mua quây cho pepsi</t>
  </si>
  <si>
    <t>Tiền tiết kiệm còn lại 21/12/2022</t>
  </si>
  <si>
    <t>Ngày 22/12/2022</t>
  </si>
  <si>
    <t>Tiền NH T12</t>
  </si>
  <si>
    <t>Tiền tiết kiệm còn lại 22/12/2022</t>
  </si>
  <si>
    <t xml:space="preserve">Tiền lương KD T10 </t>
  </si>
  <si>
    <t>Ngày 24/12/2022</t>
  </si>
  <si>
    <t>Tiền ăn tối ishushi</t>
  </si>
  <si>
    <t>Ngày 25/12/2022</t>
  </si>
  <si>
    <t>Dẫn pepsi đi chơi</t>
  </si>
  <si>
    <t>Mua hút mũi cho pepsi</t>
  </si>
  <si>
    <t>Mua lẩu ăn tối</t>
  </si>
  <si>
    <t xml:space="preserve">CK tiền mua đồ zara china </t>
  </si>
  <si>
    <t>Tiền tiết kiệm còn lại 24/12/2022</t>
  </si>
  <si>
    <t>Tiền tiết kiệm còn lại 25/12/2022</t>
  </si>
  <si>
    <t>Ngày 30/12/2022</t>
  </si>
  <si>
    <t>HH tái tục BH</t>
  </si>
  <si>
    <t>Tiền cân hàng next</t>
  </si>
  <si>
    <t>Tiền tiết kiệm còn lại 30/12/2022</t>
  </si>
  <si>
    <t>Ngày 31/12/2022</t>
  </si>
  <si>
    <t>Cho a4 mượn 2tr</t>
  </si>
  <si>
    <t>Đi tiêm pepsi</t>
  </si>
  <si>
    <t xml:space="preserve">Mua vitamin E </t>
  </si>
  <si>
    <t>Tiền tiết kiệm còn lại 31/12/2022</t>
  </si>
  <si>
    <t>Tiền Lương T13+KH cho-Tiền cho Showroom 7tr-Nợ KH 7tr</t>
  </si>
  <si>
    <t>Tiền ăn T12 hoàn lại</t>
  </si>
  <si>
    <t>Tiền ăn T01/2023</t>
  </si>
  <si>
    <t>Tiền tiêu của vợ</t>
  </si>
  <si>
    <t>Ngày 01/1/2023</t>
  </si>
  <si>
    <t>Ba má + VC A,Hải+VC A4 mừng sn big</t>
  </si>
  <si>
    <t>Đi ăn tối mừng kỷ niệm 2 năm</t>
  </si>
  <si>
    <t>Mua đồ ăn dặm cho pepsi</t>
  </si>
  <si>
    <t>Tiền tiết kiệm còn lại 01/01/2023</t>
  </si>
  <si>
    <t>Tiền taxi cho bà về</t>
  </si>
  <si>
    <t>Ngày 02/1/2023</t>
  </si>
  <si>
    <t>Loan+Trong+Hiền lì xì Pepsi</t>
  </si>
  <si>
    <t>Ngày 03/1/2023</t>
  </si>
  <si>
    <t>Mua ghế ăn dặm cho pepsi</t>
  </si>
  <si>
    <t>Lì xì cho má+mẹ mua đồ tết</t>
  </si>
  <si>
    <t>Tiền tiết kiệm còn lại 02/01/2023</t>
  </si>
  <si>
    <t>Tiền tiết kiệm còn lại 03/01/2023</t>
  </si>
  <si>
    <t>Ngày 05/1/2023</t>
  </si>
  <si>
    <t>Mua collagen</t>
  </si>
  <si>
    <t>Tiền tiết kiệm còn lại 05/01/2023</t>
  </si>
  <si>
    <t>Ngày 07/1/2023</t>
  </si>
  <si>
    <t>Thưởng NV xuất sắc</t>
  </si>
  <si>
    <t>Mừng 2 đám cưới</t>
  </si>
  <si>
    <t>Tiền mua đồ zara ba lan</t>
  </si>
  <si>
    <t xml:space="preserve">Đi ăn pizza </t>
  </si>
  <si>
    <t>Tiền tiết kiệm còn lại 07/01/2023</t>
  </si>
  <si>
    <t>Ngày 10/1/2023</t>
  </si>
  <si>
    <t>Mua đồ làm bánh</t>
  </si>
  <si>
    <t>Tiền đồ + cân hàng zara china</t>
  </si>
  <si>
    <t>Tiền luong KD T11</t>
  </si>
  <si>
    <t>Tiền tiết kiệm còn lại 10/01/2023</t>
  </si>
  <si>
    <t>Tiền mua đồ zara TBN</t>
  </si>
  <si>
    <t>\</t>
  </si>
  <si>
    <t>Ngày 15/1/2023</t>
  </si>
  <si>
    <t>Ăn lẩu haidilao + ăn tối + ăn sáng</t>
  </si>
  <si>
    <t>Mua đồ tết cho ck</t>
  </si>
  <si>
    <t>Tiền mua đồ zara UK</t>
  </si>
  <si>
    <t>Tiền tiết kiệm còn lại 15/01/2023</t>
  </si>
  <si>
    <t>Ngày 17/1/2023</t>
  </si>
  <si>
    <t>Lương T01/23</t>
  </si>
  <si>
    <t>Ông nội cho pepsi 2tr</t>
  </si>
  <si>
    <t>Đồ shoppe</t>
  </si>
  <si>
    <t>Ngày 19+20/1/2023</t>
  </si>
  <si>
    <t>Tiền HH bảo hiểm T10</t>
  </si>
  <si>
    <t>Mua vitamin+nước muối cho pepsi</t>
  </si>
  <si>
    <t>Sửa xe thay nhớt</t>
  </si>
  <si>
    <t>Mua quân áo cho big</t>
  </si>
  <si>
    <t>Tiền tiết kiệm còn lại 19+20/01/2023</t>
  </si>
  <si>
    <t>Ngày 21/1/2023</t>
  </si>
  <si>
    <t>Tiền grab + tiền chơi + ăn tối</t>
  </si>
  <si>
    <t>Tiền tiết kiệm còn lại 21/01/2023</t>
  </si>
  <si>
    <t>Ngày 22/1/2023</t>
  </si>
  <si>
    <t>Tiền lì xì bỏ ra</t>
  </si>
  <si>
    <t>Tiền lì xi thu vào</t>
  </si>
  <si>
    <t>Tiền tiết kiệm còn lại 22/01/2023</t>
  </si>
  <si>
    <t>Đưa big 2tr tiêu tết</t>
  </si>
  <si>
    <t>Ngày 23/1/2023</t>
  </si>
  <si>
    <t>Đò zara balan</t>
  </si>
  <si>
    <t>Tiền tiết kiệm còn lại 23/01/2023</t>
  </si>
  <si>
    <t>Ngày 25+26/1/2023</t>
  </si>
  <si>
    <t>mua đồng hồ</t>
  </si>
  <si>
    <t>Tiền ăn + chơi lô tô</t>
  </si>
  <si>
    <t>chú trung lì xì 200k</t>
  </si>
  <si>
    <t>Ngày 27/1/2023</t>
  </si>
  <si>
    <t>Tiền tiết kiệm còn lại 25+26/01/2023</t>
  </si>
  <si>
    <t>Tiền tiết kiệm còn lại 27/01/2023</t>
  </si>
  <si>
    <t>Ngày 28/1/2023</t>
  </si>
  <si>
    <t>Tiền bỉm + nước rửa bình + đồ trang trí sn pepsi</t>
  </si>
  <si>
    <t>Mua đồ zara balan</t>
  </si>
  <si>
    <t>Tiền tiêu tết hoàn lại</t>
  </si>
  <si>
    <t>Tiền tiết kiệm còn lại 28/01/2023</t>
  </si>
  <si>
    <t>Ngày 29/1/2023</t>
  </si>
  <si>
    <t>Ăn sushi</t>
  </si>
  <si>
    <t>Tiền tiết kiệm còn lại 29/01/2023</t>
  </si>
  <si>
    <t>Ngày 30/1/2023</t>
  </si>
  <si>
    <t>Tiền ngân hàng 01/2023</t>
  </si>
  <si>
    <t>Tiền tiết kiệm còn lại 30/01/2023</t>
  </si>
  <si>
    <t>Ngày 31/1/2023</t>
  </si>
  <si>
    <t>Tiền taxi + tiền tiêm cho pepsi</t>
  </si>
  <si>
    <t>Đồ zara balan</t>
  </si>
  <si>
    <t>Tiền đi chợ T1 âm</t>
  </si>
  <si>
    <t>Tiền ăn T2/2023</t>
  </si>
  <si>
    <t>Tiền tiêu T02 của vợ</t>
  </si>
  <si>
    <t>Tiền tiết kiệm còn lại 31/01/2023</t>
  </si>
  <si>
    <t>Ngày 02/02/2023</t>
  </si>
  <si>
    <t>Mua bột hồ ăn dặm</t>
  </si>
  <si>
    <t>Tiền cân hàng zara ba lan</t>
  </si>
  <si>
    <t>chị ba mượn đã trả</t>
  </si>
  <si>
    <t>HH bảo hiểm tái tục</t>
  </si>
  <si>
    <t>Khăn giấy khô + ướt cho pepsi</t>
  </si>
  <si>
    <t>Tiền hàng zara ba lan</t>
  </si>
  <si>
    <t>Tiền tiết kiệm còn lại 02/02/2023</t>
  </si>
  <si>
    <t>Ngày 04/02/2023</t>
  </si>
  <si>
    <t>Bitm cho pepsi</t>
  </si>
  <si>
    <t>Ăn trưa aoen</t>
  </si>
  <si>
    <t>Tiền tiết kiệm còn lại 04/02/2023</t>
  </si>
  <si>
    <t>Ngày 08/02/2023</t>
  </si>
  <si>
    <t>Tiền đi nhậu của big</t>
  </si>
  <si>
    <t>Tiền mua hàng zara ba lan</t>
  </si>
  <si>
    <t>Tiền tiết kiệm còn lại 08/02/2023</t>
  </si>
  <si>
    <t>Ngày 09/02/2023</t>
  </si>
  <si>
    <t>Ông nội mừng sn pepsi</t>
  </si>
  <si>
    <t xml:space="preserve">A4 mừng sn </t>
  </si>
  <si>
    <t>Ông ngoại mùng sn</t>
  </si>
  <si>
    <t>C3 mừng sn</t>
  </si>
  <si>
    <t>Tôt chứ sn haidilao</t>
  </si>
  <si>
    <t>Mâm cúng thôi nôi</t>
  </si>
  <si>
    <t>Tiền tiết kiệm còn lại 09/02/2023</t>
  </si>
  <si>
    <t>Ngày 11/02/2023</t>
  </si>
  <si>
    <t>Tiền cân hàng zara balan</t>
  </si>
  <si>
    <t>Đi cưới</t>
  </si>
  <si>
    <t>Mua đồ chơi cho pepsi</t>
  </si>
  <si>
    <t>Tiền tiết kiệm còn lại 11/02/2023</t>
  </si>
  <si>
    <t>Ngày 12/02/2023</t>
  </si>
  <si>
    <t>Mua áo sơ mi cho big</t>
  </si>
  <si>
    <t>Mua hàng zara balan</t>
  </si>
  <si>
    <t>Tiền tiết kiệm còn lại 12/02/2023</t>
  </si>
  <si>
    <t xml:space="preserve"> </t>
  </si>
  <si>
    <t>Ngày 13/02/2023</t>
  </si>
  <si>
    <t>HH BH T11</t>
  </si>
  <si>
    <t>Vé xem phim</t>
  </si>
  <si>
    <t>Ngày 14/02/2023</t>
  </si>
  <si>
    <t>Tiền tiết kiệm còn lại 13/02/2023</t>
  </si>
  <si>
    <t>Tiền tiết kiệm còn lại 14/02/2023</t>
  </si>
  <si>
    <t>Ngày 16/02/2023</t>
  </si>
  <si>
    <t>Tiền tiết kiệm còn lại 16/02/2023</t>
  </si>
  <si>
    <t>Ngày 17+18/02/2023</t>
  </si>
  <si>
    <t>Tiền HH bảo hiểm T12</t>
  </si>
  <si>
    <t>Tiền mua đồ cho pepsi</t>
  </si>
  <si>
    <t>Tiền tiết kiệm còn lại 17+18/02/2023</t>
  </si>
  <si>
    <t>Ngày 19+20/02/2023</t>
  </si>
  <si>
    <t>Tiền mua đồ zara balan</t>
  </si>
  <si>
    <t>Tiền tiết kiệm còn lại 19+20/02/2023</t>
  </si>
  <si>
    <t>Ngày 21/02/2023</t>
  </si>
  <si>
    <t>Tiền tiết kiệm còn lại 21/02/2023</t>
  </si>
  <si>
    <t>Ngày 22/02/2023</t>
  </si>
  <si>
    <t>Khasch cho</t>
  </si>
  <si>
    <t>Tiền tiết kiệm còn lại 22/02/2023</t>
  </si>
  <si>
    <t>A4 mượn 5 tr ddax trả</t>
  </si>
  <si>
    <t>Ngày 23/02/2023</t>
  </si>
  <si>
    <t>Tiền tiết kiệm còn lại 23/02/2023</t>
  </si>
  <si>
    <t>Cọc 500k mua đồ ở nhật</t>
  </si>
  <si>
    <t>Ngày 25/02/2023</t>
  </si>
  <si>
    <t>Mua sữa chua + bột cho pepsi</t>
  </si>
  <si>
    <t>Tiền tiết kiệm còn lại 25/02/2023</t>
  </si>
  <si>
    <t>Ngày 27/02/2023</t>
  </si>
  <si>
    <t>Tiền học bằng lái xe</t>
  </si>
  <si>
    <t>Tiền ngân hàng T2</t>
  </si>
  <si>
    <t>Tiền lương T2</t>
  </si>
  <si>
    <t>Tiền ăn âm T2</t>
  </si>
  <si>
    <t>Tiền tiêu T03 của vợ</t>
  </si>
  <si>
    <t>Tiền ăn T03</t>
  </si>
  <si>
    <t>Cho D tiền trọ + tiền ăn T03</t>
  </si>
  <si>
    <t>Tiền tiết kiệm còn lại 27/02/2023</t>
  </si>
  <si>
    <t>Ngày 28/02/2023</t>
  </si>
  <si>
    <t>Tiền lãi gửi tiết kiệm</t>
  </si>
  <si>
    <t>Tiền mua cnk</t>
  </si>
  <si>
    <t>Tiền tiết kiệm còn lại 28/02/2023</t>
  </si>
  <si>
    <t>Ngày 01/03/2023</t>
  </si>
  <si>
    <t>HH BH tái tục</t>
  </si>
  <si>
    <t>Tiền tiết kiệm còn lại 01/03/2023</t>
  </si>
  <si>
    <t>Ngày 02/03/2023</t>
  </si>
  <si>
    <t>Tiền tiết kiệm còn lại 02/03/2023</t>
  </si>
  <si>
    <t>Taxi đi khám</t>
  </si>
  <si>
    <t>Lương KD T12</t>
  </si>
  <si>
    <t>Ngày 03+04/03/2023</t>
  </si>
  <si>
    <t>Tiền tiết kiệm còn lại 04/03/2023</t>
  </si>
  <si>
    <t>Ngày 05/03/2023</t>
  </si>
  <si>
    <t>đi sthi</t>
  </si>
  <si>
    <t>Tiền tiết kiệm còn lại 05/03/2023</t>
  </si>
  <si>
    <t>Ngày 06/03/2023</t>
  </si>
  <si>
    <t>Mua vé máy bay về quê</t>
  </si>
  <si>
    <t>Tiền tiết kiệm còn lại 06/03/2023</t>
  </si>
  <si>
    <t xml:space="preserve">Tiền cân hàng zara </t>
  </si>
  <si>
    <t>Ngày 07/03/2023</t>
  </si>
  <si>
    <t>Tiền tiết kiệm còn lại 07/03/2023</t>
  </si>
  <si>
    <t>Ngày 08/03/2023</t>
  </si>
  <si>
    <t>Ăn Tối</t>
  </si>
  <si>
    <t>Mừng 8/3 cho 2 bà</t>
  </si>
  <si>
    <t>Tiền tiết kiệm còn lại 08/03/2023</t>
  </si>
  <si>
    <t>Tiền sửa xe</t>
  </si>
  <si>
    <t>Ngày 10/03/2023</t>
  </si>
  <si>
    <t>Shoppe</t>
  </si>
  <si>
    <t>Lương KD giữ lại</t>
  </si>
  <si>
    <t>Tiền tiết kiệm còn lại 10/03/2023</t>
  </si>
  <si>
    <t>Ngày 11/03/2023</t>
  </si>
  <si>
    <t xml:space="preserve"> đi chơi vincom đồng khởi</t>
  </si>
  <si>
    <t>Ngày 12/03/2023</t>
  </si>
  <si>
    <t>Đi câu cá</t>
  </si>
  <si>
    <t>Tiền tiết kiệm còn lại 11/03/2023</t>
  </si>
  <si>
    <t>Tiền tiết kiệm còn lại 12/03/2023</t>
  </si>
  <si>
    <t>Ngày 13/03/2023</t>
  </si>
  <si>
    <t>Đặt phòng ks Hội An</t>
  </si>
  <si>
    <t>Tiền tiết kiệm còn lại 13/03/2023</t>
  </si>
  <si>
    <t>Tiền tiết kiệm còn lại 14/03/2023</t>
  </si>
  <si>
    <t>Ngày 16/03/2023</t>
  </si>
  <si>
    <t>CK mua lại ubox</t>
  </si>
  <si>
    <t>Ngày 17/03/2023</t>
  </si>
  <si>
    <t>Ngày 19/03/2023</t>
  </si>
  <si>
    <t>Tiền tiết kiệm còn lại 17/03/2023</t>
  </si>
  <si>
    <t>Tiền tiết kiệm còn lại 19/03/2023</t>
  </si>
  <si>
    <t>Ngày 14/03/2023</t>
  </si>
  <si>
    <t>Mua kính cho bà</t>
  </si>
  <si>
    <t xml:space="preserve">Tiền mừng cưới </t>
  </si>
  <si>
    <t>Tiền tiết kiệm còn lại 20/03/2023</t>
  </si>
  <si>
    <t>Ngày 20/03/2023</t>
  </si>
  <si>
    <t>Ngày 22/03/2023</t>
  </si>
  <si>
    <t>Lương BH giữ lại</t>
  </si>
  <si>
    <t>Nước giặt</t>
  </si>
  <si>
    <t>Mua miếng dán cửa</t>
  </si>
  <si>
    <t>Mua bỉm cho pepsi</t>
  </si>
  <si>
    <t>Thăm bệnh dì 7</t>
  </si>
  <si>
    <t>Tiền tiết kiệm còn lại 22/03/2023</t>
  </si>
  <si>
    <t>Ngày 24/03/2023</t>
  </si>
  <si>
    <t>Mừng SN C.Tuyết</t>
  </si>
  <si>
    <t>Tiền tiết kiệm còn lại 24/03/2023</t>
  </si>
  <si>
    <t>Ngày 25/03/2023</t>
  </si>
  <si>
    <t>Đi ăn hutong</t>
  </si>
  <si>
    <t>Tiền tiết kiệm còn lại 25/03/2023</t>
  </si>
  <si>
    <t>Tiền NH T03</t>
  </si>
  <si>
    <t>Ngày 28/03/2023</t>
  </si>
  <si>
    <t>Tiền tiết kiệm còn lại 28/03/2023</t>
  </si>
  <si>
    <t>Ngày 29/03/2023</t>
  </si>
  <si>
    <t>Bột ăn dặm+ váng sữa+ sữa tắm cho pepsi</t>
  </si>
  <si>
    <t>Tiền tiết kiệm còn lại 29/03/2023</t>
  </si>
  <si>
    <t>Ngày 30/03/2023</t>
  </si>
  <si>
    <t>Mua hoa + bánh kem chúc mừng A.Hải</t>
  </si>
  <si>
    <t>Tiền tiết kiệm còn lại 30/03/2023</t>
  </si>
  <si>
    <t>Ngày 31/03/2023</t>
  </si>
  <si>
    <t>Lương T03</t>
  </si>
  <si>
    <t>Tiền HH BH T01</t>
  </si>
  <si>
    <t>Tiền ăn T03 âm</t>
  </si>
  <si>
    <t>Tiền ăn t04</t>
  </si>
  <si>
    <t xml:space="preserve">Tiền tiêu của vợ </t>
  </si>
  <si>
    <t>Tiền tiết kiệm còn lại 31/03/2023</t>
  </si>
  <si>
    <t>Tieefn awn T04 cho D</t>
  </si>
  <si>
    <t>Ngày 01/04/2023</t>
  </si>
  <si>
    <t>Tiền làm pasport cho pepsi</t>
  </si>
  <si>
    <t>HH xe T03</t>
  </si>
  <si>
    <t>Tiền tiết kiệm còn lại 01/04/2023</t>
  </si>
  <si>
    <t>C3 mượn 200tr nào bán cc trả</t>
  </si>
  <si>
    <t>Ngày 03/04/2023</t>
  </si>
  <si>
    <t>Đồ tập yoga</t>
  </si>
  <si>
    <t>Tiền tập yoga</t>
  </si>
  <si>
    <t>Tiền tiết kiệm còn lại 03/04/2023</t>
  </si>
  <si>
    <t>Ngày 05/04/2023</t>
  </si>
  <si>
    <t>Tiêm phong cho pepsi</t>
  </si>
  <si>
    <t>Lương kd T01</t>
  </si>
  <si>
    <t>Tiền tiết kiệm còn lại 05/04/2023</t>
  </si>
  <si>
    <t>Ngày 08/04/2023</t>
  </si>
  <si>
    <t>Tiền tiết kiệm còn lại 08/04/2023</t>
  </si>
  <si>
    <t>Ngày 09/04/2023</t>
  </si>
  <si>
    <t>Mua túi pedro cho big</t>
  </si>
  <si>
    <t>Cân hàng zara</t>
  </si>
  <si>
    <t>Tiền tiết kiệm còn lại 09/04/2023</t>
  </si>
  <si>
    <t>Ngày 10/04/2023</t>
  </si>
  <si>
    <t>Mua váng sữa+ vitamin+dép cho pepsi</t>
  </si>
  <si>
    <t>Tiền tiết kiệm còn lại 10/04/2023</t>
  </si>
  <si>
    <t>Ngày 12/04/2023</t>
  </si>
  <si>
    <t>Taxi+ đi khám cho pepsi</t>
  </si>
  <si>
    <t>Tiền tiết kiệm còn lại 12/04/2023</t>
  </si>
  <si>
    <t>Ngày 14/04/2023</t>
  </si>
  <si>
    <t>Thưởng thành tích 2022</t>
  </si>
  <si>
    <t>Shoppe (Bỉm+xe+rửa bình sữa+... Cho si)</t>
  </si>
  <si>
    <t>Tiền tiết kiệm còn lại 14/04/2023</t>
  </si>
  <si>
    <t>Ngày 16/04/2023</t>
  </si>
  <si>
    <t>Đám cưới nga</t>
  </si>
  <si>
    <t>đám cưới Hoan ở quê</t>
  </si>
  <si>
    <t xml:space="preserve">Ăn tối </t>
  </si>
  <si>
    <t>Mua sữa cho si</t>
  </si>
  <si>
    <t>Tiền tiết kiệm còn lại 16/04/2023</t>
  </si>
  <si>
    <t>Ngày 18/04/2023</t>
  </si>
  <si>
    <t>Mua sữa chua cho si</t>
  </si>
  <si>
    <t>Tiền tiết kiệm còn lại 18/04/2023</t>
  </si>
  <si>
    <t>Ngày 19/04/2023</t>
  </si>
  <si>
    <t>Lương HH BH T02</t>
  </si>
  <si>
    <t>Tiền tiết kiệm còn lại 19/04/2023</t>
  </si>
  <si>
    <t>Tiền đám ma anh Thư</t>
  </si>
  <si>
    <t>Ngày 21/04/2023</t>
  </si>
  <si>
    <t>Tiền cân hàng pedro cho big</t>
  </si>
  <si>
    <t>Tiền tiết kiệm còn lại 21/04/2023</t>
  </si>
  <si>
    <t>Ngày 22/04/2023</t>
  </si>
  <si>
    <t>Tiền tiết kiệm còn lại 22/04/2023</t>
  </si>
  <si>
    <t>Ngày 23/04/2023</t>
  </si>
  <si>
    <t>Sửa xe + Mua bột ăn dặm cho si</t>
  </si>
  <si>
    <t>Tiền ngân hàng T4</t>
  </si>
  <si>
    <t>Tiền tiết kiệm còn lại 23/04/2023</t>
  </si>
  <si>
    <t>Ngày 24/04/2023</t>
  </si>
  <si>
    <t>Vsinh điều hòa</t>
  </si>
  <si>
    <t>Lương KD T02</t>
  </si>
  <si>
    <t>Tiền tiết kiệm còn lại 24/04/2023</t>
  </si>
  <si>
    <t>Ngày 27/04/2023</t>
  </si>
  <si>
    <t>Lương T4</t>
  </si>
  <si>
    <t>Trích tiền về quê đi chơi</t>
  </si>
  <si>
    <t>Tiền tiết kiệm còn lại 27/04/2023</t>
  </si>
  <si>
    <t>Ngày 04/05/2023</t>
  </si>
  <si>
    <t>Tiền đi chơi còn dư hoàn lại</t>
  </si>
  <si>
    <t>Ba lý mượn 3tr đã trả</t>
  </si>
  <si>
    <t>Ông bà nội cho si 2tr</t>
  </si>
  <si>
    <t>Tiền lễ30/4-1/5</t>
  </si>
  <si>
    <t>Tiền ăn âm T04</t>
  </si>
  <si>
    <t>tiền ăn T05</t>
  </si>
  <si>
    <t>Tiền tiêu của vợ T05</t>
  </si>
  <si>
    <t>Tiền ăn T05 của Dương</t>
  </si>
  <si>
    <t>Mừng đám cưới Định</t>
  </si>
  <si>
    <t>Tiền tiêu của chồng T05</t>
  </si>
  <si>
    <t>Ngày 08/05/2023</t>
  </si>
  <si>
    <t>Lương tái tục BH</t>
  </si>
  <si>
    <t>Mua remote tivi</t>
  </si>
  <si>
    <t>Tiền tiết kiệm còn lại 04/05/2023</t>
  </si>
  <si>
    <t>Tiền tiết kiệm còn lại 08/05/2023</t>
  </si>
  <si>
    <t>Ngày 10/05/2023</t>
  </si>
  <si>
    <t>Tiền taxi đi khám</t>
  </si>
  <si>
    <t>Tiền khám + thuốc cho si</t>
  </si>
  <si>
    <t>Tiền tiết kiệm còn lại 10/05/2023</t>
  </si>
  <si>
    <t>CK cho má mua sữa uống</t>
  </si>
  <si>
    <t>Ngày 11/05/2023</t>
  </si>
  <si>
    <t>Tiền tiết kiệm còn lại 11/05/2023</t>
  </si>
  <si>
    <t>Ngày 12/05/2023</t>
  </si>
  <si>
    <t>Tiền tiết kiệm còn lại 12/05/2023</t>
  </si>
  <si>
    <t>Ngày 13/05/2023</t>
  </si>
  <si>
    <t>Mua sữa cho Si</t>
  </si>
  <si>
    <t>Tiền tiết kiệm còn lại 13/05/2023</t>
  </si>
  <si>
    <t>Ngày 15/05/2023</t>
  </si>
  <si>
    <t>Mua liệu trình spa</t>
  </si>
  <si>
    <t>Tiền tiết kiệm còn lại 15/05/2023</t>
  </si>
  <si>
    <t>Ngày 17/05/2023</t>
  </si>
  <si>
    <t>Đi an pizza</t>
  </si>
  <si>
    <t>Đưa tiền cho bà về quê là giỗ</t>
  </si>
  <si>
    <t>Ngày 19/05/2023</t>
  </si>
  <si>
    <t>Tiền tiết kiệm còn lại 17/05/2023</t>
  </si>
  <si>
    <t>Tiền tiết kiệm còn lại 19/05/2023</t>
  </si>
  <si>
    <t>Ngày 23/05/2023</t>
  </si>
  <si>
    <t>Tiền ngân hàng T05</t>
  </si>
  <si>
    <t>Tiền HH BH T03</t>
  </si>
  <si>
    <t>Tiền sữa đêm cho si</t>
  </si>
  <si>
    <t>Tiền tiết kiệm còn lại 23/05/2023</t>
  </si>
  <si>
    <t>Ngày 24/05/2023</t>
  </si>
  <si>
    <t>Mua thẻ TV khám bệnh cho si</t>
  </si>
  <si>
    <t>taxi đi khám + tiền thuốc</t>
  </si>
  <si>
    <t>Tiền tiết kiệm còn lại 24/05/2023</t>
  </si>
  <si>
    <t>Ngày 26/05/2023</t>
  </si>
  <si>
    <t>Mua sữa + bột ăn dặm cho si</t>
  </si>
  <si>
    <t>Phun môi</t>
  </si>
  <si>
    <t>Tiền tiết kiệm còn lại 26/05/2023</t>
  </si>
  <si>
    <t>Ngày 30/05/2023</t>
  </si>
  <si>
    <t>Mua hộp cơm đi làm</t>
  </si>
  <si>
    <t>Mua vitamin D cho si</t>
  </si>
  <si>
    <t>Lương T05 của Ck</t>
  </si>
  <si>
    <t>Tiền ăn T05 âm</t>
  </si>
  <si>
    <t xml:space="preserve">Tiền ăn T06 </t>
  </si>
  <si>
    <t>Tiền ăn của Dươg</t>
  </si>
  <si>
    <t>Tiền tiết kiệm còn lại 30/05/2023</t>
  </si>
  <si>
    <t>Ngày 01/06/2023</t>
  </si>
  <si>
    <t>Ông ngoại cho si 1/6</t>
  </si>
  <si>
    <t>Ông nội cho si 1/6</t>
  </si>
  <si>
    <t>Đi ăn 1/6</t>
  </si>
  <si>
    <t xml:space="preserve">Tiền HH bán xe </t>
  </si>
  <si>
    <t>Tiền tiết kiệm còn lại 01/06/2023</t>
  </si>
  <si>
    <t>Ngày 03/06/2023</t>
  </si>
  <si>
    <t>Tiền tiết kiệm còn lại 03/06/2023</t>
  </si>
  <si>
    <t>Ngày 04/06/2023</t>
  </si>
  <si>
    <t>Tiền tiêm cho si</t>
  </si>
  <si>
    <t>Tiền tiết kiệm còn lại 04/06/2023</t>
  </si>
  <si>
    <t>Ngày 05/06/2023</t>
  </si>
  <si>
    <t>Mua tôm + ốc hương</t>
  </si>
  <si>
    <t>Dì 8 cho si</t>
  </si>
  <si>
    <t>Lương KD T03</t>
  </si>
  <si>
    <t>Tiền tiết kiệm còn lại 05/06/2023</t>
  </si>
  <si>
    <t>Ngày 06/06/2023</t>
  </si>
  <si>
    <t>Lương HH BH Quý 1+ KH cho</t>
  </si>
  <si>
    <t>Mua bỉm cho Si</t>
  </si>
  <si>
    <t>Tiền tiết kiệm còn lại 06/06/2023</t>
  </si>
  <si>
    <t>Ngày 11/06/2023</t>
  </si>
  <si>
    <t>Tiền góp xây mộ</t>
  </si>
  <si>
    <t>Tiền tiết kiệm còn lại 11/06/2023</t>
  </si>
  <si>
    <t>Ngày 12/06/2023</t>
  </si>
  <si>
    <t>Mua đồ đi làm + váy cho mây</t>
  </si>
  <si>
    <t>KH cho + tái tục bh</t>
  </si>
  <si>
    <t>Mua bột + bánh ăn dặm</t>
  </si>
  <si>
    <t>Mua ubox 4tr3</t>
  </si>
  <si>
    <t>Tiền tiết kiệm còn lại 12/06/2023</t>
  </si>
  <si>
    <t>Ngày 18/06/2023</t>
  </si>
  <si>
    <t>C.Nhàn cho</t>
  </si>
  <si>
    <t xml:space="preserve">Bán vàng </t>
  </si>
  <si>
    <t>serum cho mẹ</t>
  </si>
  <si>
    <t>Tiền tiết kiệm còn lại 18/06/2023</t>
  </si>
  <si>
    <t>nếu không tất toán</t>
  </si>
  <si>
    <t>nếu tất toán</t>
  </si>
  <si>
    <t>gốc</t>
  </si>
  <si>
    <t>lãi</t>
  </si>
  <si>
    <t>Ngày 19/06/2023</t>
  </si>
  <si>
    <t>Trả KH 5tr</t>
  </si>
  <si>
    <t>Trả tiền NH tất toán</t>
  </si>
  <si>
    <t>Tiền tiết kiệm còn lại 19/06/2023</t>
  </si>
  <si>
    <t>Ngày 20/06/2023</t>
  </si>
  <si>
    <t>Mua hộp thủy tinh</t>
  </si>
  <si>
    <t>Tiền tiết kiệm còn lại 20/06/2023</t>
  </si>
  <si>
    <t>Ngày 22/06/2023</t>
  </si>
  <si>
    <t>tất toán ngân hàng 20tr</t>
  </si>
  <si>
    <t>Mua đồ chơi+ bột ăn dặm</t>
  </si>
  <si>
    <t>Tiền tiết kiệm còn lại 22/06/2023</t>
  </si>
  <si>
    <t>Ngày 23/06/2023</t>
  </si>
  <si>
    <t>Mua hoa quả tặng c dung</t>
  </si>
  <si>
    <t>Lương của vợ</t>
  </si>
  <si>
    <t>Ngày 25/06/2023</t>
  </si>
  <si>
    <t>HH BH T04</t>
  </si>
  <si>
    <t>Si đi khám</t>
  </si>
  <si>
    <t>Siêu thị + ăn uống</t>
  </si>
  <si>
    <t>Tiền sữa cho si</t>
  </si>
  <si>
    <t>Tiền tiết kiệm còn lại 23/06/2023</t>
  </si>
  <si>
    <t>ngày nhận nợ</t>
  </si>
  <si>
    <t>gốc hàng tháng</t>
  </si>
  <si>
    <t>lãi hàng tháng</t>
  </si>
  <si>
    <t>tổng cộng</t>
  </si>
  <si>
    <t>lãi suất</t>
  </si>
  <si>
    <t>Dư nợ gốc còn lại</t>
  </si>
  <si>
    <t>Tiền vc</t>
  </si>
  <si>
    <t>Tiền ngân hàng</t>
  </si>
  <si>
    <t>đã thanh toán gốc</t>
  </si>
  <si>
    <t>gốc còn lại tổng</t>
  </si>
  <si>
    <t>Của mình</t>
  </si>
  <si>
    <t>mình thiếu bố</t>
  </si>
  <si>
    <t>Mình thiếu Dương + mẹ</t>
  </si>
  <si>
    <t>Tiền góp cho chị ba</t>
  </si>
  <si>
    <t>Tiền tiết kiệm còn lại 25/06/2023</t>
  </si>
  <si>
    <t>Ngày 28/06/2023</t>
  </si>
  <si>
    <t>Mua desp cho si</t>
  </si>
  <si>
    <t>Tiền tiết kiệm còn lại 28/06/2023</t>
  </si>
  <si>
    <t>Ngày 29/06/2023</t>
  </si>
  <si>
    <t>Tiền lương T06</t>
  </si>
  <si>
    <t>Tiền ăn T06 âm</t>
  </si>
  <si>
    <t>Tiền tiết kiệm còn lại 29/06/2023</t>
  </si>
  <si>
    <t>Ngày 02/07/2023</t>
  </si>
  <si>
    <t>Mua đồ zara</t>
  </si>
  <si>
    <t>Tiền tiết kiệm còn lại 02/07/2023</t>
  </si>
  <si>
    <t>Ngày 03/07/2023</t>
  </si>
  <si>
    <t>Tiền HH BH tái tục</t>
  </si>
  <si>
    <t>Tiền tiết kiệm còn lại 03/07/2023</t>
  </si>
  <si>
    <t>Ngày 06/07/2023</t>
  </si>
  <si>
    <t>Đưa má 2tr mua thuốc</t>
  </si>
  <si>
    <t>Mua đồ cho mấy +chíp</t>
  </si>
  <si>
    <t>Mua gối ôm cho si</t>
  </si>
  <si>
    <t>Tiền tiết kiệm còn lại 06/07/2023</t>
  </si>
  <si>
    <t>Đôf chơi sn khôi</t>
  </si>
  <si>
    <t>Mua núm ty + ghế ngồi cho si+ mũ bh</t>
  </si>
  <si>
    <t>Quần áo mới cho si</t>
  </si>
  <si>
    <t>Tiền lương KD T04</t>
  </si>
  <si>
    <t>Tiền tiết kiệm còn lại 07/07/2023</t>
  </si>
  <si>
    <t>Ngày 07/07/2023</t>
  </si>
  <si>
    <t>Ngày 09/07/2023</t>
  </si>
  <si>
    <t>Đi tiêm cho si</t>
  </si>
  <si>
    <t>Tiền tiết kiệm còn lại 09/07/2023</t>
  </si>
  <si>
    <t>Ngày 12/07/2023</t>
  </si>
  <si>
    <t>trái cây cho si</t>
  </si>
  <si>
    <t>Đồ zara ba lan</t>
  </si>
  <si>
    <t>Tiền tiết kiệm còn lại 12/07/2023</t>
  </si>
  <si>
    <t>Ngày 14/07/2023</t>
  </si>
  <si>
    <t>Ngày 16/07/2023</t>
  </si>
  <si>
    <t>Mua đồ con cưng cho si</t>
  </si>
  <si>
    <t>Mua truyện cho khang</t>
  </si>
  <si>
    <t>Ngày 17/07/2023</t>
  </si>
  <si>
    <t>Tiền tiết kiệm còn lại 16/07/2023</t>
  </si>
  <si>
    <t>Tiền tiết kiệm còn lại 14/07/2023</t>
  </si>
  <si>
    <t>Tiền tiết kiệm còn lại 17/07/2023</t>
  </si>
  <si>
    <t>Áo sơ mi cho big</t>
  </si>
  <si>
    <t>Ngày 20/07/2023</t>
  </si>
  <si>
    <t>Mua  đồ chơi cho si</t>
  </si>
  <si>
    <t>Tiền tiết kiệm còn lại 20/07/2023</t>
  </si>
  <si>
    <t>Ngày 22/07/2023</t>
  </si>
  <si>
    <t>Tiền tiết kiệm còn lại 22/07/2023</t>
  </si>
  <si>
    <t>Ngày 23/07/2023</t>
  </si>
  <si>
    <t>Nhổ răng + mua thuốc</t>
  </si>
  <si>
    <t>Ba lý trả nợ</t>
  </si>
  <si>
    <t>Đưa big 15tr trả kh</t>
  </si>
  <si>
    <t>Tiền tiết kiệm còn lại 23/07/2023</t>
  </si>
  <si>
    <t>Ngày 25/07/2023</t>
  </si>
  <si>
    <t>Lương vợ</t>
  </si>
  <si>
    <t xml:space="preserve">Nhổ răng </t>
  </si>
  <si>
    <t>Tiền tiết kiệm còn lại 25/07/2023</t>
  </si>
  <si>
    <t>Ngày 27/07/2023</t>
  </si>
  <si>
    <t>Tháng</t>
  </si>
  <si>
    <t>Ngày 28/07/2023</t>
  </si>
  <si>
    <t>Lương T07 của big-tiền ngân hàng t7- tiền tiêu</t>
  </si>
  <si>
    <t>Tiền tiết kiệm còn lại 28/07/2023</t>
  </si>
  <si>
    <t>Tiền tiết kiệm còn lại 27/07/2023</t>
  </si>
  <si>
    <t>Ngày 31/07/2023</t>
  </si>
  <si>
    <t>Vé máy bay đi PQ</t>
  </si>
  <si>
    <t>Tiền ăn âm T07</t>
  </si>
  <si>
    <t>A hải C3 trả 20tr</t>
  </si>
  <si>
    <t>Đồ đi chơi cho si</t>
  </si>
  <si>
    <t>Tiền tiết kiệm còn lại 31/07/2023</t>
  </si>
  <si>
    <t>Tiền tiết kiệm còn lại 02/08/2023</t>
  </si>
  <si>
    <t>Ngày 02/08/2023</t>
  </si>
  <si>
    <t>Đưa 500k cho big đi chơi</t>
  </si>
  <si>
    <t>Ngày 05/08/2023</t>
  </si>
  <si>
    <t>Mua sữa đồ ăn dặm cho si</t>
  </si>
  <si>
    <t>Tiền tiết kiệm còn lại 05/08/2023</t>
  </si>
  <si>
    <t>Ngày 09/08/2023</t>
  </si>
  <si>
    <t>Trích tiền đi chơi PQ</t>
  </si>
  <si>
    <t>Tiền tiết kiệm còn lại 13/08/2023</t>
  </si>
  <si>
    <t>Ngày 14/08/2023</t>
  </si>
  <si>
    <t xml:space="preserve">Thưởng </t>
  </si>
  <si>
    <t>Sữa cho Si</t>
  </si>
  <si>
    <t>Tiền tiết kiệm còn lại 14/08/2023</t>
  </si>
  <si>
    <t>Ba lý cho 10tr</t>
  </si>
  <si>
    <t>Đưa big 700k</t>
  </si>
  <si>
    <t>Mua bánh cho si</t>
  </si>
  <si>
    <t>Ngày 17/08/2023</t>
  </si>
  <si>
    <t xml:space="preserve">Lương KD </t>
  </si>
  <si>
    <t>Tiền tiết kiệm còn lại 17/08/2023</t>
  </si>
  <si>
    <t>Ngày 18/08/2023</t>
  </si>
  <si>
    <t>Đưa big 370k</t>
  </si>
  <si>
    <t>Tiền tiết kiệm còn lại 18/08/2023</t>
  </si>
  <si>
    <t>Ngày 20/08/2023</t>
  </si>
  <si>
    <t>Đi chơi hồ câu cá</t>
  </si>
  <si>
    <t>Taxi cho ông cố</t>
  </si>
  <si>
    <t>shoppe</t>
  </si>
  <si>
    <t>Tiền tiết kiệm còn lại 20/08/2023</t>
  </si>
  <si>
    <t>Ngày 22/08/2023</t>
  </si>
  <si>
    <t>Tiền tiết kiệm còn lại 22/08/2023</t>
  </si>
  <si>
    <t>Ngày 25/08/2023</t>
  </si>
  <si>
    <t>Tiền lương của vợ</t>
  </si>
  <si>
    <t>Mừng sn C3</t>
  </si>
  <si>
    <t>Tiền tiết kiệm còn lại 25/08/2023</t>
  </si>
  <si>
    <t>Ngày 27/08/2023</t>
  </si>
  <si>
    <t xml:space="preserve">Tiền bia </t>
  </si>
  <si>
    <t>Ăn cơm chiều</t>
  </si>
  <si>
    <t>hớt tóc</t>
  </si>
  <si>
    <t>Tiền tiêu của big T09</t>
  </si>
  <si>
    <t>Tiền tiết kiệm còn lại 27/08/2023</t>
  </si>
  <si>
    <t>Ngày 31/08/2023</t>
  </si>
  <si>
    <t>đưa big 500k</t>
  </si>
  <si>
    <t>dduwa big 1100k</t>
  </si>
  <si>
    <t>Tiền ăn âm T08</t>
  </si>
  <si>
    <t>Tiền ăn T09</t>
  </si>
  <si>
    <t>Mua giày Adidas</t>
  </si>
  <si>
    <t>Tiền tiết kiệm còn lại 31/08/2023</t>
  </si>
  <si>
    <t>Ngày 06/09/2023</t>
  </si>
  <si>
    <t>tiền ba</t>
  </si>
  <si>
    <t>Tiền tiết kiệm còn lại 06/09/2023</t>
  </si>
  <si>
    <t>tất toán ngân hàng 210tr + PHÍ PHẠT</t>
  </si>
  <si>
    <t>Nợ c3</t>
  </si>
  <si>
    <t>Ngày 08/09/2023</t>
  </si>
  <si>
    <t>Sữa cho si</t>
  </si>
  <si>
    <t>Tiền tiết kiệm còn lại 08/09/2023</t>
  </si>
  <si>
    <t xml:space="preserve">Tiền bỉm </t>
  </si>
  <si>
    <t>Xe lắc cho si + nước giặt đồ</t>
  </si>
  <si>
    <t>Ngày 12/09/2023</t>
  </si>
  <si>
    <t>Tiền lương của big</t>
  </si>
  <si>
    <t>Tiền tiết kiệm còn lại 12/09/2023</t>
  </si>
  <si>
    <t>Ngày 13/09/2023</t>
  </si>
  <si>
    <t>Tiền lương hh vp bank</t>
  </si>
  <si>
    <t>Cưới Duy Vp bank</t>
  </si>
  <si>
    <t>Mua sâm cho si</t>
  </si>
  <si>
    <t>Ngày 22/09/2023</t>
  </si>
  <si>
    <t>sữa si</t>
  </si>
  <si>
    <t>cưới Nhật ban</t>
  </si>
  <si>
    <t>Tiền ngân hàng tháng 9/2023</t>
  </si>
  <si>
    <t>Tiền tiết kiệm còn lại 22/09/2023</t>
  </si>
  <si>
    <t>Ngày 25/09/2023</t>
  </si>
  <si>
    <t>Tiền đi nha trang</t>
  </si>
  <si>
    <t>Tiền tiết kiệm còn lại 25/09/2023</t>
  </si>
  <si>
    <t>Tiền cân hàng mango</t>
  </si>
  <si>
    <t>Đưa big 200k học lái xe</t>
  </si>
  <si>
    <t>Mua bansh kem + hoa sn</t>
  </si>
  <si>
    <t>Ngày 29/09/2023</t>
  </si>
  <si>
    <t>Tiền tiết kiệm còn lại 29/09/2023</t>
  </si>
  <si>
    <t>Tiền mn mừng sn</t>
  </si>
  <si>
    <t>Lương T09 của big</t>
  </si>
  <si>
    <t>Đưa big 500k đi sn</t>
  </si>
  <si>
    <t>Tiền ăn âm T09</t>
  </si>
  <si>
    <t>Đồ chơi cho Si</t>
  </si>
  <si>
    <t>Đưa big 1tr5 mua thẻ</t>
  </si>
  <si>
    <t>Mua bánh kem + ăn sn</t>
  </si>
  <si>
    <t>Mua đồ tết cho si</t>
  </si>
  <si>
    <t>Tiền tiết kiệm còn lại 4/10/2023</t>
  </si>
  <si>
    <t>Ngày 08/10/2023</t>
  </si>
  <si>
    <t>Mua váng sữa cho si</t>
  </si>
  <si>
    <t>Mua đồ uniqlo cho si + big</t>
  </si>
  <si>
    <t>Mua bỉm cho si</t>
  </si>
  <si>
    <t>shoppe lặt vặt cho si</t>
  </si>
  <si>
    <t>Ba lý mượn 2tr</t>
  </si>
  <si>
    <t>Tiền HH bảo hiểm</t>
  </si>
  <si>
    <t>Tiền tiết kiệm còn lại 8/10/2023</t>
  </si>
  <si>
    <t>Ngày 12/10/2023</t>
  </si>
  <si>
    <t>Tiền HH bảo hiểm T08</t>
  </si>
  <si>
    <t>Tiền cân hàng uniqlo</t>
  </si>
  <si>
    <t>Mua sữa horizon cho si</t>
  </si>
  <si>
    <t>váng sữa</t>
  </si>
  <si>
    <t>Mưng sn chíp</t>
  </si>
  <si>
    <t>Tiền tiết kiệm còn lại 12/10/2023</t>
  </si>
  <si>
    <t>Ngày 19/10/2023</t>
  </si>
  <si>
    <t>Si đi khám bệnh</t>
  </si>
  <si>
    <t>mừng 20/10 cho 2 bà</t>
  </si>
  <si>
    <t>Tiền tiết kiệm còn lại 19/10/2023</t>
  </si>
  <si>
    <t>Ngày 21/10/2023</t>
  </si>
  <si>
    <t>Tiền tiết kiệm còn lại 21/10/2023</t>
  </si>
  <si>
    <t>Ngày 25/10/2023</t>
  </si>
  <si>
    <t>Tiền ngân hàng T10</t>
  </si>
  <si>
    <t>Mua đồ chơi cho Si</t>
  </si>
  <si>
    <t>Tiền tiết kiệm còn lại 25/10/2023</t>
  </si>
  <si>
    <t>Gửi 500k đám giỗ ông ngoại</t>
  </si>
  <si>
    <t>Ngày 28/10/2023</t>
  </si>
  <si>
    <t>Đưa big 1tr tiền đi nhậu</t>
  </si>
  <si>
    <t>Vé tini word cho si chơi</t>
  </si>
  <si>
    <t>Tiền tiết kiệm còn lại 28/10/2023</t>
  </si>
  <si>
    <t>Ngày 30/10/2023</t>
  </si>
  <si>
    <t>Taxi đi khám cho si</t>
  </si>
  <si>
    <t>Nạp 2tr concung</t>
  </si>
  <si>
    <t>Đưa mấ 500k tiền giỗ</t>
  </si>
  <si>
    <t>Tiền tiết kiệm còn lại 30/10/2023</t>
  </si>
  <si>
    <t>Tiền ăn âm T10</t>
  </si>
  <si>
    <t>Lương big</t>
  </si>
  <si>
    <t>Má cho si 1tr</t>
  </si>
  <si>
    <t>Cắt kính cho D</t>
  </si>
  <si>
    <t>Tiền tiết kiệm còn lại 03/11/2023</t>
  </si>
  <si>
    <t>Ngày 03/11/2023</t>
  </si>
  <si>
    <t>Ngày 11/11/2023</t>
  </si>
  <si>
    <t>đưa bì 100k học lái xe</t>
  </si>
  <si>
    <t>Mua giày cho Si</t>
  </si>
  <si>
    <t>Mua đồ chơi cho si</t>
  </si>
  <si>
    <t>Tiền tiết kiệm còn lại 11/11/2023</t>
  </si>
  <si>
    <t>Ngày 12/11/2023</t>
  </si>
  <si>
    <t>Si đi tiniword</t>
  </si>
  <si>
    <t>Mua cân</t>
  </si>
  <si>
    <t>Taxi cho bà</t>
  </si>
  <si>
    <t>Ngày 17/11/2023</t>
  </si>
  <si>
    <t>Đưa big 1tr</t>
  </si>
  <si>
    <t>Mua góii massage</t>
  </si>
  <si>
    <t>Tiền tiết kiệm còn lại 12/11/2023</t>
  </si>
  <si>
    <t>Tiền tiết kiệm còn lại 17/11/2023</t>
  </si>
  <si>
    <t>Ngày 20/11/2023</t>
  </si>
  <si>
    <t>Đi ăn tối với c3</t>
  </si>
  <si>
    <t>Đưa big 500k đi tân gia</t>
  </si>
  <si>
    <t>Tiền tiết kiệm còn lại 20/11/2023</t>
  </si>
  <si>
    <t>Ngày 23/11/2023</t>
  </si>
  <si>
    <t>Mua phô mai cho si</t>
  </si>
  <si>
    <t>Đưa big 200k</t>
  </si>
  <si>
    <t>Tiền cân đồ của si</t>
  </si>
  <si>
    <t>Tiền lương T11 của vợ</t>
  </si>
  <si>
    <t>Tiền tiết kiệm còn lại 23/11/2023</t>
  </si>
  <si>
    <t>Mua đòo ăn vặt cho Si</t>
  </si>
  <si>
    <t>Ngày 27/11/2023</t>
  </si>
  <si>
    <t>Ba nội cho tiền học lái xe + trả nợ</t>
  </si>
  <si>
    <t>Tiền ngân hàng T11</t>
  </si>
  <si>
    <t>Tiền tiết kiệm còn lại 27/11/2023</t>
  </si>
  <si>
    <t>Ngày 30/11/2023</t>
  </si>
  <si>
    <t>Tiền khám + thuốc của big</t>
  </si>
  <si>
    <t>Tiền đặt khám cho bà</t>
  </si>
  <si>
    <t>Mừng sn a.hải</t>
  </si>
  <si>
    <t>Mua đồ ăn vặt cho si</t>
  </si>
  <si>
    <t>Tiền học lái xe của big</t>
  </si>
  <si>
    <t>Tiền ăn T11 dư 146k</t>
  </si>
  <si>
    <t>Trích tiền ăn T12</t>
  </si>
  <si>
    <t>Tiền tiết kiệm còn lại 30/11/2023</t>
  </si>
  <si>
    <t xml:space="preserve">Tiền sữa của Si </t>
  </si>
  <si>
    <t>Ngày 12/12/2023</t>
  </si>
  <si>
    <t>CK big 950k</t>
  </si>
  <si>
    <t>Mua đồ shoppe</t>
  </si>
  <si>
    <t>Tiêm phòng cho Si</t>
  </si>
  <si>
    <t>Thuốc mụn</t>
  </si>
  <si>
    <t>Mừng sn ba Lý</t>
  </si>
  <si>
    <t>Đồ mango</t>
  </si>
  <si>
    <t>Tiền tiết kiệm còn lại 12/12/2023</t>
  </si>
  <si>
    <t>Ngày 17/12/2023</t>
  </si>
  <si>
    <t>Tiền hoa hồng VP đã trừ 3tr cho KH</t>
  </si>
  <si>
    <t>Big lấy 1tr đi sát hạch oto</t>
  </si>
  <si>
    <t>Tiền tiết kiệm còn lại 17/12/2023</t>
  </si>
  <si>
    <t>Ngày 19/12/2023</t>
  </si>
  <si>
    <t xml:space="preserve">Big lấy 900k  </t>
  </si>
  <si>
    <t>Đóng tiền BHNT manuliffe</t>
  </si>
  <si>
    <t>CK má 300k tiền tổ tiên</t>
  </si>
  <si>
    <t>Ngày 25/12/2023</t>
  </si>
  <si>
    <t>Bỉm cho Si</t>
  </si>
  <si>
    <t>Tiền ngân hàng T12</t>
  </si>
  <si>
    <t>Tiền tiết kiệm còn lại 19/12/2023</t>
  </si>
  <si>
    <t>Tiền tiết kiệm còn lại 25/12/2023</t>
  </si>
  <si>
    <t>Ngày 30/12/2023</t>
  </si>
  <si>
    <t>Big lấy 300k đi nhậu</t>
  </si>
  <si>
    <t>Tiền lương big T12</t>
  </si>
  <si>
    <t>Mua bánh ăn dặm cho Si</t>
  </si>
  <si>
    <t>Tiền tiết kiệm còn lại 30/12/2023</t>
  </si>
  <si>
    <t>Ngày 31/12/2023</t>
  </si>
  <si>
    <t>Tiền mn mừng sn big</t>
  </si>
  <si>
    <t>Tiền ăn âm T12</t>
  </si>
  <si>
    <t>Tiền ăn T1</t>
  </si>
  <si>
    <t>Tiền tiết kiệm còn lại 31/12/2023</t>
  </si>
  <si>
    <t>Tiền bỉm</t>
  </si>
  <si>
    <t>Ngày 09/01/2024</t>
  </si>
  <si>
    <t>Tiền mua kem làm đẹp</t>
  </si>
  <si>
    <t>Sửa xe cho big</t>
  </si>
  <si>
    <t>Tiền hoa hồng vp bank-1tr5 tiền nhậu</t>
  </si>
  <si>
    <t>Lương tháng 13 của big</t>
  </si>
  <si>
    <t>Tiền tiết kiệm còn lại 09/01/2024</t>
  </si>
  <si>
    <t>Ngày 15/01/2024</t>
  </si>
  <si>
    <t>Tiền hoa hồng bán quà tết</t>
  </si>
  <si>
    <t>Chia tiền hoa hồng 1tr cho Phụng VP bank</t>
  </si>
  <si>
    <t>Tiền tiết kiệm còn lại 15/01/2024</t>
  </si>
  <si>
    <t>Big lấy 300k hớt tóc</t>
  </si>
  <si>
    <t>Ngày 18/01/2024</t>
  </si>
  <si>
    <t>Big lấy 1tr tiêu</t>
  </si>
  <si>
    <t>Tiền tiết kiệm còn lại 18/01/2024</t>
  </si>
  <si>
    <t>Ngày 19-27/01/2024</t>
  </si>
  <si>
    <t>Sữa chu + sữa tươi cho Si</t>
  </si>
  <si>
    <t>Big nhậu</t>
  </si>
  <si>
    <t>Đám cưới Linh VP bank</t>
  </si>
  <si>
    <t>Tiền khám của Big</t>
  </si>
  <si>
    <t>Đưa big 1tr mua giày</t>
  </si>
  <si>
    <t>Tất niên bóng đá</t>
  </si>
  <si>
    <t>Quần áo cho si</t>
  </si>
  <si>
    <t>Tiền ngân hàng T1</t>
  </si>
  <si>
    <t>Hoa hồng bán nhà</t>
  </si>
  <si>
    <t>Đóng 1tr tiền tất niên OCB</t>
  </si>
  <si>
    <t>Tiền tiết kiệm còn lại 19-27/01/2024</t>
  </si>
  <si>
    <t>Kem peel da</t>
  </si>
  <si>
    <t>Ngày 28/01/2024</t>
  </si>
  <si>
    <t>Tiền thuốc bôi da cho Si</t>
  </si>
  <si>
    <t>Taxi + Tiiền khám cho Si</t>
  </si>
  <si>
    <t>Big lấy 1tr ( tiền nhậu team 500k+500k mua quà cho a.quang)</t>
  </si>
  <si>
    <t>Lương T1 của big</t>
  </si>
  <si>
    <t>Tiền ăn âm T01</t>
  </si>
  <si>
    <t>Tiền ăn T02</t>
  </si>
  <si>
    <t>Tiền tiết kiệm còn lại 28/01/2024</t>
  </si>
  <si>
    <t>Ngày 06/02/2024</t>
  </si>
  <si>
    <t>Ngày 04/02/2024</t>
  </si>
  <si>
    <t>Tiền tiết kiệm còn lại 04/02/2024</t>
  </si>
  <si>
    <t>Xịt mũi cho si</t>
  </si>
  <si>
    <t>Dì 8 cho Si 1tr</t>
  </si>
  <si>
    <t>Ông bà cho muọn và cho si 1tr</t>
  </si>
  <si>
    <t>Ngày 07/02/2024</t>
  </si>
  <si>
    <t>C lệ lì xì cho Si</t>
  </si>
  <si>
    <t>Mừng SN ông ngoại</t>
  </si>
  <si>
    <t>C ân+ C phi lì xì cho Si</t>
  </si>
  <si>
    <t>Đưa big 300k cắt tóc</t>
  </si>
  <si>
    <t>Ông bà nội chi Si 2tr</t>
  </si>
  <si>
    <t>Tiền tiết kiệm còn lại 07/02/2024</t>
  </si>
  <si>
    <t>Ngày 10/02/2024</t>
  </si>
  <si>
    <t>Big đưa lại tiền giày</t>
  </si>
  <si>
    <t>Tiền lì xì chi ra</t>
  </si>
  <si>
    <t>Tiền lì xì thu vào</t>
  </si>
  <si>
    <t>Tiền đi chơi Vũng tàu</t>
  </si>
  <si>
    <t>Tiền tiết kiệm còn lại 10/02/2024</t>
  </si>
  <si>
    <t>Ngày 15/02/2024</t>
  </si>
  <si>
    <t>Đánh bài thua 1tr+ đóng quỹ 1tr3</t>
  </si>
  <si>
    <t>Bỉm si</t>
  </si>
  <si>
    <t>Cho nhà Bà nhung 300k</t>
  </si>
  <si>
    <t>Tiền tiết kiệm còn lại 15/02/2024</t>
  </si>
  <si>
    <t>Ngày 19/02/2024</t>
  </si>
  <si>
    <t>Đóng quỹ làm sân bóng chuyền 1tr+ đánh bài thua 1tr1+ nợ 400k</t>
  </si>
  <si>
    <t>Bà ngoại mừng Pepsi 1tr sn</t>
  </si>
  <si>
    <t>Mừng sn Dương 500k</t>
  </si>
  <si>
    <t>Tiền mn mừng sn Si</t>
  </si>
  <si>
    <t>Mua bánh kem + gà+ nhà hàng</t>
  </si>
  <si>
    <t>Big lấy 1tr mua giày</t>
  </si>
  <si>
    <t>Tiền tiết kiệm còn lại 19/02/2024</t>
  </si>
  <si>
    <t>Mừng đám cưới bạn ở uê</t>
  </si>
  <si>
    <t>Mua túi đựng hàng</t>
  </si>
  <si>
    <t>Ngày 27/02/2024</t>
  </si>
  <si>
    <t>Tiền ngân hàng T02</t>
  </si>
  <si>
    <t>Mua xúc xích và đồ chơi cho Si</t>
  </si>
  <si>
    <t>Mua đồ cho bà</t>
  </si>
  <si>
    <t xml:space="preserve">Đồ chơi cho Si </t>
  </si>
  <si>
    <t>Tiền ăn dư T02</t>
  </si>
  <si>
    <t>Tiền tiết kiệm còn lại 27/02/2024</t>
  </si>
  <si>
    <t>Ngày 03/03/2024</t>
  </si>
  <si>
    <t>Nhaạp tièn bán vàng dư</t>
  </si>
  <si>
    <t>Đám cưới Lộc VP bank</t>
  </si>
  <si>
    <t>Bỉm Si+Nước giặt + dầu gội đầu</t>
  </si>
  <si>
    <t>Tiền tiết kiệm còn lại 03/03/2024</t>
  </si>
  <si>
    <t>Ngày 06/03/2024</t>
  </si>
  <si>
    <t>Big lấy 1tr nộp quỹ đi choi + 150k tiền nhậu</t>
  </si>
  <si>
    <t>Mua bánh + sữa chua +dép cho si</t>
  </si>
  <si>
    <t>Tiền mừng 8/3 cho bà nội</t>
  </si>
  <si>
    <t>Tiền đi chơi Đà Lạt</t>
  </si>
  <si>
    <t>Tiền tiết kiệm còn lại 06/03/2024</t>
  </si>
  <si>
    <t>Ngày 15/03/2024</t>
  </si>
  <si>
    <t xml:space="preserve">Kh cho </t>
  </si>
  <si>
    <t>Đưa big 1tr tiêu</t>
  </si>
  <si>
    <t>Tiền bán vàng trang sức của ck</t>
  </si>
  <si>
    <t>Tiền bán vàng trang sức của vk</t>
  </si>
  <si>
    <t xml:space="preserve">Tiền bán vàng 2 chỉ </t>
  </si>
  <si>
    <t>Đám cưới Liên</t>
  </si>
  <si>
    <t>Mua sữa tắm</t>
  </si>
  <si>
    <t>Tiền nhậu của big</t>
  </si>
  <si>
    <t>Tiền tiết kiệm còn lại 15/03/2024</t>
  </si>
  <si>
    <t>Đồ cho 2 đứa con c.tuyết</t>
  </si>
  <si>
    <t>Đồ cho Mây</t>
  </si>
  <si>
    <t>Đồ cho Khang</t>
  </si>
  <si>
    <t>Đồ cho Khôi</t>
  </si>
  <si>
    <t>Đồ của Si</t>
  </si>
  <si>
    <t>Đồ Big</t>
  </si>
  <si>
    <t>Đồ má +mẹ</t>
  </si>
  <si>
    <t>Ngày 19/03/2024</t>
  </si>
  <si>
    <t>Mua suữa cho Si</t>
  </si>
  <si>
    <t>Tiền khám bệnh của D và bà</t>
  </si>
  <si>
    <t>Big lấy 300k tiền nhậu Sn C.Lệ</t>
  </si>
  <si>
    <t>Tiền ngân hàng T03</t>
  </si>
  <si>
    <t>Tiền tiết kiệm còn lại 23/03/2024</t>
  </si>
  <si>
    <t>Ngày 24/03/2024</t>
  </si>
  <si>
    <t>Mừng sn C.Tuyết</t>
  </si>
  <si>
    <t>Đồ Vợ</t>
  </si>
  <si>
    <t>Tiền tiết kiệm còn lại 24/03/2024</t>
  </si>
  <si>
    <t>Ngày 01-07/04/2024</t>
  </si>
  <si>
    <t xml:space="preserve">Big lấy 800k tiêu </t>
  </si>
  <si>
    <t>Sữa của Si</t>
  </si>
  <si>
    <t>Ga nệm</t>
  </si>
  <si>
    <t>Yến chưng</t>
  </si>
  <si>
    <t>Bỉm</t>
  </si>
  <si>
    <t>Tiền tất toán 330k+tiền lãi 700k+đóng thẻ tísn dụng 200k</t>
  </si>
  <si>
    <t>Tiền về quê daklak</t>
  </si>
  <si>
    <t>Tiền mừng cưới Hiền + Trong</t>
  </si>
  <si>
    <t>Tiền ăn âm T03</t>
  </si>
  <si>
    <t>Tiền ăn T04</t>
  </si>
  <si>
    <t>Tiền tiết kiệm còn lại 01-07/04/2024</t>
  </si>
  <si>
    <t>Tiền bán đồ lời 20tr</t>
  </si>
  <si>
    <t>Đưua big 1tr2</t>
  </si>
  <si>
    <t>Mua vitamin cho Si</t>
  </si>
  <si>
    <t>Tiền nhậu của big với hội bóng chuyền</t>
  </si>
  <si>
    <t>Ngày 14/04/2024</t>
  </si>
  <si>
    <t>Mua mỹ phẩm</t>
  </si>
  <si>
    <t>Đồ chơi cho si</t>
  </si>
  <si>
    <t>Dây thắt lưng cho Big</t>
  </si>
  <si>
    <t>Tiền tiết kiệm còn lại 14/04/2024</t>
  </si>
  <si>
    <t>Đám cưới Duy Quảng Nam</t>
  </si>
  <si>
    <t>Tiềm phòng cho Si</t>
  </si>
  <si>
    <t>Tiền khám của bà</t>
  </si>
  <si>
    <t>Tiền làm hồ sơ xin việc</t>
  </si>
  <si>
    <t>Mua gas trải giường</t>
  </si>
  <si>
    <t>Ngày 22/04/2024</t>
  </si>
  <si>
    <t>Tiền tiết kiệm còn lại 22/04/2024</t>
  </si>
  <si>
    <t>Ngày 28/04/2024</t>
  </si>
  <si>
    <t>Vang sữa cho Si</t>
  </si>
  <si>
    <t>Shoppe lặt vặt cho si</t>
  </si>
  <si>
    <t>Big mua giày</t>
  </si>
  <si>
    <t>Lương T04</t>
  </si>
  <si>
    <t>Tiền tiêu của D T05</t>
  </si>
  <si>
    <t>Big lấy 500k</t>
  </si>
  <si>
    <t>Đưa bà 2tr về quê mua đồ ăn</t>
  </si>
  <si>
    <t xml:space="preserve">Đi ăn + đi chơi lễ </t>
  </si>
  <si>
    <t>Tiền ăn T04 dư</t>
  </si>
  <si>
    <t>Tiền tiết kiệm còn lại 28/04/2024</t>
  </si>
  <si>
    <t>Ngày 04/05/2024</t>
  </si>
  <si>
    <t>Mua giày cho D</t>
  </si>
  <si>
    <t>Trừ tiền PS 1tr5</t>
  </si>
  <si>
    <t>Gốc</t>
  </si>
  <si>
    <t>Ngân hàng BIDV</t>
  </si>
  <si>
    <t>Ngày 07/05/2024</t>
  </si>
  <si>
    <t>Đồ Shoppe cho Si + đồ dùng trong nhà</t>
  </si>
  <si>
    <t>Tiền ngân hàng T04</t>
  </si>
  <si>
    <t>Tiền tiết kiệm còn lại 07/05/2024</t>
  </si>
  <si>
    <t>Ngày 09/05/2024</t>
  </si>
  <si>
    <t xml:space="preserve">đám cưới </t>
  </si>
  <si>
    <t>đồ quần áo</t>
  </si>
  <si>
    <t>Tiền tiết kiệm còn lại 09/05/2024</t>
  </si>
  <si>
    <t>Ngày 23/05/2024</t>
  </si>
  <si>
    <t>Tiền học T05+06</t>
  </si>
  <si>
    <t>Tiền cho các cô lớp si</t>
  </si>
  <si>
    <t>Tiền tiết kiệm còn lại 23/05/2024</t>
  </si>
  <si>
    <t>Ngày 31/05/2024</t>
  </si>
  <si>
    <t>ông bà ngoại cho Si 1/6</t>
  </si>
  <si>
    <t>Đi khám cho Si</t>
  </si>
  <si>
    <t>Tiền tiết kiệm còn lại 31/05/2024</t>
  </si>
  <si>
    <t>Ngày 05/06/2024</t>
  </si>
  <si>
    <t>Big lấy 1tr đi chơi</t>
  </si>
  <si>
    <t>Mua dép cho Si</t>
  </si>
  <si>
    <t>Tiền ngân hàng 10/06</t>
  </si>
  <si>
    <t>máy lọc nước</t>
  </si>
  <si>
    <t>con cưng</t>
  </si>
  <si>
    <t>tiền của Duyên</t>
  </si>
  <si>
    <t>Ngày 10/06/2024</t>
  </si>
  <si>
    <t>Bà nội cho Si</t>
  </si>
  <si>
    <t>Tiền tiết kiệm còn lại 05/06/2024</t>
  </si>
  <si>
    <t>Tiền tiết kiệm còn lại 10/06/2024</t>
  </si>
  <si>
    <t>Ngày 14/06/2024</t>
  </si>
  <si>
    <t>Tiền lắp đặt máy lọc nước</t>
  </si>
  <si>
    <t>Nước giặt xả</t>
  </si>
  <si>
    <t>Đám cưới</t>
  </si>
  <si>
    <t>Sách truyện cho Si</t>
  </si>
  <si>
    <t>Cọ rửa bình, ăn vặt của Si</t>
  </si>
  <si>
    <t>Tiền tiết kiệm còn lại 14/06/2024</t>
  </si>
  <si>
    <t>Ngày 19/06/2024</t>
  </si>
  <si>
    <t>Mừng đầy tháng con A4</t>
  </si>
  <si>
    <t xml:space="preserve">Đưa big 500k </t>
  </si>
  <si>
    <t>Cưới Nghĩa</t>
  </si>
  <si>
    <t>Đi Vui vui land</t>
  </si>
  <si>
    <t>Tiền tiết kiệm còn lại 19/06/2024</t>
  </si>
  <si>
    <t>Cho các cô của Si</t>
  </si>
  <si>
    <t>Ngày 28/06/2024</t>
  </si>
  <si>
    <t>Si đi chơi aoen</t>
  </si>
  <si>
    <t>Big lấy k đi nhậu</t>
  </si>
  <si>
    <t>Lương big T06</t>
  </si>
  <si>
    <t>Sữa cho SI</t>
  </si>
  <si>
    <t>Tiền tiết kiệm còn lại 28/06/2024</t>
  </si>
  <si>
    <t>Ngày 07/07/2024</t>
  </si>
  <si>
    <t>Bà nội cho SI</t>
  </si>
  <si>
    <t>Dẫn mấy đứa nhỏ đi chơi + mua đồ linh tinh</t>
  </si>
  <si>
    <t>Mua mỹ phâmr</t>
  </si>
  <si>
    <t>Ngày 09/07/2024</t>
  </si>
  <si>
    <t>tiền siêu thị</t>
  </si>
  <si>
    <t>Ngày 11/07/2024</t>
  </si>
  <si>
    <t>tiền tiêu của vợ</t>
  </si>
  <si>
    <t>Ông bà nội cho Si</t>
  </si>
  <si>
    <t>D đi khám phụ khoa</t>
  </si>
  <si>
    <t>Tiền tiết kiệm còn lại 11/07/2024</t>
  </si>
  <si>
    <t>Ngày 20/07/2024</t>
  </si>
  <si>
    <t>Ông nội mượn 1tr</t>
  </si>
  <si>
    <t>Big lấy 2tr tiền tiêu + sửa xe</t>
  </si>
  <si>
    <t>mua đồ ăn vặt cho Si</t>
  </si>
  <si>
    <t>Taxi đi sthi</t>
  </si>
  <si>
    <t>Mua đồ ăn + Sữa của Si</t>
  </si>
  <si>
    <t>Rèm che cửa</t>
  </si>
  <si>
    <t>Tiền tiết kiệm còn lại 20/07/2024</t>
  </si>
  <si>
    <t>Ngày 23/07/2024</t>
  </si>
  <si>
    <t>Duong cho Si 2tr</t>
  </si>
  <si>
    <t>Mua yến hết 2tr5</t>
  </si>
  <si>
    <t>Shoppe túi bọc hàng</t>
  </si>
  <si>
    <t>Tiền tiết kiệm còn lại 23/07/2024</t>
  </si>
  <si>
    <t>Ngày 29/07/2024</t>
  </si>
  <si>
    <t>Si đi bvien</t>
  </si>
  <si>
    <t>Cho các cô Si</t>
  </si>
  <si>
    <t>Đồ Si</t>
  </si>
  <si>
    <t>Tiền ăn T7 dư</t>
  </si>
  <si>
    <t>Tiền tiết kiệm còn lại 29/07/2024</t>
  </si>
  <si>
    <t>Ngày 05/08/2024</t>
  </si>
  <si>
    <t>Sưả vòi nước +mua nước</t>
  </si>
  <si>
    <t xml:space="preserve">Sửa xe vợ </t>
  </si>
  <si>
    <t>Tiền ăn ốc</t>
  </si>
  <si>
    <t>Tiền tiết kiệm còn lại 05/08/2024</t>
  </si>
  <si>
    <t>Ngày 09/08/2024</t>
  </si>
  <si>
    <t>Giỗ bà nội lý</t>
  </si>
  <si>
    <t>tiền ngân hàng t7</t>
  </si>
  <si>
    <t>Sthi</t>
  </si>
  <si>
    <t>Luoưng Vợ</t>
  </si>
  <si>
    <t>Tiền tiết kiệm còn lại 09/08/2024</t>
  </si>
  <si>
    <t>Ngày 16/08/2024</t>
  </si>
  <si>
    <t>Sửa xe + ăn sáng</t>
  </si>
  <si>
    <t>Ăn tối ở sthi</t>
  </si>
  <si>
    <t>Đi sthi</t>
  </si>
  <si>
    <t>Ngày 22/08/2024</t>
  </si>
  <si>
    <t>Mừng SN c3</t>
  </si>
  <si>
    <t>Tiền tiết kiệm còn lại 16/08/2024</t>
  </si>
  <si>
    <t>Muabỉm cho Si</t>
  </si>
  <si>
    <t>Trả big 500k</t>
  </si>
  <si>
    <t>Tiền tiết kiệm còn lại 22/08/2024</t>
  </si>
  <si>
    <t>Ngày 31/08/2024</t>
  </si>
  <si>
    <t>Đóng tiền học cho si</t>
  </si>
  <si>
    <t>Tiền ăn T8 dư</t>
  </si>
  <si>
    <t>Kem đánh răng</t>
  </si>
  <si>
    <t>Tiền tiết kiệm còn lại 31/08/2024</t>
  </si>
  <si>
    <t>Ngày 03/09/2024</t>
  </si>
  <si>
    <t>Cho ông cố 200k</t>
  </si>
  <si>
    <t>bỉm Si</t>
  </si>
  <si>
    <t>Tiền ngân hàng T08</t>
  </si>
  <si>
    <t>Đưa bà 3tr về quê+ 3tr mua đồ ăn</t>
  </si>
  <si>
    <t>đóng tiền học cho si</t>
  </si>
  <si>
    <t>Tiền tiết kiệm còn lại 03/09/2024</t>
  </si>
  <si>
    <t>Ngày 17/09/2024</t>
  </si>
  <si>
    <t>Sữa bột</t>
  </si>
  <si>
    <t>Tiền ăn uống, sữa xe, góp tiền thuốc ông nội,...</t>
  </si>
  <si>
    <t>Tiền hoàn bidv</t>
  </si>
  <si>
    <t>Sửa tủ quần áo</t>
  </si>
  <si>
    <t>dép vợ</t>
  </si>
  <si>
    <t>Khám cho Si</t>
  </si>
  <si>
    <t>Ngày 24/09/2024</t>
  </si>
  <si>
    <t>Bà nộ cho SI</t>
  </si>
  <si>
    <t>Tiền tiết kiệm còn lại 17/09/2024</t>
  </si>
  <si>
    <t>Tiền tiết kiệm còn lại 24/09/2024</t>
  </si>
  <si>
    <t>Ngày 28/09/2024</t>
  </si>
  <si>
    <t>Tiền mừng sn vợ</t>
  </si>
  <si>
    <t>Big lấy 200k</t>
  </si>
  <si>
    <t>Sưaux cho Si</t>
  </si>
  <si>
    <t>Dép cho Si</t>
  </si>
  <si>
    <t>Ngày 05/10/2024</t>
  </si>
  <si>
    <t>Mùng Sn bà + đi ăn</t>
  </si>
  <si>
    <t>Tất chân cho Si</t>
  </si>
  <si>
    <t>Tièn học Si</t>
  </si>
  <si>
    <t>Tiền ngân hàng T09</t>
  </si>
  <si>
    <t>Tiền ăn T09 âm</t>
  </si>
  <si>
    <t>Tiền tiết kiệm còn lại 28/09/2024</t>
  </si>
  <si>
    <t>Tiền tiết kiệm còn lại 05/10/2024</t>
  </si>
  <si>
    <t>Ngày 10/10/2024</t>
  </si>
  <si>
    <t>Mua sữa chua cho Si</t>
  </si>
  <si>
    <t>Truyện + bỉm +đồ chơi cho Si</t>
  </si>
  <si>
    <t>Tiền tiết kiệm còn lại 10/10/2024</t>
  </si>
  <si>
    <t>Ngày 25/10/2024</t>
  </si>
  <si>
    <t>big lấy 400k</t>
  </si>
  <si>
    <t>dép big</t>
  </si>
  <si>
    <t>đồ si</t>
  </si>
  <si>
    <t>Tiền tiết kiệm còn lại 25/10/2024</t>
  </si>
  <si>
    <t>Ngày 27/10/2024</t>
  </si>
  <si>
    <t>triệt lông chân</t>
  </si>
  <si>
    <t>Ngày 31/10/2024</t>
  </si>
  <si>
    <t>Mua quần áo + sửa cho Si</t>
  </si>
  <si>
    <t>Tiền tiết kiệm còn lại 27/10/2024</t>
  </si>
  <si>
    <t>Lương Big</t>
  </si>
  <si>
    <t>Sữa tắm cho Si</t>
  </si>
  <si>
    <t>Tiền tiết kiệm còn lại 31/10/2024</t>
  </si>
  <si>
    <t>Ngày 06/11/2024</t>
  </si>
  <si>
    <t>tiền học của Si</t>
  </si>
  <si>
    <t>Tiền tiết kiệm còn lại 06/11/2024</t>
  </si>
  <si>
    <t>Ngày 12/11/2024</t>
  </si>
  <si>
    <t>Lương D</t>
  </si>
  <si>
    <t>Túi cho big</t>
  </si>
  <si>
    <t>Nươcs giặt</t>
  </si>
  <si>
    <t>Tiền tiết kiệm còn lại 12/11/2024</t>
  </si>
  <si>
    <t>Ngày 17/11/2024</t>
  </si>
  <si>
    <t>Đưa big 500k</t>
  </si>
  <si>
    <t>Tiêm cho Si</t>
  </si>
  <si>
    <t>Tiền tiết kiệm còn lại 17/11/2024</t>
  </si>
  <si>
    <t>Ngày 201/2024</t>
  </si>
  <si>
    <t>Đi 20/11 cho 2 cô Si</t>
  </si>
  <si>
    <t>Sn a4</t>
  </si>
  <si>
    <t>Tiền tiết kiệm còn lại 20/11/2024</t>
  </si>
  <si>
    <t>Ngày 25/11/2024</t>
  </si>
  <si>
    <t>Tiền tiết kiệm còn lại 25/11/2024</t>
  </si>
  <si>
    <t>big lấy 1tr5</t>
  </si>
  <si>
    <t>Sn A.Hải</t>
  </si>
  <si>
    <t>Ngày 30/11/2024</t>
  </si>
  <si>
    <t>Tiền ăn T11 âm</t>
  </si>
  <si>
    <t>Tiền tiết kiệm còn lại 30/11/2024</t>
  </si>
  <si>
    <t>Ngày 09/12/2024</t>
  </si>
  <si>
    <t>Tiền tiết kiệm còn lại 09/12/2024</t>
  </si>
  <si>
    <t>Ngày 12/12/2024</t>
  </si>
  <si>
    <t>Tiền lương vợ</t>
  </si>
  <si>
    <t>Xem bói</t>
  </si>
  <si>
    <t>Sn ba lý</t>
  </si>
  <si>
    <t>Tiền tiết kiệm còn lại 12/12/2024</t>
  </si>
  <si>
    <t>Tiền học Si</t>
  </si>
  <si>
    <t>Ngày 15/12/2024</t>
  </si>
  <si>
    <t>Đưa big 500k tiền sửa xe</t>
  </si>
  <si>
    <t>tièn hoa hồng bán set - công làm cho c3</t>
  </si>
  <si>
    <t>Ngày 17/12/2024</t>
  </si>
  <si>
    <t>Áo dài cho vợ</t>
  </si>
  <si>
    <t>Làm tóc</t>
  </si>
  <si>
    <t>Tiền big đi vũng tàu</t>
  </si>
  <si>
    <t>Tiền tiết kiệm còn lại 17/12/2024</t>
  </si>
  <si>
    <t>Ngày 21/12/2024</t>
  </si>
  <si>
    <t>tiền chạp mã quê ck</t>
  </si>
  <si>
    <t>Vệ sinh máy lạnh</t>
  </si>
  <si>
    <t>Ngày 27/12/2024</t>
  </si>
  <si>
    <t>Đóng tiền bảo hiềm manulife 2024</t>
  </si>
  <si>
    <t>Ngày 29/12/2024</t>
  </si>
  <si>
    <t>sữa</t>
  </si>
  <si>
    <t>Tiền tiết kiệm còn lại 27/12/2024</t>
  </si>
  <si>
    <t>Tiền tiết kiệm còn lại 29/12/2024</t>
  </si>
  <si>
    <t>Ngày 31/12/2024</t>
  </si>
  <si>
    <t>Sữa + VITAMIN cho Si</t>
  </si>
  <si>
    <t>Nước giặt + xả</t>
  </si>
  <si>
    <t>Dẫn Si đi khu vui chơi</t>
  </si>
  <si>
    <t>Lương T12 của big</t>
  </si>
  <si>
    <t>Tiền ăn T12 dương</t>
  </si>
  <si>
    <t>Trích tiền ăn T01</t>
  </si>
  <si>
    <t>Tiền tiết kiệm còn lại 31/12/2024</t>
  </si>
  <si>
    <t>Ngày 01/01/2025</t>
  </si>
  <si>
    <t>ông nội mừng sn big</t>
  </si>
  <si>
    <t>Tiền tiết kiệm còn lại 01/01//2025</t>
  </si>
  <si>
    <t>Ngày 04/01/2025</t>
  </si>
  <si>
    <t>Tiền tiết kiệm còn lại 04/01//2025</t>
  </si>
  <si>
    <t>Ngày 08/01/2025</t>
  </si>
  <si>
    <t>Sữa tươi</t>
  </si>
  <si>
    <t>Mừng cưới Bảo</t>
  </si>
  <si>
    <t>Tiền tiết kiệm còn lại 08/01//2025</t>
  </si>
  <si>
    <t>Ngày 12/01/2025</t>
  </si>
  <si>
    <t>mua đồ chơi cho Si</t>
  </si>
  <si>
    <t>Lương T13 của big</t>
  </si>
  <si>
    <t>Đồ bà ba cho Si</t>
  </si>
  <si>
    <t>Tiền tiết kiệm còn lại 12/01//2025</t>
  </si>
  <si>
    <t>Ngày 13/01/2025</t>
  </si>
  <si>
    <t>Tiền bán đồ lời của Vợ</t>
  </si>
  <si>
    <t>Tiền tiết kiệm còn lại 13/01//2025</t>
  </si>
  <si>
    <t>Ngày 15/01/2025</t>
  </si>
  <si>
    <t>Bim cho Si</t>
  </si>
  <si>
    <t>gas giường</t>
  </si>
  <si>
    <t>Shoppe linh tinh</t>
  </si>
  <si>
    <t>Tiền tiết kiệm còn lại 15/01//2025</t>
  </si>
  <si>
    <t>Ngày 20/01/2025</t>
  </si>
  <si>
    <t>Lương T01 của big</t>
  </si>
  <si>
    <t>Tiền học T02 của Si</t>
  </si>
  <si>
    <t>lì xì 2 cô</t>
  </si>
  <si>
    <t>Tiền cho bà về quê</t>
  </si>
  <si>
    <t>Tiền tiết kiệm còn lại 20/01//2025</t>
  </si>
  <si>
    <t>Tiền về quê ăn tết 2025</t>
  </si>
  <si>
    <t>Ngày 31/01/2025</t>
  </si>
  <si>
    <t>Tiền ăn T01 âm</t>
  </si>
  <si>
    <t>Má cho 10tr về quê ăn tết</t>
  </si>
  <si>
    <t>Tiền tiết kiệm còn lại 31/01//2025</t>
  </si>
  <si>
    <t>Ngày 05/02/2025</t>
  </si>
  <si>
    <t>Ngày 07/02/2025</t>
  </si>
  <si>
    <t>Tiền NH tháng 02</t>
  </si>
  <si>
    <t>Ngày 08/02/2025</t>
  </si>
  <si>
    <t>Muừng sn ông</t>
  </si>
  <si>
    <t>Lương vợ T01</t>
  </si>
  <si>
    <t>ghế dựa</t>
  </si>
  <si>
    <t>Tiền tiết kiệm còn lại 08/02//2025</t>
  </si>
  <si>
    <t>Ngày 19/02/2025</t>
  </si>
  <si>
    <t>Khám + tièn thuốc của bà + big lấy 800k mua áo + đổ xăng</t>
  </si>
  <si>
    <t>Bánh kem sn Si</t>
  </si>
  <si>
    <t>Mua đồ chiên SN</t>
  </si>
  <si>
    <t>Ăn tối ở quán</t>
  </si>
  <si>
    <t>C.3 + Ông ngoại+ nội mừng sn Si</t>
  </si>
  <si>
    <t>Tiền tiết kiệm còn lại 19/02//2025</t>
  </si>
  <si>
    <t>Ngày 24/02/2025</t>
  </si>
  <si>
    <t>Mua suữa + vitamin</t>
  </si>
  <si>
    <t>Lương T02 VP bank</t>
  </si>
  <si>
    <t>Tiền tiết kiệm còn lại 24/02//2025</t>
  </si>
  <si>
    <t>Cưới bê</t>
  </si>
  <si>
    <t>Xem phim</t>
  </si>
  <si>
    <t>Đưa big</t>
  </si>
  <si>
    <t>Đồng hồ</t>
  </si>
  <si>
    <t>Ngày 07/03/2025</t>
  </si>
  <si>
    <t>Tiền ăn T02 âm</t>
  </si>
  <si>
    <t>8-3 cho cô Si</t>
  </si>
  <si>
    <t>Ngày 09/03/2025</t>
  </si>
  <si>
    <t>Tiền tiết kiệm còn lại 07/03//2025</t>
  </si>
  <si>
    <t>Tiêm vắc xin</t>
  </si>
  <si>
    <t>Thay lõi lọc nước</t>
  </si>
  <si>
    <t>Tiền tiết kiệm còn lại 09/03//2025</t>
  </si>
  <si>
    <t>Ngày 11/03/2025</t>
  </si>
  <si>
    <t>Đưa big 1tr5 định giá cho KH</t>
  </si>
  <si>
    <t>Si đi dã ngoại</t>
  </si>
  <si>
    <t>Tiền tiết kiệm còn lại 11/03//2025</t>
  </si>
  <si>
    <t>Ngày 24/03/2025</t>
  </si>
  <si>
    <t>Đưa big 400k</t>
  </si>
  <si>
    <t>Đèn báo cháy</t>
  </si>
  <si>
    <t>Viếng bạn big</t>
  </si>
  <si>
    <t>HP Si T04+05</t>
  </si>
  <si>
    <t>Tiền tiết kiệm còn lại 24/03//2025</t>
  </si>
  <si>
    <t>Ngày 30/03/2025</t>
  </si>
  <si>
    <t>Tiền tiết kiệm còn lại 30/03//2025</t>
  </si>
  <si>
    <t>Ngày 31/03/2025</t>
  </si>
  <si>
    <t>Ăn buffe Posiden</t>
  </si>
  <si>
    <t>Sữa Si</t>
  </si>
  <si>
    <t>Giày cho Big</t>
  </si>
  <si>
    <t>Tiên ăn T03 âm</t>
  </si>
  <si>
    <t>Tiền tiết kiệm còn lại 31/03//2025</t>
  </si>
  <si>
    <t>Ngày 07/04/2025</t>
  </si>
  <si>
    <t>Sữa + sữa chua cho Si</t>
  </si>
  <si>
    <t>Ngân hàng T03</t>
  </si>
  <si>
    <t>Ứng cho Big tiền xe đi lại + 1tr chi tiêu Đà Lạt</t>
  </si>
  <si>
    <t>big lấy 200k</t>
  </si>
  <si>
    <t>Tiền tiết kiệm còn lại 07/04//2025</t>
  </si>
  <si>
    <t>Ngày 14/04/2025</t>
  </si>
  <si>
    <t>Sữa bột + phô mai</t>
  </si>
  <si>
    <t>Tiền tiết kiệm còn lại 14/04//2025</t>
  </si>
  <si>
    <t>Ngày 15/04/2025</t>
  </si>
  <si>
    <t>CK bà nôij 500k dưỡng bệnh</t>
  </si>
  <si>
    <t>Tiền tiết kiệm còn lại 15/04//2025</t>
  </si>
  <si>
    <t>Ngày 29/04/2025</t>
  </si>
  <si>
    <t>Kh trả tiền đi Đà Lạt + cho 500k</t>
  </si>
  <si>
    <t>thưởng lễ 30/4-1/5</t>
  </si>
  <si>
    <t>Tiền tiết kiệm còn lại 29/04//2025</t>
  </si>
  <si>
    <t>thương tết của vợ</t>
  </si>
  <si>
    <t>Ngày 04/05/2025</t>
  </si>
  <si>
    <t>Sữa + sữa chua+ đồ chơi cho Si</t>
  </si>
  <si>
    <t>Sữa + quần áo Si</t>
  </si>
  <si>
    <t>Tiền tiết kiệm còn lại 04/05//2025</t>
  </si>
  <si>
    <t>Ngày 12/05/2025</t>
  </si>
  <si>
    <t>Mừng thôi nôi Bé Nấm</t>
  </si>
  <si>
    <t>Mừng cưới bạn Thắng c5</t>
  </si>
  <si>
    <t>Tiền tiết kiệm còn lại 12/05//2025</t>
  </si>
  <si>
    <t>Ngày 15/05/2025</t>
  </si>
  <si>
    <t>Big lấy 2tr tiếp kh</t>
  </si>
  <si>
    <t>6th học tiếng anh</t>
  </si>
  <si>
    <t>Ngày 19/05/2025</t>
  </si>
  <si>
    <t>Kh cho 500k</t>
  </si>
  <si>
    <t>Lương KD</t>
  </si>
  <si>
    <t>Tiền tiết kiệm còn lại 15/05//2025</t>
  </si>
  <si>
    <t>Tiền tiết kiệm còn lại 19/05//2025</t>
  </si>
  <si>
    <t>Ngày 21/05/2025</t>
  </si>
  <si>
    <t>quần áo si</t>
  </si>
  <si>
    <t>Big lấy 600k đi cưới trong vp bank</t>
  </si>
  <si>
    <t>Tiền tiết kiệm còn lại 21/05//2025</t>
  </si>
  <si>
    <t>Ngày 29/05/2025</t>
  </si>
  <si>
    <t>CK big 300k tiêu</t>
  </si>
  <si>
    <t>Cho 2 cô Si 400k</t>
  </si>
  <si>
    <t>Ck big 700k tiền xăng</t>
  </si>
  <si>
    <t>Mừng cưới chị Hảo + Tuấn c5</t>
  </si>
  <si>
    <t>Tiền KS phan thiết</t>
  </si>
  <si>
    <t>chi tiêu ở phan Thiết</t>
  </si>
  <si>
    <t>Luong big</t>
  </si>
  <si>
    <t>Tiền tiết kiệm còn lại 29/05//2025</t>
  </si>
  <si>
    <t>Ngày 09/06/2025</t>
  </si>
  <si>
    <t>Đi ăn ở Phan Thiết</t>
  </si>
  <si>
    <t>Cưới bạn big VT</t>
  </si>
  <si>
    <t>Cưới con chú An</t>
  </si>
  <si>
    <t>Đồ cho Si</t>
  </si>
  <si>
    <t>Ngân hàng T05</t>
  </si>
  <si>
    <t>Tiền tiết kiệm còn lại 09/06/2025</t>
  </si>
  <si>
    <t>Ngày 15/06/2025</t>
  </si>
  <si>
    <t>tạm ứng cho KH 2tr</t>
  </si>
  <si>
    <t>quà cho GDD vùng</t>
  </si>
  <si>
    <t>Tiền tiết kiệm còn lại 15/06/2025</t>
  </si>
  <si>
    <t>big lấy 1500k tiêu</t>
  </si>
  <si>
    <t>Ngày 27/06/2025</t>
  </si>
  <si>
    <t>Lương ck</t>
  </si>
  <si>
    <t>Ngày 10/07/2025</t>
  </si>
  <si>
    <t>Tiền ngân hàng T06</t>
  </si>
  <si>
    <t xml:space="preserve">KH trả 2tr </t>
  </si>
  <si>
    <t>Tiền tiết kiệm còn lại 10/07/2025</t>
  </si>
  <si>
    <t>Ngày 19/07/2025</t>
  </si>
  <si>
    <t>Sửa rỉ nước</t>
  </si>
  <si>
    <t>Vsinh máy lạnh + máy giặt</t>
  </si>
  <si>
    <t>ví cho big</t>
  </si>
  <si>
    <t>Tiền tiết kiệm còn lại 19/07/2025</t>
  </si>
  <si>
    <t>Ngày 20/07/2025</t>
  </si>
  <si>
    <t>dì 8 cho Si 500k</t>
  </si>
  <si>
    <t>Đồ cho big</t>
  </si>
  <si>
    <t>Tiền tiết kiệm còn lại 20/07/2025</t>
  </si>
  <si>
    <t>Ngày 23/07/2025</t>
  </si>
  <si>
    <t>CK má 300k tiền giỗ bà nội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</si>
</sst>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_);_(@_)"/>
    <numFmt numFmtId="166" formatCode="0.00000"/>
    <numFmt numFmtId="167" formatCode="_(* #,##0.00000000_);_(* \(#,##0.00000000\);_(* &quot;-&quot;??_);_(@_)"/>
  </numFmts>
  <fonts count="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2"/>
    </font>
    <font>
      <sz val="12"/>
      <name val="Times New Roman"/>
      <family val="2"/>
    </font>
    <font>
      <sz val="12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1">
    <xf numFmtId="0" fontId="0" fillId="0" borderId="0" xfId="0"/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right"/>
    </xf>
    <xf numFmtId="164" fontId="0" fillId="0" borderId="0" xfId="1" applyNumberFormat="1" applyFont="1"/>
    <xf numFmtId="0" fontId="2" fillId="0" borderId="0" xfId="0" applyFont="1"/>
    <xf numFmtId="164" fontId="2" fillId="0" borderId="0" xfId="1" applyNumberFormat="1" applyFont="1" applyAlignment="1">
      <alignment horizontal="right"/>
    </xf>
    <xf numFmtId="164" fontId="2" fillId="0" borderId="0" xfId="1" applyNumberFormat="1" applyFont="1"/>
    <xf numFmtId="164" fontId="0" fillId="0" borderId="0" xfId="0" applyNumberFormat="1"/>
    <xf numFmtId="16" fontId="2" fillId="0" borderId="0" xfId="0" applyNumberFormat="1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164" fontId="2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 wrapText="1"/>
    </xf>
    <xf numFmtId="164" fontId="2" fillId="2" borderId="0" xfId="1" applyNumberFormat="1" applyFont="1" applyFill="1" applyAlignment="1">
      <alignment vertical="center"/>
    </xf>
    <xf numFmtId="14" fontId="0" fillId="0" borderId="0" xfId="0" applyNumberFormat="1"/>
    <xf numFmtId="164" fontId="2" fillId="2" borderId="0" xfId="1" applyNumberFormat="1" applyFont="1" applyFill="1"/>
    <xf numFmtId="164" fontId="2" fillId="3" borderId="0" xfId="1" applyNumberFormat="1" applyFont="1" applyFill="1" applyAlignment="1">
      <alignment vertical="center"/>
    </xf>
    <xf numFmtId="0" fontId="3" fillId="0" borderId="0" xfId="0" applyFont="1"/>
    <xf numFmtId="43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3" fontId="2" fillId="0" borderId="0" xfId="0" applyNumberFormat="1" applyFont="1"/>
    <xf numFmtId="0" fontId="2" fillId="3" borderId="0" xfId="0" applyFont="1" applyFill="1" applyAlignment="1">
      <alignment vertical="center" wrapText="1"/>
    </xf>
    <xf numFmtId="164" fontId="2" fillId="3" borderId="0" xfId="1" applyNumberFormat="1" applyFont="1" applyFill="1"/>
    <xf numFmtId="164" fontId="2" fillId="2" borderId="0" xfId="1" applyNumberFormat="1" applyFont="1" applyFill="1" applyAlignment="1">
      <alignment horizontal="center" vertical="center"/>
    </xf>
    <xf numFmtId="43" fontId="2" fillId="0" borderId="0" xfId="1" applyNumberFormat="1" applyFont="1"/>
    <xf numFmtId="0" fontId="2" fillId="0" borderId="0" xfId="0" applyFont="1" applyFill="1" applyAlignment="1">
      <alignment vertical="center" wrapText="1"/>
    </xf>
    <xf numFmtId="164" fontId="2" fillId="0" borderId="0" xfId="1" applyNumberFormat="1" applyFont="1" applyFill="1" applyAlignment="1">
      <alignment horizontal="center" vertical="center"/>
    </xf>
    <xf numFmtId="0" fontId="3" fillId="0" borderId="0" xfId="0" applyFont="1" applyFill="1"/>
    <xf numFmtId="0" fontId="0" fillId="0" borderId="0" xfId="0" applyFill="1" applyAlignment="1">
      <alignment horizontal="right"/>
    </xf>
    <xf numFmtId="164" fontId="0" fillId="0" borderId="0" xfId="1" applyNumberFormat="1" applyFont="1" applyFill="1"/>
    <xf numFmtId="0" fontId="0" fillId="0" borderId="0" xfId="0" applyFill="1"/>
    <xf numFmtId="164" fontId="2" fillId="0" borderId="0" xfId="1" applyNumberFormat="1" applyFont="1" applyFill="1"/>
    <xf numFmtId="164" fontId="0" fillId="4" borderId="0" xfId="1" applyNumberFormat="1" applyFont="1" applyFill="1"/>
    <xf numFmtId="0" fontId="3" fillId="4" borderId="0" xfId="0" applyFont="1" applyFill="1"/>
    <xf numFmtId="0" fontId="0" fillId="4" borderId="0" xfId="0" applyFill="1" applyAlignment="1">
      <alignment horizontal="right"/>
    </xf>
    <xf numFmtId="0" fontId="0" fillId="4" borderId="0" xfId="0" applyFill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2" fillId="4" borderId="1" xfId="1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/>
    <xf numFmtId="164" fontId="0" fillId="0" borderId="2" xfId="1" applyNumberFormat="1" applyFont="1" applyBorder="1"/>
    <xf numFmtId="14" fontId="0" fillId="0" borderId="1" xfId="0" applyNumberFormat="1" applyBorder="1"/>
    <xf numFmtId="164" fontId="0" fillId="4" borderId="1" xfId="1" applyNumberFormat="1" applyFont="1" applyFill="1" applyBorder="1"/>
    <xf numFmtId="164" fontId="0" fillId="4" borderId="1" xfId="0" applyNumberFormat="1" applyFill="1" applyBorder="1"/>
    <xf numFmtId="164" fontId="0" fillId="2" borderId="1" xfId="0" applyNumberFormat="1" applyFill="1" applyBorder="1"/>
    <xf numFmtId="164" fontId="0" fillId="2" borderId="1" xfId="1" applyNumberFormat="1" applyFont="1" applyFill="1" applyBorder="1"/>
    <xf numFmtId="164" fontId="0" fillId="5" borderId="1" xfId="0" applyNumberFormat="1" applyFill="1" applyBorder="1"/>
    <xf numFmtId="10" fontId="0" fillId="0" borderId="2" xfId="0" applyNumberFormat="1" applyBorder="1"/>
    <xf numFmtId="0" fontId="0" fillId="0" borderId="2" xfId="0" applyBorder="1"/>
    <xf numFmtId="0" fontId="0" fillId="0" borderId="3" xfId="0" applyFill="1" applyBorder="1"/>
    <xf numFmtId="0" fontId="0" fillId="6" borderId="1" xfId="0" applyFill="1" applyBorder="1" applyAlignment="1">
      <alignment horizontal="center" vertical="center"/>
    </xf>
    <xf numFmtId="14" fontId="0" fillId="6" borderId="1" xfId="0" applyNumberFormat="1" applyFill="1" applyBorder="1"/>
    <xf numFmtId="164" fontId="0" fillId="6" borderId="1" xfId="1" applyNumberFormat="1" applyFont="1" applyFill="1" applyBorder="1"/>
    <xf numFmtId="164" fontId="0" fillId="6" borderId="1" xfId="0" applyNumberFormat="1" applyFill="1" applyBorder="1"/>
    <xf numFmtId="164" fontId="2" fillId="3" borderId="0" xfId="1" applyNumberFormat="1" applyFont="1" applyFill="1" applyAlignment="1">
      <alignment horizontal="center" vertical="center"/>
    </xf>
    <xf numFmtId="0" fontId="0" fillId="0" borderId="0" xfId="0" quotePrefix="1"/>
    <xf numFmtId="0" fontId="4" fillId="0" borderId="0" xfId="0" applyFont="1"/>
    <xf numFmtId="0" fontId="0" fillId="7" borderId="0" xfId="0" applyFill="1"/>
    <xf numFmtId="0" fontId="0" fillId="7" borderId="0" xfId="0" applyFill="1" applyAlignment="1">
      <alignment horizontal="right"/>
    </xf>
    <xf numFmtId="164" fontId="0" fillId="7" borderId="0" xfId="1" applyNumberFormat="1" applyFont="1" applyFill="1"/>
    <xf numFmtId="0" fontId="4" fillId="0" borderId="0" xfId="0" applyFont="1" applyAlignment="1">
      <alignment horizontal="right"/>
    </xf>
    <xf numFmtId="164" fontId="4" fillId="0" borderId="0" xfId="1" applyNumberFormat="1" applyFont="1"/>
    <xf numFmtId="0" fontId="0" fillId="0" borderId="0" xfId="0" applyFont="1" applyFill="1"/>
    <xf numFmtId="164" fontId="0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Border="1"/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3" fillId="9" borderId="0" xfId="0" applyFont="1" applyFill="1"/>
    <xf numFmtId="0" fontId="0" fillId="9" borderId="0" xfId="0" applyFill="1" applyAlignment="1">
      <alignment horizontal="right"/>
    </xf>
    <xf numFmtId="164" fontId="0" fillId="9" borderId="0" xfId="1" applyNumberFormat="1" applyFont="1" applyFill="1"/>
    <xf numFmtId="0" fontId="3" fillId="0" borderId="0" xfId="0" applyFont="1" applyAlignment="1">
      <alignment wrapText="1"/>
    </xf>
    <xf numFmtId="164" fontId="0" fillId="0" borderId="0" xfId="1" applyNumberFormat="1" applyFont="1" applyAlignment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Fill="1"/>
    <xf numFmtId="164" fontId="5" fillId="0" borderId="0" xfId="1" applyNumberFormat="1" applyFont="1"/>
    <xf numFmtId="164" fontId="6" fillId="0" borderId="0" xfId="1" applyNumberFormat="1" applyFont="1"/>
    <xf numFmtId="0" fontId="0" fillId="9" borderId="0" xfId="0" applyFill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164" fontId="2" fillId="4" borderId="0" xfId="1" applyNumberFormat="1" applyFont="1" applyFill="1"/>
    <xf numFmtId="0" fontId="0" fillId="2" borderId="0" xfId="0" applyFill="1"/>
    <xf numFmtId="164" fontId="0" fillId="2" borderId="0" xfId="1" applyNumberFormat="1" applyFont="1" applyFill="1"/>
    <xf numFmtId="0" fontId="0" fillId="6" borderId="0" xfId="0" applyFill="1"/>
    <xf numFmtId="164" fontId="0" fillId="6" borderId="0" xfId="0" applyNumberFormat="1" applyFill="1"/>
    <xf numFmtId="165" fontId="0" fillId="0" borderId="0" xfId="0" applyNumberFormat="1"/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0" fontId="0" fillId="0" borderId="1" xfId="0" applyNumberFormat="1" applyBorder="1"/>
    <xf numFmtId="164" fontId="0" fillId="0" borderId="1" xfId="0" applyNumberFormat="1" applyBorder="1"/>
    <xf numFmtId="43" fontId="0" fillId="0" borderId="1" xfId="1" applyFont="1" applyBorder="1"/>
    <xf numFmtId="0" fontId="0" fillId="0" borderId="1" xfId="0" applyBorder="1" applyAlignment="1">
      <alignment wrapText="1"/>
    </xf>
    <xf numFmtId="166" fontId="0" fillId="0" borderId="0" xfId="0" applyNumberFormat="1"/>
    <xf numFmtId="167" fontId="0" fillId="0" borderId="0" xfId="1" applyNumberFormat="1" applyFont="1"/>
    <xf numFmtId="164" fontId="3" fillId="0" borderId="0" xfId="1" applyNumberFormat="1" applyFont="1"/>
    <xf numFmtId="43" fontId="0" fillId="0" borderId="0" xfId="1" applyNumberFormat="1" applyFont="1"/>
    <xf numFmtId="0" fontId="7" fillId="0" borderId="0" xfId="0" applyFont="1"/>
    <xf numFmtId="164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99"/>
  <sheetViews>
    <sheetView tabSelected="1" topLeftCell="A2089" zoomScale="88" zoomScaleNormal="88" workbookViewId="0">
      <selection activeCell="C2100" sqref="C2100"/>
    </sheetView>
  </sheetViews>
  <sheetFormatPr defaultRowHeight="15.75" x14ac:dyDescent="0.25"/>
  <cols>
    <col min="1" max="1" width="27.625" customWidth="1"/>
    <col min="2" max="2" width="29.125" style="1" customWidth="1"/>
    <col min="3" max="3" width="17.375" style="3" bestFit="1" customWidth="1"/>
    <col min="4" max="4" width="23.375" customWidth="1"/>
    <col min="5" max="5" width="32.875" customWidth="1"/>
    <col min="6" max="6" width="20.25" style="6" bestFit="1" customWidth="1"/>
    <col min="8" max="8" width="15.125" bestFit="1" customWidth="1"/>
    <col min="9" max="9" width="12.625" bestFit="1" customWidth="1"/>
  </cols>
  <sheetData>
    <row r="1" spans="1:9" x14ac:dyDescent="0.25">
      <c r="A1" s="8" t="s">
        <v>0</v>
      </c>
      <c r="D1" s="19"/>
      <c r="F1" s="26"/>
      <c r="H1" s="19"/>
    </row>
    <row r="2" spans="1:9" s="4" customFormat="1" x14ac:dyDescent="0.25">
      <c r="A2" s="4" t="s">
        <v>1</v>
      </c>
      <c r="C2" s="5" t="s">
        <v>2</v>
      </c>
      <c r="F2" s="6"/>
      <c r="H2" s="22"/>
    </row>
    <row r="3" spans="1:9" x14ac:dyDescent="0.25">
      <c r="A3" t="s">
        <v>3</v>
      </c>
      <c r="B3" s="1" t="s">
        <v>7</v>
      </c>
      <c r="C3" s="2">
        <v>9850000</v>
      </c>
      <c r="H3" s="19"/>
    </row>
    <row r="4" spans="1:9" x14ac:dyDescent="0.25">
      <c r="A4" t="s">
        <v>4</v>
      </c>
      <c r="B4" s="1" t="s">
        <v>7</v>
      </c>
      <c r="C4" s="2">
        <v>1400000</v>
      </c>
      <c r="H4" s="19"/>
    </row>
    <row r="5" spans="1:9" x14ac:dyDescent="0.25">
      <c r="A5" t="s">
        <v>5</v>
      </c>
      <c r="B5" s="1" t="s">
        <v>8</v>
      </c>
      <c r="C5" s="2">
        <v>2250000</v>
      </c>
    </row>
    <row r="6" spans="1:9" x14ac:dyDescent="0.25">
      <c r="A6" t="s">
        <v>6</v>
      </c>
      <c r="B6" s="1" t="s">
        <v>8</v>
      </c>
      <c r="C6" s="2">
        <v>2300000</v>
      </c>
      <c r="E6" t="s">
        <v>11</v>
      </c>
      <c r="F6" s="6">
        <v>1250000</v>
      </c>
    </row>
    <row r="7" spans="1:9" s="12" customFormat="1" ht="31.5" x14ac:dyDescent="0.25">
      <c r="A7" s="9" t="s">
        <v>9</v>
      </c>
      <c r="B7" s="10"/>
      <c r="C7" s="11">
        <v>6700000</v>
      </c>
      <c r="E7" s="13" t="s">
        <v>10</v>
      </c>
      <c r="F7" s="14">
        <v>19500000</v>
      </c>
      <c r="H7" s="17"/>
      <c r="I7" s="17"/>
    </row>
    <row r="8" spans="1:9" x14ac:dyDescent="0.25">
      <c r="A8" s="8" t="s">
        <v>12</v>
      </c>
      <c r="E8" s="15"/>
    </row>
    <row r="9" spans="1:9" ht="18" customHeight="1" x14ac:dyDescent="0.25">
      <c r="A9" t="s">
        <v>13</v>
      </c>
      <c r="C9" s="3">
        <v>5000000</v>
      </c>
      <c r="E9" s="13" t="s">
        <v>14</v>
      </c>
      <c r="F9" s="16">
        <v>24500000</v>
      </c>
    </row>
    <row r="10" spans="1:9" x14ac:dyDescent="0.25">
      <c r="A10" s="4" t="s">
        <v>15</v>
      </c>
      <c r="E10" s="7"/>
    </row>
    <row r="11" spans="1:9" ht="16.5" customHeight="1" x14ac:dyDescent="0.25">
      <c r="A11" t="s">
        <v>16</v>
      </c>
      <c r="C11" s="3">
        <v>2500000</v>
      </c>
      <c r="E11" s="13" t="s">
        <v>17</v>
      </c>
      <c r="F11" s="16">
        <f>F9+C11</f>
        <v>27000000</v>
      </c>
    </row>
    <row r="12" spans="1:9" x14ac:dyDescent="0.25">
      <c r="A12" s="4" t="s">
        <v>18</v>
      </c>
    </row>
    <row r="13" spans="1:9" ht="15.75" customHeight="1" x14ac:dyDescent="0.25">
      <c r="A13" t="s">
        <v>19</v>
      </c>
      <c r="C13" s="3">
        <v>1800000</v>
      </c>
      <c r="E13" s="13" t="s">
        <v>20</v>
      </c>
      <c r="F13" s="16">
        <f>F11+C13</f>
        <v>28800000</v>
      </c>
    </row>
    <row r="14" spans="1:9" x14ac:dyDescent="0.25">
      <c r="A14" s="4" t="s">
        <v>21</v>
      </c>
    </row>
    <row r="15" spans="1:9" x14ac:dyDescent="0.25">
      <c r="A15" t="s">
        <v>22</v>
      </c>
      <c r="C15" s="3">
        <v>1700000</v>
      </c>
    </row>
    <row r="16" spans="1:9" x14ac:dyDescent="0.25">
      <c r="A16" t="s">
        <v>23</v>
      </c>
      <c r="C16" s="3">
        <v>3800000</v>
      </c>
    </row>
    <row r="17" spans="1:6" x14ac:dyDescent="0.25">
      <c r="A17" t="s">
        <v>24</v>
      </c>
      <c r="C17" s="3">
        <v>1000000</v>
      </c>
    </row>
    <row r="18" spans="1:6" x14ac:dyDescent="0.25">
      <c r="A18" t="s">
        <v>25</v>
      </c>
      <c r="C18" s="3">
        <v>430000</v>
      </c>
    </row>
    <row r="19" spans="1:6" ht="10.5" customHeight="1" x14ac:dyDescent="0.25">
      <c r="A19" t="s">
        <v>26</v>
      </c>
      <c r="C19" s="3">
        <v>4800000</v>
      </c>
      <c r="E19" s="13" t="s">
        <v>27</v>
      </c>
      <c r="F19" s="16">
        <f>F13-C15-C16-C17-C18+C19+C20</f>
        <v>26670000</v>
      </c>
    </row>
    <row r="20" spans="1:6" x14ac:dyDescent="0.25">
      <c r="A20" s="4" t="s">
        <v>28</v>
      </c>
    </row>
    <row r="21" spans="1:6" ht="12" customHeight="1" x14ac:dyDescent="0.25">
      <c r="A21" t="s">
        <v>29</v>
      </c>
      <c r="B21" s="6"/>
      <c r="C21" s="3">
        <v>2330000</v>
      </c>
      <c r="E21" s="13" t="s">
        <v>27</v>
      </c>
      <c r="F21" s="16">
        <f>F19+C21</f>
        <v>29000000</v>
      </c>
    </row>
    <row r="22" spans="1:6" x14ac:dyDescent="0.25">
      <c r="A22" s="4" t="s">
        <v>30</v>
      </c>
    </row>
    <row r="23" spans="1:6" x14ac:dyDescent="0.25">
      <c r="A23" t="s">
        <v>31</v>
      </c>
      <c r="C23" s="3">
        <v>2500000</v>
      </c>
    </row>
    <row r="24" spans="1:6" ht="21" customHeight="1" x14ac:dyDescent="0.25">
      <c r="A24" s="18" t="s">
        <v>32</v>
      </c>
      <c r="C24" s="3">
        <v>1900000</v>
      </c>
      <c r="E24" s="13" t="s">
        <v>33</v>
      </c>
      <c r="F24" s="16">
        <f>F21-C23+C24+500000</f>
        <v>28900000</v>
      </c>
    </row>
    <row r="25" spans="1:6" x14ac:dyDescent="0.25">
      <c r="A25" s="18" t="s">
        <v>34</v>
      </c>
      <c r="C25" s="3">
        <v>500000</v>
      </c>
    </row>
    <row r="26" spans="1:6" x14ac:dyDescent="0.25">
      <c r="A26" s="4" t="s">
        <v>35</v>
      </c>
    </row>
    <row r="27" spans="1:6" x14ac:dyDescent="0.25">
      <c r="A27" t="s">
        <v>36</v>
      </c>
      <c r="B27" s="1" t="s">
        <v>37</v>
      </c>
      <c r="C27" s="3">
        <v>9616952</v>
      </c>
    </row>
    <row r="28" spans="1:6" x14ac:dyDescent="0.25">
      <c r="A28" t="s">
        <v>38</v>
      </c>
      <c r="C28" s="3">
        <v>150000</v>
      </c>
    </row>
    <row r="29" spans="1:6" x14ac:dyDescent="0.25">
      <c r="C29" s="3">
        <f>C27+C28</f>
        <v>9766952</v>
      </c>
    </row>
    <row r="30" spans="1:6" x14ac:dyDescent="0.25">
      <c r="A30" t="s">
        <v>39</v>
      </c>
      <c r="B30" s="1" t="s">
        <v>40</v>
      </c>
      <c r="C30" s="3">
        <v>2300000</v>
      </c>
    </row>
    <row r="31" spans="1:6" x14ac:dyDescent="0.25">
      <c r="B31" s="1" t="s">
        <v>41</v>
      </c>
      <c r="C31" s="3">
        <v>500000</v>
      </c>
    </row>
    <row r="32" spans="1:6" x14ac:dyDescent="0.25">
      <c r="C32" s="3">
        <f>C30+C31</f>
        <v>2800000</v>
      </c>
    </row>
    <row r="33" spans="1:6" x14ac:dyDescent="0.25">
      <c r="A33" t="s">
        <v>42</v>
      </c>
      <c r="B33" s="1" t="s">
        <v>43</v>
      </c>
      <c r="C33" s="3">
        <f>C29-C32</f>
        <v>6966952</v>
      </c>
    </row>
    <row r="34" spans="1:6" x14ac:dyDescent="0.25">
      <c r="B34" s="1" t="s">
        <v>44</v>
      </c>
      <c r="C34" s="3">
        <v>500000</v>
      </c>
    </row>
    <row r="35" spans="1:6" ht="21" customHeight="1" x14ac:dyDescent="0.25">
      <c r="A35" s="20" t="s">
        <v>45</v>
      </c>
      <c r="B35" s="3">
        <f>C33+C34</f>
        <v>7466952</v>
      </c>
      <c r="C35" s="3">
        <v>7500000</v>
      </c>
    </row>
    <row r="36" spans="1:6" ht="18" customHeight="1" x14ac:dyDescent="0.25">
      <c r="A36" t="s">
        <v>47</v>
      </c>
      <c r="C36" s="3">
        <v>500000</v>
      </c>
      <c r="E36" s="13" t="s">
        <v>46</v>
      </c>
      <c r="F36" s="16">
        <f>F24-C35-C36</f>
        <v>20900000</v>
      </c>
    </row>
    <row r="37" spans="1:6" x14ac:dyDescent="0.25">
      <c r="A37" s="4" t="s">
        <v>48</v>
      </c>
    </row>
    <row r="38" spans="1:6" x14ac:dyDescent="0.25">
      <c r="A38" t="s">
        <v>49</v>
      </c>
      <c r="C38" s="3">
        <v>4500000</v>
      </c>
    </row>
    <row r="39" spans="1:6" x14ac:dyDescent="0.25">
      <c r="A39" t="s">
        <v>50</v>
      </c>
      <c r="C39" s="3">
        <v>3700000</v>
      </c>
    </row>
    <row r="40" spans="1:6" x14ac:dyDescent="0.25">
      <c r="A40" t="s">
        <v>51</v>
      </c>
      <c r="C40" s="3">
        <v>1000000</v>
      </c>
    </row>
    <row r="41" spans="1:6" ht="14.25" customHeight="1" x14ac:dyDescent="0.25">
      <c r="A41" t="s">
        <v>52</v>
      </c>
      <c r="C41" s="3">
        <v>500000</v>
      </c>
      <c r="E41" s="13" t="s">
        <v>46</v>
      </c>
      <c r="F41" s="16">
        <f>F36-C39-C40+C38+C41</f>
        <v>21200000</v>
      </c>
    </row>
    <row r="42" spans="1:6" x14ac:dyDescent="0.25">
      <c r="A42" s="4" t="s">
        <v>53</v>
      </c>
    </row>
    <row r="43" spans="1:6" x14ac:dyDescent="0.25">
      <c r="A43" t="s">
        <v>54</v>
      </c>
      <c r="C43" s="3">
        <v>2500000</v>
      </c>
    </row>
    <row r="44" spans="1:6" x14ac:dyDescent="0.25">
      <c r="A44" t="s">
        <v>55</v>
      </c>
      <c r="C44" s="3">
        <v>700000</v>
      </c>
    </row>
    <row r="45" spans="1:6" ht="15" customHeight="1" x14ac:dyDescent="0.25">
      <c r="A45" t="s">
        <v>56</v>
      </c>
      <c r="C45" s="3">
        <v>1300000</v>
      </c>
      <c r="E45" s="13" t="s">
        <v>46</v>
      </c>
      <c r="F45" s="16">
        <f>F41+C43+C44+C45</f>
        <v>25700000</v>
      </c>
    </row>
    <row r="46" spans="1:6" x14ac:dyDescent="0.25">
      <c r="A46" s="4" t="s">
        <v>57</v>
      </c>
    </row>
    <row r="47" spans="1:6" x14ac:dyDescent="0.25">
      <c r="A47" t="s">
        <v>34</v>
      </c>
      <c r="C47" s="3">
        <v>900000</v>
      </c>
    </row>
    <row r="48" spans="1:6" ht="31.5" x14ac:dyDescent="0.25">
      <c r="A48" t="s">
        <v>58</v>
      </c>
      <c r="C48" s="3">
        <v>3000000</v>
      </c>
      <c r="E48" s="13" t="s">
        <v>46</v>
      </c>
      <c r="F48" s="16">
        <f>F45+C47-C48+C49+C50</f>
        <v>25200000</v>
      </c>
    </row>
    <row r="49" spans="1:6" x14ac:dyDescent="0.25">
      <c r="A49" t="s">
        <v>34</v>
      </c>
      <c r="C49" s="3">
        <v>1000000</v>
      </c>
    </row>
    <row r="50" spans="1:6" x14ac:dyDescent="0.25">
      <c r="A50" t="s">
        <v>34</v>
      </c>
      <c r="C50" s="3">
        <v>600000</v>
      </c>
    </row>
    <row r="51" spans="1:6" x14ac:dyDescent="0.25">
      <c r="A51" s="4" t="s">
        <v>59</v>
      </c>
    </row>
    <row r="52" spans="1:6" ht="15.75" customHeight="1" x14ac:dyDescent="0.25">
      <c r="A52" t="s">
        <v>34</v>
      </c>
      <c r="C52" s="3">
        <v>1600000</v>
      </c>
      <c r="E52" s="13" t="s">
        <v>46</v>
      </c>
      <c r="F52" s="16">
        <f>F48+C52</f>
        <v>26800000</v>
      </c>
    </row>
    <row r="53" spans="1:6" x14ac:dyDescent="0.25">
      <c r="A53" s="4" t="s">
        <v>60</v>
      </c>
    </row>
    <row r="54" spans="1:6" ht="15.75" customHeight="1" x14ac:dyDescent="0.25">
      <c r="A54" t="s">
        <v>61</v>
      </c>
      <c r="C54" s="3">
        <v>3500000</v>
      </c>
      <c r="E54" s="13" t="s">
        <v>62</v>
      </c>
      <c r="F54" s="16">
        <f>F52-C54</f>
        <v>23300000</v>
      </c>
    </row>
    <row r="55" spans="1:6" x14ac:dyDescent="0.25">
      <c r="A55" s="4" t="s">
        <v>63</v>
      </c>
    </row>
    <row r="56" spans="1:6" x14ac:dyDescent="0.25">
      <c r="A56" t="s">
        <v>64</v>
      </c>
      <c r="C56" s="3">
        <v>7000000</v>
      </c>
    </row>
    <row r="57" spans="1:6" ht="31.5" x14ac:dyDescent="0.25">
      <c r="A57" s="18" t="s">
        <v>65</v>
      </c>
      <c r="C57" s="3">
        <v>500000</v>
      </c>
      <c r="E57" s="13" t="s">
        <v>62</v>
      </c>
      <c r="F57" s="16">
        <f>F54+C56+C57</f>
        <v>30800000</v>
      </c>
    </row>
    <row r="58" spans="1:6" x14ac:dyDescent="0.25">
      <c r="A58" s="4" t="s">
        <v>66</v>
      </c>
    </row>
    <row r="59" spans="1:6" x14ac:dyDescent="0.25">
      <c r="A59" t="s">
        <v>67</v>
      </c>
      <c r="C59" s="3">
        <v>1000000</v>
      </c>
    </row>
    <row r="60" spans="1:6" ht="17.25" customHeight="1" x14ac:dyDescent="0.25">
      <c r="A60" t="s">
        <v>68</v>
      </c>
      <c r="C60" s="3">
        <v>3300000</v>
      </c>
      <c r="D60" s="7"/>
      <c r="E60" s="13" t="s">
        <v>69</v>
      </c>
      <c r="F60" s="16">
        <f>F57+C59+C60</f>
        <v>35100000</v>
      </c>
    </row>
    <row r="61" spans="1:6" x14ac:dyDescent="0.25">
      <c r="A61" s="4" t="s">
        <v>70</v>
      </c>
    </row>
    <row r="62" spans="1:6" ht="31.5" x14ac:dyDescent="0.25">
      <c r="A62" t="s">
        <v>71</v>
      </c>
      <c r="C62" s="3">
        <v>7200000</v>
      </c>
      <c r="E62" s="13" t="s">
        <v>69</v>
      </c>
      <c r="F62" s="16">
        <f>F60-C62</f>
        <v>27900000</v>
      </c>
    </row>
    <row r="64" spans="1:6" x14ac:dyDescent="0.25">
      <c r="A64" s="4" t="s">
        <v>72</v>
      </c>
    </row>
    <row r="65" spans="1:9" x14ac:dyDescent="0.25">
      <c r="A65" t="s">
        <v>34</v>
      </c>
      <c r="C65" s="3">
        <v>500000</v>
      </c>
    </row>
    <row r="66" spans="1:9" ht="18.75" customHeight="1" x14ac:dyDescent="0.25">
      <c r="A66" t="s">
        <v>73</v>
      </c>
      <c r="C66" s="3">
        <v>1500000</v>
      </c>
      <c r="E66" s="13" t="s">
        <v>74</v>
      </c>
      <c r="F66" s="16">
        <f>F62+C65+C66-C67</f>
        <v>24900000</v>
      </c>
    </row>
    <row r="67" spans="1:9" x14ac:dyDescent="0.25">
      <c r="A67" t="s">
        <v>75</v>
      </c>
      <c r="C67" s="3">
        <v>5000000</v>
      </c>
    </row>
    <row r="68" spans="1:9" x14ac:dyDescent="0.25">
      <c r="A68" s="4" t="s">
        <v>76</v>
      </c>
    </row>
    <row r="69" spans="1:9" ht="31.5" x14ac:dyDescent="0.25">
      <c r="A69" t="s">
        <v>34</v>
      </c>
      <c r="C69" s="3">
        <v>300000</v>
      </c>
      <c r="E69" s="13" t="s">
        <v>77</v>
      </c>
      <c r="F69" s="16">
        <f>F66+C69</f>
        <v>25200000</v>
      </c>
    </row>
    <row r="70" spans="1:9" x14ac:dyDescent="0.25">
      <c r="E70" s="3"/>
    </row>
    <row r="71" spans="1:9" x14ac:dyDescent="0.25">
      <c r="A71" s="4" t="s">
        <v>78</v>
      </c>
      <c r="E71" s="3"/>
    </row>
    <row r="72" spans="1:9" ht="31.5" x14ac:dyDescent="0.25">
      <c r="A72" t="s">
        <v>79</v>
      </c>
      <c r="C72" s="3">
        <v>2000000</v>
      </c>
      <c r="E72" s="13" t="s">
        <v>77</v>
      </c>
      <c r="F72" s="16">
        <f>F69+C72</f>
        <v>27200000</v>
      </c>
    </row>
    <row r="73" spans="1:9" x14ac:dyDescent="0.25">
      <c r="E73" s="3"/>
    </row>
    <row r="74" spans="1:9" x14ac:dyDescent="0.25">
      <c r="A74" s="4" t="s">
        <v>80</v>
      </c>
      <c r="E74" s="3"/>
    </row>
    <row r="75" spans="1:9" x14ac:dyDescent="0.25">
      <c r="A75" t="s">
        <v>65</v>
      </c>
      <c r="C75" s="3">
        <v>500000</v>
      </c>
      <c r="E75" s="3"/>
    </row>
    <row r="76" spans="1:9" ht="31.5" x14ac:dyDescent="0.25">
      <c r="A76" t="s">
        <v>81</v>
      </c>
      <c r="C76" s="3">
        <v>4500000</v>
      </c>
      <c r="E76" s="13" t="s">
        <v>77</v>
      </c>
      <c r="F76" s="16">
        <f>F72+C76+C75</f>
        <v>32200000</v>
      </c>
    </row>
    <row r="77" spans="1:9" x14ac:dyDescent="0.25">
      <c r="A77" s="4" t="s">
        <v>82</v>
      </c>
      <c r="E77" s="7"/>
      <c r="I77" s="3"/>
    </row>
    <row r="78" spans="1:9" x14ac:dyDescent="0.25">
      <c r="A78" t="s">
        <v>83</v>
      </c>
      <c r="C78" s="3">
        <v>500000</v>
      </c>
    </row>
    <row r="79" spans="1:9" x14ac:dyDescent="0.25">
      <c r="A79" t="s">
        <v>84</v>
      </c>
      <c r="C79" s="3">
        <f>6000000+3750000</f>
        <v>9750000</v>
      </c>
    </row>
    <row r="80" spans="1:9" x14ac:dyDescent="0.25">
      <c r="A80" t="s">
        <v>85</v>
      </c>
      <c r="C80" s="3">
        <v>550000</v>
      </c>
    </row>
    <row r="81" spans="1:6" ht="31.5" x14ac:dyDescent="0.25">
      <c r="A81" t="s">
        <v>86</v>
      </c>
      <c r="C81" s="3">
        <v>1800000</v>
      </c>
      <c r="E81" s="13" t="s">
        <v>87</v>
      </c>
      <c r="F81" s="16">
        <f>F76+C78-C79-C81+C80</f>
        <v>21700000</v>
      </c>
    </row>
    <row r="82" spans="1:6" x14ac:dyDescent="0.25">
      <c r="A82" s="4" t="s">
        <v>88</v>
      </c>
    </row>
    <row r="83" spans="1:6" ht="31.5" x14ac:dyDescent="0.25">
      <c r="A83" t="s">
        <v>83</v>
      </c>
      <c r="C83" s="3">
        <v>1200000</v>
      </c>
      <c r="E83" s="13" t="s">
        <v>89</v>
      </c>
      <c r="F83" s="16">
        <f>F81+C83</f>
        <v>22900000</v>
      </c>
    </row>
    <row r="84" spans="1:6" x14ac:dyDescent="0.25">
      <c r="A84" s="4" t="s">
        <v>90</v>
      </c>
      <c r="E84" s="7"/>
    </row>
    <row r="85" spans="1:6" ht="31.5" x14ac:dyDescent="0.25">
      <c r="A85" t="s">
        <v>65</v>
      </c>
      <c r="C85" s="3">
        <v>500000</v>
      </c>
      <c r="E85" s="13" t="s">
        <v>91</v>
      </c>
      <c r="F85" s="16">
        <f>F83+C85</f>
        <v>23400000</v>
      </c>
    </row>
    <row r="86" spans="1:6" x14ac:dyDescent="0.25">
      <c r="A86" s="4" t="s">
        <v>98</v>
      </c>
    </row>
    <row r="87" spans="1:6" x14ac:dyDescent="0.25">
      <c r="A87" t="s">
        <v>92</v>
      </c>
      <c r="C87" s="3">
        <v>4800000</v>
      </c>
    </row>
    <row r="88" spans="1:6" x14ac:dyDescent="0.25">
      <c r="A88" s="18" t="s">
        <v>93</v>
      </c>
      <c r="C88" s="3">
        <v>3000000</v>
      </c>
    </row>
    <row r="89" spans="1:6" x14ac:dyDescent="0.25">
      <c r="A89" s="18" t="s">
        <v>94</v>
      </c>
      <c r="C89" s="3">
        <v>4700000</v>
      </c>
    </row>
    <row r="90" spans="1:6" x14ac:dyDescent="0.25">
      <c r="A90" s="18" t="s">
        <v>95</v>
      </c>
      <c r="C90" s="3">
        <v>1000000</v>
      </c>
    </row>
    <row r="91" spans="1:6" ht="15.75" customHeight="1" x14ac:dyDescent="0.25">
      <c r="A91" s="18" t="s">
        <v>96</v>
      </c>
      <c r="C91" s="3">
        <v>600000</v>
      </c>
      <c r="E91" s="13" t="s">
        <v>97</v>
      </c>
      <c r="F91" s="16">
        <f>F85+C87+C88-C89-C90-C91</f>
        <v>24900000</v>
      </c>
    </row>
    <row r="92" spans="1:6" x14ac:dyDescent="0.25">
      <c r="A92" s="4" t="s">
        <v>99</v>
      </c>
    </row>
    <row r="93" spans="1:6" x14ac:dyDescent="0.25">
      <c r="A93" s="18" t="s">
        <v>100</v>
      </c>
      <c r="C93" s="3">
        <v>20000000</v>
      </c>
    </row>
    <row r="94" spans="1:6" x14ac:dyDescent="0.25">
      <c r="A94" s="18" t="s">
        <v>101</v>
      </c>
      <c r="C94" s="3">
        <v>500000</v>
      </c>
    </row>
    <row r="95" spans="1:6" ht="31.5" x14ac:dyDescent="0.25">
      <c r="A95" s="18" t="s">
        <v>102</v>
      </c>
      <c r="C95" s="3">
        <v>900000</v>
      </c>
      <c r="E95" s="13" t="s">
        <v>103</v>
      </c>
      <c r="F95" s="16">
        <f>F91-C93-C94-C95</f>
        <v>3500000</v>
      </c>
    </row>
    <row r="96" spans="1:6" x14ac:dyDescent="0.25">
      <c r="A96" s="4" t="s">
        <v>104</v>
      </c>
    </row>
    <row r="97" spans="1:6" x14ac:dyDescent="0.25">
      <c r="A97" t="s">
        <v>105</v>
      </c>
      <c r="C97" s="3">
        <v>200000</v>
      </c>
    </row>
    <row r="98" spans="1:6" x14ac:dyDescent="0.25">
      <c r="A98" t="s">
        <v>106</v>
      </c>
      <c r="C98" s="3">
        <v>300000</v>
      </c>
    </row>
    <row r="99" spans="1:6" x14ac:dyDescent="0.25">
      <c r="A99" t="s">
        <v>107</v>
      </c>
      <c r="C99" s="3">
        <v>1500000</v>
      </c>
    </row>
    <row r="100" spans="1:6" x14ac:dyDescent="0.25">
      <c r="A100" t="s">
        <v>108</v>
      </c>
      <c r="C100" s="3">
        <v>2000000</v>
      </c>
    </row>
    <row r="101" spans="1:6" x14ac:dyDescent="0.25">
      <c r="A101" t="s">
        <v>109</v>
      </c>
      <c r="C101" s="3">
        <v>1000000</v>
      </c>
    </row>
    <row r="102" spans="1:6" ht="31.5" x14ac:dyDescent="0.25">
      <c r="A102" t="s">
        <v>110</v>
      </c>
      <c r="C102" s="3">
        <v>30000000</v>
      </c>
      <c r="E102" s="13" t="s">
        <v>111</v>
      </c>
      <c r="F102" s="16">
        <f>F95-C97-C98-C99+C100+C101+C102</f>
        <v>34500000</v>
      </c>
    </row>
    <row r="104" spans="1:6" x14ac:dyDescent="0.25">
      <c r="A104" s="4" t="s">
        <v>112</v>
      </c>
    </row>
    <row r="105" spans="1:6" x14ac:dyDescent="0.25">
      <c r="A105" t="s">
        <v>113</v>
      </c>
      <c r="C105" s="3">
        <v>400000</v>
      </c>
    </row>
    <row r="106" spans="1:6" ht="31.5" x14ac:dyDescent="0.25">
      <c r="A106" t="s">
        <v>114</v>
      </c>
      <c r="C106" s="3">
        <v>450000</v>
      </c>
      <c r="E106" s="13" t="s">
        <v>111</v>
      </c>
      <c r="F106" s="16">
        <f>F102-C105-C106</f>
        <v>33650000</v>
      </c>
    </row>
    <row r="109" spans="1:6" x14ac:dyDescent="0.25">
      <c r="A109" s="4" t="s">
        <v>115</v>
      </c>
    </row>
    <row r="110" spans="1:6" ht="31.5" x14ac:dyDescent="0.25">
      <c r="A110" t="s">
        <v>116</v>
      </c>
      <c r="C110" s="3">
        <v>3000000</v>
      </c>
      <c r="E110" s="13" t="s">
        <v>111</v>
      </c>
      <c r="F110" s="16">
        <f>F106+C110</f>
        <v>36650000</v>
      </c>
    </row>
    <row r="111" spans="1:6" x14ac:dyDescent="0.25">
      <c r="A111" s="4" t="s">
        <v>117</v>
      </c>
    </row>
    <row r="112" spans="1:6" x14ac:dyDescent="0.25">
      <c r="A112" t="s">
        <v>118</v>
      </c>
      <c r="C112" s="3">
        <v>470000</v>
      </c>
    </row>
    <row r="113" spans="1:6" ht="31.5" x14ac:dyDescent="0.25">
      <c r="A113" t="s">
        <v>119</v>
      </c>
      <c r="C113" s="3">
        <v>200000</v>
      </c>
      <c r="E113" s="13" t="s">
        <v>120</v>
      </c>
      <c r="F113" s="16">
        <f>F110-C112-C113+C114</f>
        <v>36980000</v>
      </c>
    </row>
    <row r="114" spans="1:6" x14ac:dyDescent="0.25">
      <c r="A114" t="s">
        <v>121</v>
      </c>
      <c r="C114" s="3">
        <v>1000000</v>
      </c>
    </row>
    <row r="115" spans="1:6" x14ac:dyDescent="0.25">
      <c r="A115" s="4" t="s">
        <v>122</v>
      </c>
    </row>
    <row r="116" spans="1:6" ht="31.5" x14ac:dyDescent="0.25">
      <c r="A116" t="s">
        <v>123</v>
      </c>
      <c r="C116" s="3">
        <v>2000000</v>
      </c>
      <c r="E116" s="13" t="s">
        <v>124</v>
      </c>
      <c r="F116" s="16">
        <f>F113-C116+C117</f>
        <v>35980000</v>
      </c>
    </row>
    <row r="117" spans="1:6" x14ac:dyDescent="0.25">
      <c r="A117" t="s">
        <v>126</v>
      </c>
      <c r="C117" s="3">
        <v>1000000</v>
      </c>
    </row>
    <row r="118" spans="1:6" x14ac:dyDescent="0.25">
      <c r="A118" s="4" t="s">
        <v>127</v>
      </c>
    </row>
    <row r="119" spans="1:6" x14ac:dyDescent="0.25">
      <c r="A119" t="s">
        <v>128</v>
      </c>
      <c r="C119" s="3">
        <v>2800000</v>
      </c>
    </row>
    <row r="120" spans="1:6" x14ac:dyDescent="0.25">
      <c r="A120" t="s">
        <v>129</v>
      </c>
      <c r="C120" s="3">
        <v>650000</v>
      </c>
    </row>
    <row r="121" spans="1:6" x14ac:dyDescent="0.25">
      <c r="A121" t="s">
        <v>130</v>
      </c>
      <c r="C121" s="3">
        <v>15000000</v>
      </c>
    </row>
    <row r="122" spans="1:6" x14ac:dyDescent="0.25">
      <c r="A122" t="s">
        <v>131</v>
      </c>
      <c r="C122" s="3">
        <v>1000000</v>
      </c>
    </row>
    <row r="123" spans="1:6" x14ac:dyDescent="0.25">
      <c r="A123" t="s">
        <v>132</v>
      </c>
      <c r="C123" s="3">
        <v>1100000</v>
      </c>
    </row>
    <row r="124" spans="1:6" x14ac:dyDescent="0.25">
      <c r="A124" t="s">
        <v>134</v>
      </c>
      <c r="C124" s="3">
        <v>300000</v>
      </c>
    </row>
    <row r="125" spans="1:6" ht="31.5" x14ac:dyDescent="0.25">
      <c r="A125" t="s">
        <v>135</v>
      </c>
      <c r="C125" s="3">
        <v>750000</v>
      </c>
      <c r="E125" s="13" t="s">
        <v>133</v>
      </c>
      <c r="F125" s="16">
        <f>F116-C119-C120-C121-C122-C123-C124-C125</f>
        <v>14380000</v>
      </c>
    </row>
    <row r="126" spans="1:6" x14ac:dyDescent="0.25">
      <c r="A126" s="4" t="s">
        <v>136</v>
      </c>
      <c r="E126" s="7"/>
    </row>
    <row r="127" spans="1:6" ht="31.5" x14ac:dyDescent="0.25">
      <c r="A127" t="s">
        <v>137</v>
      </c>
      <c r="C127" s="3">
        <v>7400000</v>
      </c>
      <c r="E127" s="13" t="s">
        <v>138</v>
      </c>
      <c r="F127" s="16">
        <f>F125+C127</f>
        <v>21780000</v>
      </c>
    </row>
    <row r="128" spans="1:6" x14ac:dyDescent="0.25">
      <c r="A128" s="4" t="s">
        <v>139</v>
      </c>
    </row>
    <row r="129" spans="1:6" x14ac:dyDescent="0.25">
      <c r="A129" t="s">
        <v>140</v>
      </c>
      <c r="C129" s="3">
        <v>5000000</v>
      </c>
    </row>
    <row r="130" spans="1:6" x14ac:dyDescent="0.25">
      <c r="A130" t="s">
        <v>141</v>
      </c>
      <c r="C130" s="3">
        <v>523000</v>
      </c>
    </row>
    <row r="131" spans="1:6" ht="31.5" x14ac:dyDescent="0.25">
      <c r="A131" t="s">
        <v>142</v>
      </c>
      <c r="C131" s="3">
        <v>10000000</v>
      </c>
      <c r="E131" s="13" t="s">
        <v>143</v>
      </c>
      <c r="F131" s="16">
        <f>F127+C129-C130-C131</f>
        <v>16257000</v>
      </c>
    </row>
    <row r="133" spans="1:6" x14ac:dyDescent="0.25">
      <c r="A133" s="4" t="s">
        <v>144</v>
      </c>
    </row>
    <row r="134" spans="1:6" x14ac:dyDescent="0.25">
      <c r="A134" t="s">
        <v>145</v>
      </c>
      <c r="C134" s="3">
        <v>500000</v>
      </c>
    </row>
    <row r="135" spans="1:6" x14ac:dyDescent="0.25">
      <c r="A135" t="s">
        <v>150</v>
      </c>
      <c r="C135" s="3">
        <v>4000000</v>
      </c>
    </row>
    <row r="136" spans="1:6" x14ac:dyDescent="0.25">
      <c r="A136" t="s">
        <v>145</v>
      </c>
      <c r="C136" s="3">
        <v>2000000</v>
      </c>
    </row>
    <row r="137" spans="1:6" x14ac:dyDescent="0.25">
      <c r="A137" t="s">
        <v>146</v>
      </c>
      <c r="C137" s="3">
        <v>1100000</v>
      </c>
    </row>
    <row r="138" spans="1:6" x14ac:dyDescent="0.25">
      <c r="A138" t="s">
        <v>71</v>
      </c>
      <c r="C138" s="3">
        <v>1100000</v>
      </c>
    </row>
    <row r="139" spans="1:6" x14ac:dyDescent="0.25">
      <c r="A139" t="s">
        <v>147</v>
      </c>
      <c r="C139" s="3">
        <v>370000</v>
      </c>
    </row>
    <row r="140" spans="1:6" x14ac:dyDescent="0.25">
      <c r="A140" t="s">
        <v>148</v>
      </c>
      <c r="C140" s="3">
        <v>350000</v>
      </c>
      <c r="E140" s="23"/>
      <c r="F140" s="24"/>
    </row>
    <row r="141" spans="1:6" x14ac:dyDescent="0.25">
      <c r="A141" t="s">
        <v>149</v>
      </c>
      <c r="C141" s="3">
        <v>9767000</v>
      </c>
    </row>
    <row r="142" spans="1:6" ht="31.5" x14ac:dyDescent="0.25">
      <c r="A142" t="s">
        <v>110</v>
      </c>
      <c r="C142" s="3">
        <v>7030000</v>
      </c>
      <c r="E142" s="13" t="s">
        <v>143</v>
      </c>
      <c r="F142" s="16">
        <f>F131+C134+C136-C137-C138-C139-C140-C141+C142-C135</f>
        <v>9100000</v>
      </c>
    </row>
    <row r="143" spans="1:6" x14ac:dyDescent="0.25">
      <c r="A143" s="4" t="s">
        <v>151</v>
      </c>
    </row>
    <row r="144" spans="1:6" x14ac:dyDescent="0.25">
      <c r="A144" t="s">
        <v>152</v>
      </c>
      <c r="C144" s="3">
        <v>2000000</v>
      </c>
    </row>
    <row r="145" spans="1:6" ht="31.5" x14ac:dyDescent="0.25">
      <c r="A145" t="s">
        <v>153</v>
      </c>
      <c r="C145" s="3">
        <v>1000000</v>
      </c>
      <c r="E145" s="13" t="s">
        <v>154</v>
      </c>
      <c r="F145" s="16">
        <f>F142-C144-C145-C146</f>
        <v>1100000</v>
      </c>
    </row>
    <row r="146" spans="1:6" x14ac:dyDescent="0.25">
      <c r="A146" t="s">
        <v>155</v>
      </c>
      <c r="C146" s="3">
        <v>5000000</v>
      </c>
    </row>
    <row r="148" spans="1:6" x14ac:dyDescent="0.25">
      <c r="A148" s="4" t="s">
        <v>156</v>
      </c>
    </row>
    <row r="149" spans="1:6" ht="31.5" x14ac:dyDescent="0.25">
      <c r="A149" t="s">
        <v>157</v>
      </c>
      <c r="C149" s="3">
        <v>2200000</v>
      </c>
      <c r="E149" s="13" t="s">
        <v>158</v>
      </c>
      <c r="F149" s="16">
        <f>F145+C149</f>
        <v>3300000</v>
      </c>
    </row>
    <row r="150" spans="1:6" x14ac:dyDescent="0.25">
      <c r="A150" s="4" t="s">
        <v>159</v>
      </c>
    </row>
    <row r="151" spans="1:6" ht="31.5" x14ac:dyDescent="0.25">
      <c r="A151" t="s">
        <v>65</v>
      </c>
      <c r="C151" s="3">
        <v>3500000</v>
      </c>
      <c r="E151" s="13" t="s">
        <v>160</v>
      </c>
      <c r="F151" s="16">
        <f>F149+C151</f>
        <v>6800000</v>
      </c>
    </row>
    <row r="152" spans="1:6" x14ac:dyDescent="0.25">
      <c r="A152" s="4" t="s">
        <v>161</v>
      </c>
    </row>
    <row r="153" spans="1:6" x14ac:dyDescent="0.25">
      <c r="A153" t="s">
        <v>65</v>
      </c>
      <c r="C153" s="3">
        <v>1000000</v>
      </c>
    </row>
    <row r="154" spans="1:6" ht="31.5" x14ac:dyDescent="0.25">
      <c r="A154" t="s">
        <v>162</v>
      </c>
      <c r="C154" s="3">
        <v>4500000</v>
      </c>
      <c r="E154" s="13" t="s">
        <v>160</v>
      </c>
      <c r="F154" s="16">
        <f>F151+C153+C154</f>
        <v>12300000</v>
      </c>
    </row>
    <row r="155" spans="1:6" x14ac:dyDescent="0.25">
      <c r="A155" s="4" t="s">
        <v>163</v>
      </c>
    </row>
    <row r="156" spans="1:6" x14ac:dyDescent="0.25">
      <c r="A156" t="s">
        <v>164</v>
      </c>
      <c r="C156" s="3">
        <v>3900000</v>
      </c>
    </row>
    <row r="157" spans="1:6" ht="31.5" x14ac:dyDescent="0.25">
      <c r="A157" t="s">
        <v>65</v>
      </c>
      <c r="C157" s="3">
        <v>500000</v>
      </c>
      <c r="E157" s="13" t="s">
        <v>165</v>
      </c>
      <c r="F157" s="16">
        <f>F154+C157-C156</f>
        <v>8900000</v>
      </c>
    </row>
    <row r="158" spans="1:6" x14ac:dyDescent="0.25">
      <c r="A158" s="4" t="s">
        <v>166</v>
      </c>
    </row>
    <row r="159" spans="1:6" x14ac:dyDescent="0.25">
      <c r="A159" t="s">
        <v>167</v>
      </c>
      <c r="C159" s="3">
        <v>5000000</v>
      </c>
    </row>
    <row r="160" spans="1:6" ht="31.5" x14ac:dyDescent="0.25">
      <c r="A160" t="s">
        <v>65</v>
      </c>
      <c r="C160" s="3">
        <v>1000000</v>
      </c>
      <c r="E160" s="13" t="s">
        <v>168</v>
      </c>
      <c r="F160" s="16">
        <f>F157+C159+C160</f>
        <v>14900000</v>
      </c>
    </row>
    <row r="161" spans="1:6" x14ac:dyDescent="0.25">
      <c r="A161" s="4" t="s">
        <v>169</v>
      </c>
    </row>
    <row r="162" spans="1:6" ht="31.5" x14ac:dyDescent="0.25">
      <c r="A162" t="s">
        <v>65</v>
      </c>
      <c r="C162" s="3">
        <v>2000000</v>
      </c>
      <c r="E162" s="13" t="s">
        <v>170</v>
      </c>
      <c r="F162" s="16">
        <f>F160+C162</f>
        <v>16900000</v>
      </c>
    </row>
    <row r="163" spans="1:6" x14ac:dyDescent="0.25">
      <c r="A163" s="4" t="s">
        <v>171</v>
      </c>
    </row>
    <row r="164" spans="1:6" ht="31.5" x14ac:dyDescent="0.25">
      <c r="A164" t="s">
        <v>172</v>
      </c>
      <c r="C164" s="3">
        <v>4000000</v>
      </c>
      <c r="E164" s="13" t="s">
        <v>170</v>
      </c>
      <c r="F164" s="16">
        <f>F162+C164</f>
        <v>20900000</v>
      </c>
    </row>
    <row r="165" spans="1:6" x14ac:dyDescent="0.25">
      <c r="A165" s="4" t="s">
        <v>173</v>
      </c>
    </row>
    <row r="166" spans="1:6" x14ac:dyDescent="0.25">
      <c r="A166" t="s">
        <v>174</v>
      </c>
      <c r="C166" s="3">
        <v>1000000</v>
      </c>
    </row>
    <row r="167" spans="1:6" ht="31.5" x14ac:dyDescent="0.25">
      <c r="A167" t="s">
        <v>175</v>
      </c>
      <c r="C167" s="3">
        <v>5000000</v>
      </c>
      <c r="E167" s="13" t="s">
        <v>176</v>
      </c>
      <c r="F167" s="16">
        <f>F164+C166-C167</f>
        <v>16900000</v>
      </c>
    </row>
    <row r="168" spans="1:6" x14ac:dyDescent="0.25">
      <c r="A168" s="4" t="s">
        <v>180</v>
      </c>
    </row>
    <row r="169" spans="1:6" x14ac:dyDescent="0.25">
      <c r="A169" t="s">
        <v>177</v>
      </c>
      <c r="C169" s="3">
        <v>5000000</v>
      </c>
    </row>
    <row r="170" spans="1:6" ht="31.5" x14ac:dyDescent="0.25">
      <c r="A170" t="s">
        <v>178</v>
      </c>
      <c r="C170" s="3">
        <v>8600000</v>
      </c>
      <c r="E170" s="13" t="s">
        <v>179</v>
      </c>
      <c r="F170" s="16">
        <f>F167+C169-C170</f>
        <v>13300000</v>
      </c>
    </row>
    <row r="171" spans="1:6" x14ac:dyDescent="0.25">
      <c r="A171" s="4" t="s">
        <v>181</v>
      </c>
    </row>
    <row r="172" spans="1:6" ht="31.5" x14ac:dyDescent="0.25">
      <c r="A172" t="s">
        <v>65</v>
      </c>
      <c r="C172" s="3">
        <v>1000000</v>
      </c>
      <c r="E172" s="13" t="s">
        <v>179</v>
      </c>
      <c r="F172" s="16">
        <f>F170+C172</f>
        <v>14300000</v>
      </c>
    </row>
    <row r="174" spans="1:6" x14ac:dyDescent="0.25">
      <c r="A174" s="4" t="s">
        <v>182</v>
      </c>
    </row>
    <row r="175" spans="1:6" ht="31.5" x14ac:dyDescent="0.25">
      <c r="A175" t="s">
        <v>183</v>
      </c>
      <c r="C175" s="3">
        <v>3000000</v>
      </c>
      <c r="E175" s="13" t="s">
        <v>179</v>
      </c>
      <c r="F175" s="16">
        <f>F172+C175</f>
        <v>17300000</v>
      </c>
    </row>
    <row r="176" spans="1:6" x14ac:dyDescent="0.25">
      <c r="A176" s="4" t="s">
        <v>184</v>
      </c>
    </row>
    <row r="177" spans="1:6" ht="31.5" x14ac:dyDescent="0.25">
      <c r="A177" t="s">
        <v>183</v>
      </c>
      <c r="C177" s="3">
        <v>1000000</v>
      </c>
      <c r="E177" s="13" t="s">
        <v>179</v>
      </c>
      <c r="F177" s="16">
        <f>F175+C177</f>
        <v>18300000</v>
      </c>
    </row>
    <row r="178" spans="1:6" x14ac:dyDescent="0.25">
      <c r="A178" s="4" t="s">
        <v>185</v>
      </c>
    </row>
    <row r="179" spans="1:6" ht="31.5" x14ac:dyDescent="0.25">
      <c r="A179" t="s">
        <v>186</v>
      </c>
      <c r="C179" s="3">
        <v>4000000</v>
      </c>
      <c r="E179" s="13" t="s">
        <v>187</v>
      </c>
      <c r="F179" s="16">
        <f>F177+C179</f>
        <v>22300000</v>
      </c>
    </row>
    <row r="181" spans="1:6" x14ac:dyDescent="0.25">
      <c r="A181" s="4" t="s">
        <v>188</v>
      </c>
    </row>
    <row r="182" spans="1:6" ht="31.5" x14ac:dyDescent="0.25">
      <c r="A182" t="s">
        <v>189</v>
      </c>
      <c r="C182" s="3">
        <v>9000000</v>
      </c>
      <c r="E182" s="13" t="s">
        <v>190</v>
      </c>
      <c r="F182" s="16">
        <f>F179-C182</f>
        <v>13300000</v>
      </c>
    </row>
    <row r="183" spans="1:6" x14ac:dyDescent="0.25">
      <c r="A183" s="4" t="s">
        <v>192</v>
      </c>
    </row>
    <row r="184" spans="1:6" x14ac:dyDescent="0.25">
      <c r="A184" t="s">
        <v>191</v>
      </c>
      <c r="C184" s="3">
        <v>10000000</v>
      </c>
    </row>
    <row r="185" spans="1:6" ht="31.5" x14ac:dyDescent="0.25">
      <c r="A185" t="s">
        <v>34</v>
      </c>
      <c r="C185" s="3">
        <v>2500000</v>
      </c>
      <c r="E185" s="13" t="s">
        <v>193</v>
      </c>
      <c r="F185" s="25">
        <f>F182-C184+C185</f>
        <v>5800000</v>
      </c>
    </row>
    <row r="186" spans="1:6" x14ac:dyDescent="0.25">
      <c r="A186" s="4" t="s">
        <v>194</v>
      </c>
    </row>
    <row r="187" spans="1:6" ht="31.5" x14ac:dyDescent="0.25">
      <c r="A187" t="s">
        <v>195</v>
      </c>
      <c r="C187" s="3">
        <v>8000000</v>
      </c>
      <c r="E187" s="13" t="s">
        <v>196</v>
      </c>
      <c r="F187" s="25">
        <f>F185+C187</f>
        <v>13800000</v>
      </c>
    </row>
    <row r="188" spans="1:6" x14ac:dyDescent="0.25">
      <c r="A188" s="4" t="s">
        <v>197</v>
      </c>
    </row>
    <row r="189" spans="1:6" x14ac:dyDescent="0.25">
      <c r="A189" t="s">
        <v>198</v>
      </c>
      <c r="C189" s="3">
        <v>6800000</v>
      </c>
    </row>
    <row r="190" spans="1:6" ht="31.5" x14ac:dyDescent="0.25">
      <c r="A190" t="s">
        <v>200</v>
      </c>
      <c r="C190" s="3">
        <v>5000000</v>
      </c>
      <c r="E190" s="13" t="s">
        <v>199</v>
      </c>
      <c r="F190" s="25">
        <f>F187+C189-C190</f>
        <v>15600000</v>
      </c>
    </row>
    <row r="191" spans="1:6" x14ac:dyDescent="0.25">
      <c r="A191" s="4" t="s">
        <v>201</v>
      </c>
    </row>
    <row r="192" spans="1:6" x14ac:dyDescent="0.25">
      <c r="A192" t="s">
        <v>202</v>
      </c>
      <c r="C192" s="3">
        <v>4700000</v>
      </c>
    </row>
    <row r="193" spans="1:6" ht="31.5" x14ac:dyDescent="0.25">
      <c r="A193" t="s">
        <v>203</v>
      </c>
      <c r="C193" s="3">
        <f>700000+550000+950000+200000+2100000</f>
        <v>4500000</v>
      </c>
      <c r="E193" s="13" t="s">
        <v>204</v>
      </c>
      <c r="F193" s="25">
        <f>F190+C192-C193</f>
        <v>15800000</v>
      </c>
    </row>
    <row r="194" spans="1:6" x14ac:dyDescent="0.25">
      <c r="A194" s="4" t="s">
        <v>213</v>
      </c>
    </row>
    <row r="195" spans="1:6" x14ac:dyDescent="0.25">
      <c r="A195" t="s">
        <v>205</v>
      </c>
      <c r="C195" s="3">
        <v>900000</v>
      </c>
    </row>
    <row r="196" spans="1:6" ht="31.5" x14ac:dyDescent="0.25">
      <c r="A196" t="s">
        <v>207</v>
      </c>
      <c r="C196" s="3">
        <v>9543000</v>
      </c>
      <c r="E196" s="13" t="s">
        <v>206</v>
      </c>
      <c r="F196" s="25">
        <f>F193-C195-C196</f>
        <v>5357000</v>
      </c>
    </row>
    <row r="197" spans="1:6" x14ac:dyDescent="0.25">
      <c r="A197" s="4" t="s">
        <v>214</v>
      </c>
    </row>
    <row r="198" spans="1:6" x14ac:dyDescent="0.25">
      <c r="A198" t="s">
        <v>208</v>
      </c>
      <c r="C198" s="3">
        <v>1500000</v>
      </c>
    </row>
    <row r="199" spans="1:6" ht="21" customHeight="1" x14ac:dyDescent="0.25">
      <c r="A199" t="s">
        <v>209</v>
      </c>
      <c r="C199" s="3">
        <v>700000</v>
      </c>
      <c r="E199" s="13" t="s">
        <v>211</v>
      </c>
      <c r="F199" s="25">
        <f>F196-C198-C199-C200</f>
        <v>2957000</v>
      </c>
    </row>
    <row r="200" spans="1:6" x14ac:dyDescent="0.25">
      <c r="A200" t="s">
        <v>210</v>
      </c>
      <c r="C200" s="3">
        <v>200000</v>
      </c>
    </row>
    <row r="201" spans="1:6" x14ac:dyDescent="0.25">
      <c r="A201" s="4" t="s">
        <v>212</v>
      </c>
    </row>
    <row r="202" spans="1:6" ht="15" customHeight="1" x14ac:dyDescent="0.25">
      <c r="A202" t="s">
        <v>215</v>
      </c>
      <c r="C202" s="3">
        <v>1000000</v>
      </c>
      <c r="E202" s="13" t="s">
        <v>216</v>
      </c>
      <c r="F202" s="25">
        <f>F199+C202</f>
        <v>3957000</v>
      </c>
    </row>
    <row r="203" spans="1:6" x14ac:dyDescent="0.25">
      <c r="A203" s="4" t="s">
        <v>217</v>
      </c>
    </row>
    <row r="204" spans="1:6" ht="17.25" customHeight="1" x14ac:dyDescent="0.25">
      <c r="A204" t="s">
        <v>34</v>
      </c>
      <c r="C204" s="3">
        <v>4000000</v>
      </c>
      <c r="E204" s="13" t="s">
        <v>218</v>
      </c>
      <c r="F204" s="25">
        <f>F202+C204</f>
        <v>7957000</v>
      </c>
    </row>
    <row r="205" spans="1:6" x14ac:dyDescent="0.25">
      <c r="A205" s="4" t="s">
        <v>219</v>
      </c>
    </row>
    <row r="206" spans="1:6" ht="21" customHeight="1" x14ac:dyDescent="0.25">
      <c r="A206" t="s">
        <v>34</v>
      </c>
      <c r="C206" s="3">
        <v>4000000</v>
      </c>
      <c r="E206" s="13" t="s">
        <v>220</v>
      </c>
      <c r="F206" s="25">
        <f>F204+C206</f>
        <v>11957000</v>
      </c>
    </row>
    <row r="207" spans="1:6" x14ac:dyDescent="0.25">
      <c r="A207" s="4" t="s">
        <v>221</v>
      </c>
    </row>
    <row r="208" spans="1:6" x14ac:dyDescent="0.25">
      <c r="A208" t="s">
        <v>34</v>
      </c>
      <c r="C208" s="3">
        <v>2000000</v>
      </c>
      <c r="E208" s="13" t="s">
        <v>222</v>
      </c>
      <c r="F208" s="25">
        <f>F206+C208</f>
        <v>13957000</v>
      </c>
    </row>
    <row r="209" spans="1:6" x14ac:dyDescent="0.25">
      <c r="A209" s="4" t="s">
        <v>223</v>
      </c>
    </row>
    <row r="210" spans="1:6" x14ac:dyDescent="0.25">
      <c r="A210" t="s">
        <v>224</v>
      </c>
      <c r="C210" s="3">
        <v>450000</v>
      </c>
    </row>
    <row r="211" spans="1:6" x14ac:dyDescent="0.25">
      <c r="A211" s="18" t="s">
        <v>209</v>
      </c>
      <c r="C211" s="3">
        <v>500000</v>
      </c>
    </row>
    <row r="212" spans="1:6" x14ac:dyDescent="0.25">
      <c r="A212" s="4" t="s">
        <v>225</v>
      </c>
    </row>
    <row r="213" spans="1:6" x14ac:dyDescent="0.25">
      <c r="A213" s="18" t="s">
        <v>34</v>
      </c>
      <c r="C213" s="3">
        <v>8000000</v>
      </c>
    </row>
    <row r="214" spans="1:6" x14ac:dyDescent="0.25">
      <c r="A214" s="18" t="s">
        <v>226</v>
      </c>
      <c r="C214" s="3">
        <v>10000000</v>
      </c>
      <c r="E214" s="13" t="s">
        <v>230</v>
      </c>
      <c r="F214" s="25">
        <f>F208-C210-C211+C213+C214</f>
        <v>31007000</v>
      </c>
    </row>
    <row r="215" spans="1:6" x14ac:dyDescent="0.25">
      <c r="A215" s="4" t="s">
        <v>227</v>
      </c>
    </row>
    <row r="216" spans="1:6" x14ac:dyDescent="0.25">
      <c r="A216" s="18" t="s">
        <v>34</v>
      </c>
      <c r="C216" s="3">
        <v>200000</v>
      </c>
      <c r="E216" s="13" t="s">
        <v>229</v>
      </c>
      <c r="F216" s="25">
        <f>F214+C216-C217</f>
        <v>16207000</v>
      </c>
    </row>
    <row r="217" spans="1:6" x14ac:dyDescent="0.25">
      <c r="A217" s="18" t="s">
        <v>228</v>
      </c>
      <c r="C217" s="3">
        <v>15000000</v>
      </c>
    </row>
    <row r="218" spans="1:6" x14ac:dyDescent="0.25">
      <c r="A218" s="4" t="s">
        <v>231</v>
      </c>
    </row>
    <row r="219" spans="1:6" x14ac:dyDescent="0.25">
      <c r="A219" s="18" t="s">
        <v>34</v>
      </c>
      <c r="C219" s="3">
        <v>1000000</v>
      </c>
    </row>
    <row r="220" spans="1:6" x14ac:dyDescent="0.25">
      <c r="A220" s="18" t="s">
        <v>232</v>
      </c>
      <c r="C220" s="3">
        <v>640000</v>
      </c>
    </row>
    <row r="221" spans="1:6" x14ac:dyDescent="0.25">
      <c r="A221" s="18" t="s">
        <v>233</v>
      </c>
      <c r="C221" s="3">
        <v>350000</v>
      </c>
    </row>
    <row r="222" spans="1:6" x14ac:dyDescent="0.25">
      <c r="A222" s="4" t="s">
        <v>234</v>
      </c>
    </row>
    <row r="223" spans="1:6" x14ac:dyDescent="0.25">
      <c r="A223" s="18" t="s">
        <v>235</v>
      </c>
      <c r="C223" s="3">
        <v>1750000</v>
      </c>
    </row>
    <row r="224" spans="1:6" x14ac:dyDescent="0.25">
      <c r="A224" s="18" t="s">
        <v>236</v>
      </c>
      <c r="C224" s="3">
        <v>460000</v>
      </c>
      <c r="E224" s="13" t="s">
        <v>237</v>
      </c>
      <c r="F224" s="25">
        <f>F216-C220-C221+C219-C223-C224</f>
        <v>14007000</v>
      </c>
    </row>
    <row r="225" spans="1:6" x14ac:dyDescent="0.25">
      <c r="A225" s="4" t="s">
        <v>238</v>
      </c>
    </row>
    <row r="226" spans="1:6" x14ac:dyDescent="0.25">
      <c r="A226" s="18" t="s">
        <v>239</v>
      </c>
      <c r="C226" s="3">
        <v>3000000</v>
      </c>
      <c r="E226" s="13" t="s">
        <v>237</v>
      </c>
      <c r="F226" s="25">
        <f>F224+C226</f>
        <v>17007000</v>
      </c>
    </row>
    <row r="227" spans="1:6" x14ac:dyDescent="0.25">
      <c r="A227" s="4" t="s">
        <v>240</v>
      </c>
    </row>
    <row r="228" spans="1:6" x14ac:dyDescent="0.25">
      <c r="A228" s="18" t="s">
        <v>52</v>
      </c>
      <c r="C228" s="3">
        <v>2500000</v>
      </c>
      <c r="E228" s="13" t="s">
        <v>241</v>
      </c>
      <c r="F228" s="25">
        <f>F226+C228-C229</f>
        <v>17507000</v>
      </c>
    </row>
    <row r="229" spans="1:6" x14ac:dyDescent="0.25">
      <c r="A229" s="18" t="s">
        <v>242</v>
      </c>
      <c r="C229" s="3">
        <v>2000000</v>
      </c>
    </row>
    <row r="230" spans="1:6" x14ac:dyDescent="0.25">
      <c r="A230" s="4" t="s">
        <v>243</v>
      </c>
    </row>
    <row r="231" spans="1:6" x14ac:dyDescent="0.25">
      <c r="A231" s="18" t="s">
        <v>34</v>
      </c>
      <c r="C231" s="3">
        <v>1000000</v>
      </c>
      <c r="E231" s="13" t="s">
        <v>244</v>
      </c>
      <c r="F231" s="25">
        <f>F228+C231</f>
        <v>18507000</v>
      </c>
    </row>
    <row r="232" spans="1:6" x14ac:dyDescent="0.25">
      <c r="A232" s="4" t="s">
        <v>245</v>
      </c>
    </row>
    <row r="233" spans="1:6" x14ac:dyDescent="0.25">
      <c r="A233" s="18" t="s">
        <v>71</v>
      </c>
      <c r="C233" s="3">
        <v>750000</v>
      </c>
    </row>
    <row r="234" spans="1:6" x14ac:dyDescent="0.25">
      <c r="A234" s="18" t="s">
        <v>246</v>
      </c>
      <c r="C234" s="3">
        <v>500000</v>
      </c>
    </row>
    <row r="235" spans="1:6" x14ac:dyDescent="0.25">
      <c r="A235" s="18" t="s">
        <v>247</v>
      </c>
      <c r="C235" s="3">
        <v>280000</v>
      </c>
      <c r="E235" s="13" t="s">
        <v>248</v>
      </c>
      <c r="F235" s="25">
        <f>F231-C233-C234-C235-C236</f>
        <v>16477000</v>
      </c>
    </row>
    <row r="236" spans="1:6" x14ac:dyDescent="0.25">
      <c r="A236" s="18" t="s">
        <v>249</v>
      </c>
      <c r="C236" s="3">
        <v>500000</v>
      </c>
    </row>
    <row r="237" spans="1:6" x14ac:dyDescent="0.25">
      <c r="A237" s="4" t="s">
        <v>250</v>
      </c>
    </row>
    <row r="238" spans="1:6" x14ac:dyDescent="0.25">
      <c r="A238" s="18" t="s">
        <v>251</v>
      </c>
      <c r="C238" s="3">
        <v>270000</v>
      </c>
    </row>
    <row r="239" spans="1:6" x14ac:dyDescent="0.25">
      <c r="A239" s="18" t="s">
        <v>252</v>
      </c>
      <c r="C239" s="3">
        <v>7000000</v>
      </c>
      <c r="E239" s="13" t="s">
        <v>253</v>
      </c>
      <c r="F239" s="25">
        <f>F235-C238+C239</f>
        <v>23207000</v>
      </c>
    </row>
    <row r="240" spans="1:6" x14ac:dyDescent="0.25">
      <c r="A240" s="4" t="s">
        <v>254</v>
      </c>
    </row>
    <row r="241" spans="1:9" x14ac:dyDescent="0.25">
      <c r="A241" s="18" t="s">
        <v>255</v>
      </c>
      <c r="C241" s="3">
        <v>29000000</v>
      </c>
      <c r="E241" s="13" t="s">
        <v>256</v>
      </c>
      <c r="F241" s="25">
        <f>F239+C241-C242</f>
        <v>50457000</v>
      </c>
    </row>
    <row r="242" spans="1:9" x14ac:dyDescent="0.25">
      <c r="A242" s="18" t="s">
        <v>257</v>
      </c>
      <c r="C242" s="3">
        <v>1750000</v>
      </c>
    </row>
    <row r="243" spans="1:9" x14ac:dyDescent="0.25">
      <c r="A243" s="4" t="s">
        <v>258</v>
      </c>
    </row>
    <row r="244" spans="1:9" x14ac:dyDescent="0.25">
      <c r="A244" s="18" t="s">
        <v>259</v>
      </c>
      <c r="C244" s="3">
        <v>12800000</v>
      </c>
    </row>
    <row r="245" spans="1:9" x14ac:dyDescent="0.25">
      <c r="A245" s="18" t="s">
        <v>260</v>
      </c>
      <c r="C245" s="3">
        <v>3160000</v>
      </c>
    </row>
    <row r="246" spans="1:9" x14ac:dyDescent="0.25">
      <c r="A246" s="18" t="s">
        <v>261</v>
      </c>
      <c r="C246" s="3">
        <v>9710000</v>
      </c>
      <c r="I246" s="7"/>
    </row>
    <row r="247" spans="1:9" x14ac:dyDescent="0.25">
      <c r="A247" s="18" t="s">
        <v>262</v>
      </c>
      <c r="C247" s="3">
        <v>400000</v>
      </c>
    </row>
    <row r="248" spans="1:9" x14ac:dyDescent="0.25">
      <c r="A248" s="18" t="s">
        <v>263</v>
      </c>
      <c r="C248" s="3">
        <v>1500000</v>
      </c>
      <c r="E248" s="13" t="s">
        <v>264</v>
      </c>
      <c r="F248" s="25">
        <f>F241-C246+C247+C248</f>
        <v>42647000</v>
      </c>
    </row>
    <row r="249" spans="1:9" x14ac:dyDescent="0.25">
      <c r="A249" s="18" t="s">
        <v>265</v>
      </c>
      <c r="C249" s="3">
        <v>7647000</v>
      </c>
      <c r="E249" s="13" t="s">
        <v>264</v>
      </c>
      <c r="F249" s="25">
        <f>F248-C249</f>
        <v>35000000</v>
      </c>
    </row>
    <row r="250" spans="1:9" x14ac:dyDescent="0.25">
      <c r="A250" s="4" t="s">
        <v>266</v>
      </c>
    </row>
    <row r="251" spans="1:9" x14ac:dyDescent="0.25">
      <c r="A251" s="18" t="s">
        <v>267</v>
      </c>
      <c r="C251" s="3">
        <v>870000</v>
      </c>
    </row>
    <row r="252" spans="1:9" x14ac:dyDescent="0.25">
      <c r="A252" s="18" t="s">
        <v>268</v>
      </c>
      <c r="C252" s="3">
        <v>5000000</v>
      </c>
      <c r="E252" s="13" t="s">
        <v>269</v>
      </c>
      <c r="F252" s="25">
        <f>F249-C251-C252</f>
        <v>29130000</v>
      </c>
    </row>
    <row r="253" spans="1:9" x14ac:dyDescent="0.25">
      <c r="A253" s="4" t="s">
        <v>270</v>
      </c>
    </row>
    <row r="254" spans="1:9" x14ac:dyDescent="0.25">
      <c r="A254" s="18" t="s">
        <v>271</v>
      </c>
      <c r="C254" s="3">
        <f>2353000+267000+500000</f>
        <v>3120000</v>
      </c>
      <c r="E254" s="13" t="s">
        <v>272</v>
      </c>
      <c r="F254" s="25">
        <f>F252+C254</f>
        <v>32250000</v>
      </c>
    </row>
    <row r="255" spans="1:9" x14ac:dyDescent="0.25">
      <c r="A255" s="18" t="s">
        <v>273</v>
      </c>
      <c r="C255" s="3">
        <v>3200000</v>
      </c>
    </row>
    <row r="256" spans="1:9" x14ac:dyDescent="0.25">
      <c r="A256" s="18" t="s">
        <v>274</v>
      </c>
      <c r="C256" s="3">
        <v>2550000</v>
      </c>
      <c r="E256" s="13" t="s">
        <v>272</v>
      </c>
      <c r="F256" s="25">
        <f>F254-C255-C256</f>
        <v>26500000</v>
      </c>
    </row>
    <row r="257" spans="1:6" x14ac:dyDescent="0.25">
      <c r="A257" s="4" t="s">
        <v>280</v>
      </c>
      <c r="E257" s="27"/>
      <c r="F257" s="28"/>
    </row>
    <row r="258" spans="1:6" x14ac:dyDescent="0.25">
      <c r="A258" s="18" t="s">
        <v>276</v>
      </c>
      <c r="C258" s="3">
        <v>1000000</v>
      </c>
      <c r="E258" s="27"/>
      <c r="F258" s="28"/>
    </row>
    <row r="259" spans="1:6" x14ac:dyDescent="0.25">
      <c r="A259" s="18" t="s">
        <v>277</v>
      </c>
      <c r="C259" s="3">
        <v>1000000</v>
      </c>
      <c r="E259" s="13" t="s">
        <v>279</v>
      </c>
      <c r="F259" s="25">
        <f>F256-C258-C260+C259</f>
        <v>25340000</v>
      </c>
    </row>
    <row r="260" spans="1:6" x14ac:dyDescent="0.25">
      <c r="A260" s="18" t="s">
        <v>278</v>
      </c>
      <c r="C260" s="3">
        <v>1160000</v>
      </c>
      <c r="E260" s="27"/>
      <c r="F260" s="28"/>
    </row>
    <row r="261" spans="1:6" s="32" customFormat="1" x14ac:dyDescent="0.25">
      <c r="A261" s="29" t="s">
        <v>275</v>
      </c>
      <c r="B261" s="30"/>
      <c r="C261" s="31">
        <v>6200000</v>
      </c>
      <c r="F261" s="33"/>
    </row>
    <row r="262" spans="1:6" x14ac:dyDescent="0.25">
      <c r="A262" s="4" t="s">
        <v>281</v>
      </c>
    </row>
    <row r="263" spans="1:6" x14ac:dyDescent="0.25">
      <c r="A263" s="18" t="s">
        <v>282</v>
      </c>
      <c r="C263" s="3">
        <v>400000</v>
      </c>
      <c r="E263" s="13" t="s">
        <v>283</v>
      </c>
      <c r="F263" s="25">
        <f>F259-C263</f>
        <v>24940000</v>
      </c>
    </row>
    <row r="264" spans="1:6" x14ac:dyDescent="0.25">
      <c r="A264" s="4" t="s">
        <v>284</v>
      </c>
    </row>
    <row r="265" spans="1:6" x14ac:dyDescent="0.25">
      <c r="A265" t="s">
        <v>285</v>
      </c>
      <c r="C265" s="3">
        <v>1910000</v>
      </c>
      <c r="E265" s="13" t="s">
        <v>286</v>
      </c>
      <c r="F265" s="25">
        <f>F263-C265</f>
        <v>23030000</v>
      </c>
    </row>
    <row r="266" spans="1:6" x14ac:dyDescent="0.25">
      <c r="A266" s="4" t="s">
        <v>287</v>
      </c>
    </row>
    <row r="267" spans="1:6" x14ac:dyDescent="0.25">
      <c r="A267" t="s">
        <v>288</v>
      </c>
      <c r="C267" s="3">
        <v>6200000</v>
      </c>
    </row>
    <row r="268" spans="1:6" x14ac:dyDescent="0.25">
      <c r="A268" s="18" t="s">
        <v>52</v>
      </c>
      <c r="C268" s="3">
        <v>3000000</v>
      </c>
    </row>
    <row r="269" spans="1:6" x14ac:dyDescent="0.25">
      <c r="A269" s="18" t="s">
        <v>289</v>
      </c>
      <c r="C269" s="3">
        <v>5500000</v>
      </c>
      <c r="E269" s="13" t="s">
        <v>290</v>
      </c>
      <c r="F269" s="25">
        <f>F265+C267+C268-C269</f>
        <v>26730000</v>
      </c>
    </row>
    <row r="270" spans="1:6" x14ac:dyDescent="0.25">
      <c r="A270" s="4" t="s">
        <v>291</v>
      </c>
    </row>
    <row r="271" spans="1:6" x14ac:dyDescent="0.25">
      <c r="A271" s="18" t="s">
        <v>83</v>
      </c>
      <c r="C271" s="3">
        <v>200000</v>
      </c>
      <c r="E271" s="13" t="s">
        <v>292</v>
      </c>
      <c r="F271" s="25">
        <f>F269+C271</f>
        <v>26930000</v>
      </c>
    </row>
    <row r="272" spans="1:6" x14ac:dyDescent="0.25">
      <c r="A272" s="4" t="s">
        <v>293</v>
      </c>
    </row>
    <row r="273" spans="1:6" x14ac:dyDescent="0.25">
      <c r="A273" s="18" t="s">
        <v>294</v>
      </c>
      <c r="C273" s="3">
        <v>5000000</v>
      </c>
    </row>
    <row r="274" spans="1:6" x14ac:dyDescent="0.25">
      <c r="A274" s="4" t="s">
        <v>34</v>
      </c>
      <c r="C274" s="3">
        <v>500000</v>
      </c>
      <c r="E274" s="13" t="s">
        <v>295</v>
      </c>
      <c r="F274" s="25">
        <f>F271-C273+C274</f>
        <v>22430000</v>
      </c>
    </row>
    <row r="275" spans="1:6" x14ac:dyDescent="0.25">
      <c r="A275" s="4" t="s">
        <v>296</v>
      </c>
    </row>
    <row r="276" spans="1:6" x14ac:dyDescent="0.25">
      <c r="A276" s="18" t="s">
        <v>297</v>
      </c>
      <c r="C276" s="3">
        <v>1000000</v>
      </c>
    </row>
    <row r="277" spans="1:6" x14ac:dyDescent="0.25">
      <c r="A277" s="18" t="s">
        <v>298</v>
      </c>
      <c r="C277" s="3">
        <v>200000</v>
      </c>
      <c r="E277" s="13" t="s">
        <v>299</v>
      </c>
      <c r="F277" s="25">
        <f>F274-C276+C277</f>
        <v>21630000</v>
      </c>
    </row>
    <row r="278" spans="1:6" x14ac:dyDescent="0.25">
      <c r="A278" s="4" t="s">
        <v>300</v>
      </c>
    </row>
    <row r="279" spans="1:6" x14ac:dyDescent="0.25">
      <c r="A279" s="18" t="s">
        <v>125</v>
      </c>
      <c r="C279" s="3">
        <v>2000000</v>
      </c>
    </row>
    <row r="280" spans="1:6" x14ac:dyDescent="0.25">
      <c r="A280" s="18" t="s">
        <v>301</v>
      </c>
      <c r="C280" s="3">
        <v>25000000</v>
      </c>
    </row>
    <row r="281" spans="1:6" x14ac:dyDescent="0.25">
      <c r="A281" s="18" t="s">
        <v>302</v>
      </c>
      <c r="C281" s="3">
        <v>2100000</v>
      </c>
    </row>
    <row r="282" spans="1:6" x14ac:dyDescent="0.25">
      <c r="A282" s="18" t="s">
        <v>303</v>
      </c>
      <c r="C282" s="3">
        <v>18530000</v>
      </c>
    </row>
    <row r="283" spans="1:6" x14ac:dyDescent="0.25">
      <c r="A283" s="18" t="s">
        <v>304</v>
      </c>
      <c r="C283" s="3">
        <v>1100000</v>
      </c>
      <c r="E283" s="13" t="s">
        <v>305</v>
      </c>
      <c r="F283" s="25">
        <f>F277+C279+C280+C281-C282-C283</f>
        <v>31100000</v>
      </c>
    </row>
    <row r="284" spans="1:6" x14ac:dyDescent="0.25">
      <c r="A284" s="4" t="s">
        <v>306</v>
      </c>
    </row>
    <row r="285" spans="1:6" x14ac:dyDescent="0.25">
      <c r="A285" s="18" t="s">
        <v>65</v>
      </c>
      <c r="C285" s="3">
        <v>1000000</v>
      </c>
      <c r="E285" s="13" t="s">
        <v>307</v>
      </c>
      <c r="F285" s="25">
        <f>F283+C285</f>
        <v>32100000</v>
      </c>
    </row>
    <row r="286" spans="1:6" x14ac:dyDescent="0.25">
      <c r="A286" s="4" t="s">
        <v>308</v>
      </c>
    </row>
    <row r="287" spans="1:6" x14ac:dyDescent="0.25">
      <c r="A287" s="18" t="s">
        <v>65</v>
      </c>
      <c r="C287" s="3">
        <v>500000</v>
      </c>
      <c r="E287" s="13" t="s">
        <v>309</v>
      </c>
      <c r="F287" s="25">
        <f>F285+C287</f>
        <v>32600000</v>
      </c>
    </row>
    <row r="288" spans="1:6" x14ac:dyDescent="0.25">
      <c r="A288" s="4" t="s">
        <v>310</v>
      </c>
    </row>
    <row r="289" spans="1:6" x14ac:dyDescent="0.25">
      <c r="A289" s="18" t="s">
        <v>65</v>
      </c>
      <c r="C289" s="3">
        <v>500000</v>
      </c>
      <c r="E289" s="13" t="s">
        <v>311</v>
      </c>
      <c r="F289" s="25">
        <f>F287+C289</f>
        <v>33100000</v>
      </c>
    </row>
    <row r="290" spans="1:6" x14ac:dyDescent="0.25">
      <c r="A290" s="4" t="s">
        <v>312</v>
      </c>
    </row>
    <row r="291" spans="1:6" x14ac:dyDescent="0.25">
      <c r="A291" s="18" t="s">
        <v>313</v>
      </c>
      <c r="C291" s="3">
        <v>7000000</v>
      </c>
    </row>
    <row r="292" spans="1:6" x14ac:dyDescent="0.25">
      <c r="A292" s="18" t="s">
        <v>314</v>
      </c>
      <c r="C292" s="3">
        <v>1000000</v>
      </c>
    </row>
    <row r="293" spans="1:6" x14ac:dyDescent="0.25">
      <c r="A293" s="18" t="s">
        <v>315</v>
      </c>
      <c r="C293" s="3">
        <v>9300000</v>
      </c>
      <c r="E293" s="13" t="s">
        <v>316</v>
      </c>
      <c r="F293" s="25">
        <f>F289+C292+C291-C293</f>
        <v>31800000</v>
      </c>
    </row>
    <row r="294" spans="1:6" x14ac:dyDescent="0.25">
      <c r="A294" s="4" t="s">
        <v>317</v>
      </c>
    </row>
    <row r="295" spans="1:6" x14ac:dyDescent="0.25">
      <c r="A295" s="18" t="s">
        <v>318</v>
      </c>
      <c r="C295" s="3">
        <v>20000000</v>
      </c>
    </row>
    <row r="296" spans="1:6" x14ac:dyDescent="0.25">
      <c r="A296" s="18" t="s">
        <v>319</v>
      </c>
      <c r="C296" s="3">
        <v>4000000</v>
      </c>
    </row>
    <row r="297" spans="1:6" x14ac:dyDescent="0.25">
      <c r="A297" s="18" t="s">
        <v>65</v>
      </c>
      <c r="C297" s="3">
        <v>1500000</v>
      </c>
      <c r="E297" s="13" t="s">
        <v>320</v>
      </c>
      <c r="F297" s="25">
        <f>F293+C295+C296+C297</f>
        <v>57300000</v>
      </c>
    </row>
    <row r="298" spans="1:6" x14ac:dyDescent="0.25">
      <c r="A298" s="4" t="s">
        <v>321</v>
      </c>
    </row>
    <row r="299" spans="1:6" x14ac:dyDescent="0.25">
      <c r="A299" s="18" t="s">
        <v>322</v>
      </c>
      <c r="C299" s="31">
        <f>9300000-3750000+500000</f>
        <v>6050000</v>
      </c>
    </row>
    <row r="300" spans="1:6" x14ac:dyDescent="0.25">
      <c r="A300" s="18" t="s">
        <v>34</v>
      </c>
      <c r="C300" s="3">
        <v>1000000</v>
      </c>
    </row>
    <row r="301" spans="1:6" x14ac:dyDescent="0.25">
      <c r="A301" s="18" t="s">
        <v>328</v>
      </c>
      <c r="C301" s="3">
        <v>7000000</v>
      </c>
    </row>
    <row r="302" spans="1:6" x14ac:dyDescent="0.25">
      <c r="A302" s="18" t="s">
        <v>323</v>
      </c>
      <c r="C302" s="3">
        <v>1500000</v>
      </c>
    </row>
    <row r="303" spans="1:6" x14ac:dyDescent="0.25">
      <c r="A303" s="18" t="s">
        <v>324</v>
      </c>
      <c r="C303" s="3">
        <v>750000</v>
      </c>
    </row>
    <row r="304" spans="1:6" x14ac:dyDescent="0.25">
      <c r="A304" s="18" t="s">
        <v>327</v>
      </c>
    </row>
    <row r="305" spans="1:6" x14ac:dyDescent="0.25">
      <c r="A305" t="s">
        <v>325</v>
      </c>
      <c r="C305" s="3">
        <v>9460000</v>
      </c>
    </row>
    <row r="306" spans="1:6" x14ac:dyDescent="0.25">
      <c r="A306" t="s">
        <v>326</v>
      </c>
      <c r="C306" s="3">
        <v>4650000</v>
      </c>
      <c r="E306" s="13" t="s">
        <v>329</v>
      </c>
      <c r="F306" s="25">
        <f>F297+C299+C300-C301-C302-C303-C305+C306</f>
        <v>50290000</v>
      </c>
    </row>
    <row r="307" spans="1:6" x14ac:dyDescent="0.25">
      <c r="A307" s="4" t="s">
        <v>330</v>
      </c>
    </row>
    <row r="308" spans="1:6" x14ac:dyDescent="0.25">
      <c r="A308" t="s">
        <v>331</v>
      </c>
      <c r="C308" s="3">
        <v>7900000</v>
      </c>
    </row>
    <row r="309" spans="1:6" x14ac:dyDescent="0.25">
      <c r="A309" t="s">
        <v>332</v>
      </c>
      <c r="C309" s="3">
        <v>500000</v>
      </c>
    </row>
    <row r="310" spans="1:6" x14ac:dyDescent="0.25">
      <c r="A310" t="s">
        <v>333</v>
      </c>
      <c r="C310" s="3">
        <v>600000</v>
      </c>
      <c r="E310" s="13" t="s">
        <v>334</v>
      </c>
      <c r="F310" s="25">
        <f>F306+C308+C309-C310</f>
        <v>58090000</v>
      </c>
    </row>
    <row r="311" spans="1:6" x14ac:dyDescent="0.25">
      <c r="A311" s="4" t="s">
        <v>335</v>
      </c>
    </row>
    <row r="312" spans="1:6" x14ac:dyDescent="0.25">
      <c r="A312" t="s">
        <v>34</v>
      </c>
      <c r="C312" s="3">
        <v>1500000</v>
      </c>
      <c r="E312" s="13" t="s">
        <v>334</v>
      </c>
      <c r="F312" s="25">
        <f>F310+C312</f>
        <v>59590000</v>
      </c>
    </row>
    <row r="313" spans="1:6" x14ac:dyDescent="0.25">
      <c r="A313" s="4" t="s">
        <v>336</v>
      </c>
    </row>
    <row r="314" spans="1:6" x14ac:dyDescent="0.25">
      <c r="A314" t="s">
        <v>337</v>
      </c>
      <c r="C314" s="3">
        <v>2000000</v>
      </c>
    </row>
    <row r="315" spans="1:6" x14ac:dyDescent="0.25">
      <c r="A315" s="18" t="s">
        <v>338</v>
      </c>
      <c r="C315" s="3">
        <v>250000</v>
      </c>
    </row>
    <row r="316" spans="1:6" x14ac:dyDescent="0.25">
      <c r="A316" t="s">
        <v>65</v>
      </c>
      <c r="C316" s="3">
        <v>500000</v>
      </c>
      <c r="E316" s="13" t="s">
        <v>339</v>
      </c>
      <c r="F316" s="25">
        <f>F312+C314+C316-C315</f>
        <v>61840000</v>
      </c>
    </row>
    <row r="317" spans="1:6" x14ac:dyDescent="0.25">
      <c r="A317" s="4" t="s">
        <v>340</v>
      </c>
    </row>
    <row r="318" spans="1:6" x14ac:dyDescent="0.25">
      <c r="A318" t="s">
        <v>65</v>
      </c>
      <c r="C318" s="3">
        <v>500000</v>
      </c>
      <c r="E318" s="13" t="s">
        <v>342</v>
      </c>
      <c r="F318" s="25">
        <f>F316+C318-C319</f>
        <v>61830000</v>
      </c>
    </row>
    <row r="319" spans="1:6" x14ac:dyDescent="0.25">
      <c r="A319" t="s">
        <v>341</v>
      </c>
      <c r="C319" s="3">
        <v>510000</v>
      </c>
    </row>
    <row r="320" spans="1:6" x14ac:dyDescent="0.25">
      <c r="A320" s="4" t="s">
        <v>343</v>
      </c>
    </row>
    <row r="321" spans="1:6" x14ac:dyDescent="0.25">
      <c r="A321" t="s">
        <v>344</v>
      </c>
      <c r="C321" s="3">
        <v>500000</v>
      </c>
    </row>
    <row r="322" spans="1:6" x14ac:dyDescent="0.25">
      <c r="A322" t="s">
        <v>345</v>
      </c>
      <c r="C322" s="3">
        <v>100000</v>
      </c>
    </row>
    <row r="323" spans="1:6" x14ac:dyDescent="0.25">
      <c r="A323" t="s">
        <v>346</v>
      </c>
      <c r="C323" s="3">
        <v>1800000</v>
      </c>
    </row>
    <row r="324" spans="1:6" x14ac:dyDescent="0.25">
      <c r="A324" t="s">
        <v>347</v>
      </c>
      <c r="C324" s="3">
        <v>5000000</v>
      </c>
      <c r="E324" s="13" t="s">
        <v>348</v>
      </c>
      <c r="F324" s="25">
        <f>F318+C324+C323-C321-C322</f>
        <v>68030000</v>
      </c>
    </row>
    <row r="325" spans="1:6" x14ac:dyDescent="0.25">
      <c r="A325" s="4" t="s">
        <v>349</v>
      </c>
    </row>
    <row r="326" spans="1:6" x14ac:dyDescent="0.25">
      <c r="A326" t="s">
        <v>344</v>
      </c>
      <c r="C326" s="3">
        <v>1200000</v>
      </c>
    </row>
    <row r="327" spans="1:6" x14ac:dyDescent="0.25">
      <c r="A327" t="s">
        <v>350</v>
      </c>
      <c r="C327" s="3">
        <v>140000</v>
      </c>
    </row>
    <row r="328" spans="1:6" x14ac:dyDescent="0.25">
      <c r="A328" t="s">
        <v>351</v>
      </c>
      <c r="C328" s="3">
        <v>600000</v>
      </c>
    </row>
    <row r="329" spans="1:6" x14ac:dyDescent="0.25">
      <c r="A329" t="s">
        <v>34</v>
      </c>
      <c r="C329" s="3">
        <v>300000</v>
      </c>
      <c r="E329" s="13" t="s">
        <v>352</v>
      </c>
      <c r="F329" s="25">
        <f>F324-C326-C327-C328+C329</f>
        <v>66390000</v>
      </c>
    </row>
    <row r="330" spans="1:6" x14ac:dyDescent="0.25">
      <c r="A330" s="4" t="s">
        <v>353</v>
      </c>
    </row>
    <row r="331" spans="1:6" x14ac:dyDescent="0.25">
      <c r="A331" t="s">
        <v>34</v>
      </c>
      <c r="C331" s="3">
        <v>1000000</v>
      </c>
    </row>
    <row r="332" spans="1:6" x14ac:dyDescent="0.25">
      <c r="A332" t="s">
        <v>301</v>
      </c>
      <c r="C332" s="3">
        <v>3000000</v>
      </c>
      <c r="E332" s="13" t="s">
        <v>354</v>
      </c>
      <c r="F332" s="25">
        <f>F329+C331+C332</f>
        <v>70390000</v>
      </c>
    </row>
    <row r="333" spans="1:6" x14ac:dyDescent="0.25">
      <c r="A333" s="4" t="s">
        <v>355</v>
      </c>
    </row>
    <row r="334" spans="1:6" x14ac:dyDescent="0.25">
      <c r="A334" t="s">
        <v>301</v>
      </c>
      <c r="C334" s="3">
        <v>2000000</v>
      </c>
    </row>
    <row r="335" spans="1:6" x14ac:dyDescent="0.25">
      <c r="A335" t="s">
        <v>356</v>
      </c>
      <c r="C335" s="3">
        <v>300000</v>
      </c>
    </row>
    <row r="336" spans="1:6" x14ac:dyDescent="0.25">
      <c r="A336" t="s">
        <v>357</v>
      </c>
      <c r="C336" s="3">
        <v>1000000</v>
      </c>
    </row>
    <row r="337" spans="1:6" x14ac:dyDescent="0.25">
      <c r="A337" t="s">
        <v>358</v>
      </c>
      <c r="C337" s="3">
        <v>1000000</v>
      </c>
    </row>
    <row r="338" spans="1:6" x14ac:dyDescent="0.25">
      <c r="A338" t="s">
        <v>65</v>
      </c>
      <c r="C338" s="3">
        <v>1000000</v>
      </c>
    </row>
    <row r="339" spans="1:6" x14ac:dyDescent="0.25">
      <c r="A339" t="s">
        <v>359</v>
      </c>
      <c r="C339" s="3">
        <v>500000</v>
      </c>
    </row>
    <row r="340" spans="1:6" x14ac:dyDescent="0.25">
      <c r="A340" t="s">
        <v>360</v>
      </c>
      <c r="C340" s="3">
        <v>2000000</v>
      </c>
    </row>
    <row r="341" spans="1:6" x14ac:dyDescent="0.25">
      <c r="A341" t="s">
        <v>361</v>
      </c>
      <c r="C341" s="3">
        <v>3200000</v>
      </c>
      <c r="E341" s="13" t="s">
        <v>362</v>
      </c>
      <c r="F341" s="25">
        <f>F332+C334+C335+C336+C337+C338-C339-C340-C341</f>
        <v>69990000</v>
      </c>
    </row>
    <row r="342" spans="1:6" x14ac:dyDescent="0.25">
      <c r="A342" s="4" t="s">
        <v>363</v>
      </c>
    </row>
    <row r="343" spans="1:6" x14ac:dyDescent="0.25">
      <c r="A343" t="s">
        <v>364</v>
      </c>
      <c r="C343" s="3">
        <v>250000</v>
      </c>
    </row>
    <row r="344" spans="1:6" x14ac:dyDescent="0.25">
      <c r="A344" t="s">
        <v>333</v>
      </c>
      <c r="C344" s="3">
        <v>400000</v>
      </c>
    </row>
    <row r="345" spans="1:6" x14ac:dyDescent="0.25">
      <c r="A345" t="s">
        <v>65</v>
      </c>
      <c r="C345" s="3">
        <v>2000000</v>
      </c>
      <c r="E345" s="13" t="s">
        <v>365</v>
      </c>
      <c r="F345" s="25">
        <f>F341-C343-C344+C345</f>
        <v>71340000</v>
      </c>
    </row>
    <row r="346" spans="1:6" x14ac:dyDescent="0.25">
      <c r="A346" s="4" t="s">
        <v>366</v>
      </c>
    </row>
    <row r="347" spans="1:6" x14ac:dyDescent="0.25">
      <c r="A347" t="s">
        <v>367</v>
      </c>
      <c r="C347" s="3">
        <v>200000</v>
      </c>
    </row>
    <row r="348" spans="1:6" x14ac:dyDescent="0.25">
      <c r="A348" t="s">
        <v>368</v>
      </c>
      <c r="C348" s="3">
        <f>500000+240000+150000+270000</f>
        <v>1160000</v>
      </c>
      <c r="D348" s="7"/>
    </row>
    <row r="349" spans="1:6" x14ac:dyDescent="0.25">
      <c r="A349" t="s">
        <v>338</v>
      </c>
      <c r="C349" s="3">
        <v>250000</v>
      </c>
    </row>
    <row r="350" spans="1:6" x14ac:dyDescent="0.25">
      <c r="A350" t="s">
        <v>369</v>
      </c>
      <c r="C350" s="3">
        <v>150000</v>
      </c>
    </row>
    <row r="351" spans="1:6" x14ac:dyDescent="0.25">
      <c r="A351" t="s">
        <v>34</v>
      </c>
      <c r="C351" s="3">
        <v>300000</v>
      </c>
      <c r="E351" s="13" t="s">
        <v>370</v>
      </c>
      <c r="F351" s="25">
        <f>F345-C347-C348-C349-C350+C351</f>
        <v>69880000</v>
      </c>
    </row>
    <row r="352" spans="1:6" x14ac:dyDescent="0.25">
      <c r="A352" s="4" t="s">
        <v>371</v>
      </c>
    </row>
    <row r="353" spans="1:6" x14ac:dyDescent="0.25">
      <c r="A353" t="s">
        <v>372</v>
      </c>
      <c r="C353" s="3">
        <v>1000000</v>
      </c>
      <c r="E353" s="13" t="s">
        <v>373</v>
      </c>
      <c r="F353" s="25">
        <f>F351-C353</f>
        <v>68880000</v>
      </c>
    </row>
    <row r="354" spans="1:6" x14ac:dyDescent="0.25">
      <c r="A354" s="4" t="s">
        <v>374</v>
      </c>
    </row>
    <row r="355" spans="1:6" x14ac:dyDescent="0.25">
      <c r="A355" t="s">
        <v>375</v>
      </c>
      <c r="C355" s="3">
        <v>1000000</v>
      </c>
    </row>
    <row r="356" spans="1:6" x14ac:dyDescent="0.25">
      <c r="A356" s="18" t="s">
        <v>65</v>
      </c>
      <c r="C356" s="3">
        <v>500000</v>
      </c>
      <c r="E356" s="13" t="s">
        <v>378</v>
      </c>
      <c r="F356" s="25">
        <f>F353+C355+C356</f>
        <v>70380000</v>
      </c>
    </row>
    <row r="357" spans="1:6" x14ac:dyDescent="0.25">
      <c r="A357" s="4" t="s">
        <v>376</v>
      </c>
    </row>
    <row r="358" spans="1:6" x14ac:dyDescent="0.25">
      <c r="A358" s="18" t="s">
        <v>65</v>
      </c>
      <c r="C358" s="3">
        <v>500000</v>
      </c>
    </row>
    <row r="359" spans="1:6" x14ac:dyDescent="0.25">
      <c r="A359" s="18" t="s">
        <v>377</v>
      </c>
      <c r="C359" s="3">
        <v>250000</v>
      </c>
      <c r="E359" s="13" t="s">
        <v>379</v>
      </c>
      <c r="F359" s="25">
        <f>F356+C358-C359</f>
        <v>70630000</v>
      </c>
    </row>
    <row r="360" spans="1:6" x14ac:dyDescent="0.25">
      <c r="A360" s="4" t="s">
        <v>380</v>
      </c>
    </row>
    <row r="361" spans="1:6" x14ac:dyDescent="0.25">
      <c r="A361" s="18" t="s">
        <v>381</v>
      </c>
      <c r="C361" s="3">
        <v>8000000</v>
      </c>
    </row>
    <row r="362" spans="1:6" x14ac:dyDescent="0.25">
      <c r="A362" s="18" t="s">
        <v>382</v>
      </c>
      <c r="C362" s="3">
        <v>510000</v>
      </c>
      <c r="E362" s="13" t="s">
        <v>383</v>
      </c>
      <c r="F362" s="25">
        <f>F359+C361-C362</f>
        <v>78120000</v>
      </c>
    </row>
    <row r="363" spans="1:6" x14ac:dyDescent="0.25">
      <c r="A363" s="4" t="s">
        <v>384</v>
      </c>
    </row>
    <row r="364" spans="1:6" x14ac:dyDescent="0.25">
      <c r="A364" s="18" t="s">
        <v>385</v>
      </c>
      <c r="C364" s="3">
        <v>18000000</v>
      </c>
    </row>
    <row r="365" spans="1:6" x14ac:dyDescent="0.25">
      <c r="A365" s="18" t="s">
        <v>386</v>
      </c>
      <c r="C365" s="3">
        <v>200000</v>
      </c>
    </row>
    <row r="366" spans="1:6" x14ac:dyDescent="0.25">
      <c r="A366" s="18" t="s">
        <v>387</v>
      </c>
      <c r="C366" s="3">
        <v>140000</v>
      </c>
    </row>
    <row r="367" spans="1:6" x14ac:dyDescent="0.25">
      <c r="A367" s="18" t="s">
        <v>388</v>
      </c>
      <c r="C367" s="31">
        <v>3750000</v>
      </c>
    </row>
    <row r="368" spans="1:6" x14ac:dyDescent="0.25">
      <c r="A368" s="18" t="s">
        <v>389</v>
      </c>
      <c r="C368" s="3">
        <v>1000000</v>
      </c>
      <c r="E368" s="27"/>
      <c r="F368" s="28"/>
    </row>
    <row r="369" spans="1:6" x14ac:dyDescent="0.25">
      <c r="A369" s="18" t="s">
        <v>391</v>
      </c>
      <c r="C369" s="3">
        <v>10000000</v>
      </c>
      <c r="E369" s="13" t="s">
        <v>390</v>
      </c>
      <c r="F369" s="25">
        <f>F362+C364-C365-C366-C367-C368+C369</f>
        <v>101030000</v>
      </c>
    </row>
    <row r="370" spans="1:6" x14ac:dyDescent="0.25">
      <c r="A370" s="4" t="s">
        <v>392</v>
      </c>
    </row>
    <row r="371" spans="1:6" x14ac:dyDescent="0.25">
      <c r="A371" s="18" t="s">
        <v>393</v>
      </c>
      <c r="C371" s="3">
        <v>27000000</v>
      </c>
    </row>
    <row r="372" spans="1:6" x14ac:dyDescent="0.25">
      <c r="A372" s="18" t="s">
        <v>394</v>
      </c>
      <c r="C372" s="3">
        <v>600000</v>
      </c>
    </row>
    <row r="373" spans="1:6" x14ac:dyDescent="0.25">
      <c r="A373" s="18" t="s">
        <v>395</v>
      </c>
      <c r="C373" s="3">
        <v>7000000</v>
      </c>
      <c r="E373" s="13" t="s">
        <v>396</v>
      </c>
      <c r="F373" s="25">
        <f>F369+C371-C372-C373</f>
        <v>120430000</v>
      </c>
    </row>
    <row r="374" spans="1:6" x14ac:dyDescent="0.25">
      <c r="A374" s="4" t="s">
        <v>397</v>
      </c>
    </row>
    <row r="375" spans="1:6" x14ac:dyDescent="0.25">
      <c r="A375" s="18" t="s">
        <v>398</v>
      </c>
      <c r="C375" s="3">
        <v>250000</v>
      </c>
      <c r="E375" s="13" t="s">
        <v>399</v>
      </c>
      <c r="F375" s="25">
        <f>F373-C375</f>
        <v>120180000</v>
      </c>
    </row>
    <row r="376" spans="1:6" x14ac:dyDescent="0.25">
      <c r="A376" s="4" t="s">
        <v>400</v>
      </c>
    </row>
    <row r="377" spans="1:6" x14ac:dyDescent="0.25">
      <c r="A377" s="18" t="s">
        <v>401</v>
      </c>
      <c r="C377" s="3">
        <v>250000</v>
      </c>
    </row>
    <row r="378" spans="1:6" x14ac:dyDescent="0.25">
      <c r="A378" s="18" t="s">
        <v>402</v>
      </c>
      <c r="C378" s="3">
        <v>9500000</v>
      </c>
    </row>
    <row r="379" spans="1:6" x14ac:dyDescent="0.25">
      <c r="A379" s="18" t="s">
        <v>65</v>
      </c>
      <c r="C379" s="3">
        <v>1000000</v>
      </c>
      <c r="E379" s="13" t="s">
        <v>403</v>
      </c>
      <c r="F379" s="25">
        <f>F375-C377-C378+C379</f>
        <v>111430000</v>
      </c>
    </row>
    <row r="380" spans="1:6" x14ac:dyDescent="0.25">
      <c r="A380" s="4" t="s">
        <v>404</v>
      </c>
    </row>
    <row r="381" spans="1:6" x14ac:dyDescent="0.25">
      <c r="A381" s="18" t="s">
        <v>65</v>
      </c>
      <c r="C381" s="3">
        <v>2000000</v>
      </c>
      <c r="E381" s="13" t="s">
        <v>405</v>
      </c>
      <c r="F381" s="25">
        <f>F379+C381</f>
        <v>113430000</v>
      </c>
    </row>
    <row r="382" spans="1:6" x14ac:dyDescent="0.25">
      <c r="A382" s="4" t="s">
        <v>406</v>
      </c>
    </row>
    <row r="383" spans="1:6" x14ac:dyDescent="0.25">
      <c r="A383" s="18" t="s">
        <v>407</v>
      </c>
      <c r="C383" s="3">
        <v>14000000</v>
      </c>
    </row>
    <row r="384" spans="1:6" x14ac:dyDescent="0.25">
      <c r="A384" s="18" t="s">
        <v>401</v>
      </c>
      <c r="C384" s="3">
        <v>250000</v>
      </c>
      <c r="E384" s="13" t="s">
        <v>408</v>
      </c>
      <c r="F384" s="25">
        <f>F381+C383-C384+C385+C386</f>
        <v>128680000</v>
      </c>
    </row>
    <row r="385" spans="1:6" x14ac:dyDescent="0.25">
      <c r="A385" s="18" t="s">
        <v>409</v>
      </c>
      <c r="C385" s="3">
        <v>1000000</v>
      </c>
    </row>
    <row r="386" spans="1:6" x14ac:dyDescent="0.25">
      <c r="A386" s="18" t="s">
        <v>65</v>
      </c>
      <c r="C386" s="3">
        <v>500000</v>
      </c>
    </row>
    <row r="387" spans="1:6" x14ac:dyDescent="0.25">
      <c r="A387" s="4" t="s">
        <v>410</v>
      </c>
    </row>
    <row r="388" spans="1:6" x14ac:dyDescent="0.25">
      <c r="A388" s="18" t="s">
        <v>411</v>
      </c>
      <c r="C388" s="3">
        <v>24000000</v>
      </c>
    </row>
    <row r="389" spans="1:6" x14ac:dyDescent="0.25">
      <c r="A389" s="18" t="s">
        <v>412</v>
      </c>
      <c r="C389" s="3">
        <v>300000</v>
      </c>
      <c r="E389" s="13" t="s">
        <v>413</v>
      </c>
      <c r="F389" s="25">
        <f>F384+C388-C389</f>
        <v>152380000</v>
      </c>
    </row>
    <row r="390" spans="1:6" x14ac:dyDescent="0.25">
      <c r="A390" s="4" t="s">
        <v>414</v>
      </c>
    </row>
    <row r="391" spans="1:6" x14ac:dyDescent="0.25">
      <c r="A391" s="18" t="s">
        <v>277</v>
      </c>
      <c r="C391" s="3">
        <v>5000000</v>
      </c>
    </row>
    <row r="392" spans="1:6" x14ac:dyDescent="0.25">
      <c r="A392" s="18" t="s">
        <v>415</v>
      </c>
      <c r="C392" s="3">
        <v>1000000</v>
      </c>
    </row>
    <row r="393" spans="1:6" x14ac:dyDescent="0.25">
      <c r="A393" s="18" t="s">
        <v>416</v>
      </c>
      <c r="C393" s="3">
        <v>200000</v>
      </c>
      <c r="E393" s="13" t="s">
        <v>417</v>
      </c>
      <c r="F393" s="25">
        <f>F389+C391-C392-C393-C395-C394</f>
        <v>154680000</v>
      </c>
    </row>
    <row r="394" spans="1:6" x14ac:dyDescent="0.25">
      <c r="A394" s="18" t="s">
        <v>418</v>
      </c>
      <c r="C394" s="3">
        <v>500000</v>
      </c>
    </row>
    <row r="395" spans="1:6" x14ac:dyDescent="0.25">
      <c r="A395" s="18" t="s">
        <v>419</v>
      </c>
      <c r="C395" s="3">
        <v>1000000</v>
      </c>
    </row>
    <row r="396" spans="1:6" x14ac:dyDescent="0.25">
      <c r="A396" s="4" t="s">
        <v>420</v>
      </c>
    </row>
    <row r="397" spans="1:6" x14ac:dyDescent="0.25">
      <c r="A397" s="18" t="s">
        <v>338</v>
      </c>
      <c r="C397" s="3">
        <v>250000</v>
      </c>
    </row>
    <row r="398" spans="1:6" x14ac:dyDescent="0.25">
      <c r="A398" s="18" t="s">
        <v>421</v>
      </c>
      <c r="C398" s="3">
        <v>430000</v>
      </c>
    </row>
    <row r="399" spans="1:6" s="37" customFormat="1" x14ac:dyDescent="0.25">
      <c r="A399" s="35" t="s">
        <v>422</v>
      </c>
      <c r="B399" s="36"/>
      <c r="C399" s="34">
        <v>100000000</v>
      </c>
      <c r="E399" s="13" t="s">
        <v>423</v>
      </c>
      <c r="F399" s="25">
        <f>F393-C397-C398-C399</f>
        <v>54000000</v>
      </c>
    </row>
    <row r="400" spans="1:6" x14ac:dyDescent="0.25">
      <c r="A400" s="4" t="s">
        <v>424</v>
      </c>
    </row>
    <row r="401" spans="1:6" x14ac:dyDescent="0.25">
      <c r="A401" t="s">
        <v>386</v>
      </c>
      <c r="C401" s="3">
        <v>320000</v>
      </c>
    </row>
    <row r="402" spans="1:6" x14ac:dyDescent="0.25">
      <c r="A402" t="s">
        <v>425</v>
      </c>
      <c r="C402" s="3">
        <v>720000</v>
      </c>
    </row>
    <row r="403" spans="1:6" x14ac:dyDescent="0.25">
      <c r="A403" t="s">
        <v>426</v>
      </c>
      <c r="C403" s="3">
        <v>290000</v>
      </c>
      <c r="E403" s="13" t="s">
        <v>427</v>
      </c>
      <c r="F403" s="25">
        <f>F399-C401-C402+C403+C404</f>
        <v>53750000</v>
      </c>
    </row>
    <row r="404" spans="1:6" x14ac:dyDescent="0.25">
      <c r="A404" t="s">
        <v>65</v>
      </c>
      <c r="C404" s="3">
        <v>500000</v>
      </c>
    </row>
    <row r="405" spans="1:6" x14ac:dyDescent="0.25">
      <c r="A405" s="4" t="s">
        <v>428</v>
      </c>
    </row>
    <row r="406" spans="1:6" x14ac:dyDescent="0.25">
      <c r="A406" t="s">
        <v>377</v>
      </c>
      <c r="C406" s="3">
        <v>250000</v>
      </c>
    </row>
    <row r="407" spans="1:6" x14ac:dyDescent="0.25">
      <c r="A407" t="s">
        <v>429</v>
      </c>
      <c r="C407" s="3">
        <v>2000000</v>
      </c>
    </row>
    <row r="408" spans="1:6" x14ac:dyDescent="0.25">
      <c r="A408" t="s">
        <v>430</v>
      </c>
      <c r="C408" s="3">
        <v>440000</v>
      </c>
      <c r="E408" s="13" t="s">
        <v>431</v>
      </c>
      <c r="F408" s="25">
        <f>F403-C406-C407-C408</f>
        <v>51060000</v>
      </c>
    </row>
    <row r="409" spans="1:6" x14ac:dyDescent="0.25">
      <c r="A409" s="4" t="s">
        <v>432</v>
      </c>
    </row>
    <row r="410" spans="1:6" x14ac:dyDescent="0.25">
      <c r="A410" t="s">
        <v>433</v>
      </c>
      <c r="C410" s="3">
        <v>200000</v>
      </c>
    </row>
    <row r="411" spans="1:6" x14ac:dyDescent="0.25">
      <c r="A411" t="s">
        <v>377</v>
      </c>
      <c r="C411" s="3">
        <v>250000</v>
      </c>
    </row>
    <row r="412" spans="1:6" x14ac:dyDescent="0.25">
      <c r="A412" t="s">
        <v>333</v>
      </c>
      <c r="C412" s="3">
        <v>460000</v>
      </c>
      <c r="E412" s="13" t="s">
        <v>434</v>
      </c>
      <c r="F412" s="25">
        <f>F408-C410-C411-C412</f>
        <v>50150000</v>
      </c>
    </row>
    <row r="413" spans="1:6" x14ac:dyDescent="0.25">
      <c r="A413" s="4" t="s">
        <v>435</v>
      </c>
    </row>
    <row r="414" spans="1:6" x14ac:dyDescent="0.25">
      <c r="A414" t="s">
        <v>65</v>
      </c>
      <c r="C414" s="3">
        <v>1500000</v>
      </c>
      <c r="E414" s="13" t="s">
        <v>436</v>
      </c>
      <c r="F414" s="25">
        <f>F412+C414</f>
        <v>51650000</v>
      </c>
    </row>
    <row r="415" spans="1:6" x14ac:dyDescent="0.25">
      <c r="A415" s="4" t="s">
        <v>437</v>
      </c>
    </row>
    <row r="416" spans="1:6" x14ac:dyDescent="0.25">
      <c r="A416" t="s">
        <v>65</v>
      </c>
      <c r="C416" s="3">
        <v>2000000</v>
      </c>
    </row>
    <row r="417" spans="1:6" x14ac:dyDescent="0.25">
      <c r="A417" s="18" t="s">
        <v>377</v>
      </c>
      <c r="C417" s="3">
        <v>250000</v>
      </c>
    </row>
    <row r="418" spans="1:6" x14ac:dyDescent="0.25">
      <c r="A418" s="18" t="s">
        <v>438</v>
      </c>
      <c r="C418" s="3">
        <v>14620000</v>
      </c>
      <c r="E418" s="13" t="s">
        <v>439</v>
      </c>
      <c r="F418" s="25">
        <f>F414+C416-C417-C418</f>
        <v>38780000</v>
      </c>
    </row>
    <row r="419" spans="1:6" x14ac:dyDescent="0.25">
      <c r="A419" s="4" t="s">
        <v>440</v>
      </c>
    </row>
    <row r="420" spans="1:6" x14ac:dyDescent="0.25">
      <c r="A420" s="18" t="s">
        <v>441</v>
      </c>
      <c r="C420" s="3">
        <v>700000</v>
      </c>
      <c r="E420" s="13" t="s">
        <v>442</v>
      </c>
      <c r="F420" s="25">
        <f>F418-C420</f>
        <v>38080000</v>
      </c>
    </row>
    <row r="421" spans="1:6" x14ac:dyDescent="0.25">
      <c r="A421" s="4" t="s">
        <v>443</v>
      </c>
    </row>
    <row r="422" spans="1:6" x14ac:dyDescent="0.25">
      <c r="A422" s="18" t="s">
        <v>65</v>
      </c>
      <c r="C422" s="3">
        <v>2000000</v>
      </c>
    </row>
    <row r="423" spans="1:6" x14ac:dyDescent="0.25">
      <c r="A423" s="18" t="s">
        <v>444</v>
      </c>
      <c r="C423" s="3">
        <v>500000</v>
      </c>
    </row>
    <row r="424" spans="1:6" x14ac:dyDescent="0.25">
      <c r="A424" s="18" t="s">
        <v>377</v>
      </c>
      <c r="C424" s="3">
        <v>250000</v>
      </c>
    </row>
    <row r="425" spans="1:6" x14ac:dyDescent="0.25">
      <c r="A425" s="18" t="s">
        <v>425</v>
      </c>
      <c r="C425" s="3">
        <v>2900000</v>
      </c>
      <c r="E425" s="13" t="s">
        <v>445</v>
      </c>
      <c r="F425" s="25">
        <f>F420+C422-C423-C424-C425</f>
        <v>36430000</v>
      </c>
    </row>
    <row r="426" spans="1:6" x14ac:dyDescent="0.25">
      <c r="A426" s="4" t="s">
        <v>446</v>
      </c>
    </row>
    <row r="427" spans="1:6" x14ac:dyDescent="0.25">
      <c r="A427" s="18" t="s">
        <v>447</v>
      </c>
      <c r="C427" s="3">
        <v>15000000</v>
      </c>
    </row>
    <row r="428" spans="1:6" x14ac:dyDescent="0.25">
      <c r="A428" s="18" t="s">
        <v>448</v>
      </c>
      <c r="C428" s="3">
        <v>1000000</v>
      </c>
    </row>
    <row r="429" spans="1:6" x14ac:dyDescent="0.25">
      <c r="A429" s="18" t="s">
        <v>377</v>
      </c>
      <c r="C429" s="3">
        <v>250000</v>
      </c>
    </row>
    <row r="430" spans="1:6" x14ac:dyDescent="0.25">
      <c r="A430" s="18" t="s">
        <v>333</v>
      </c>
      <c r="C430" s="3">
        <v>480000</v>
      </c>
    </row>
    <row r="431" spans="1:6" x14ac:dyDescent="0.25">
      <c r="A431" s="18" t="s">
        <v>449</v>
      </c>
      <c r="C431" s="3">
        <v>3620000</v>
      </c>
    </row>
    <row r="432" spans="1:6" x14ac:dyDescent="0.25">
      <c r="A432" s="18" t="s">
        <v>450</v>
      </c>
      <c r="C432" s="3">
        <v>1000000</v>
      </c>
    </row>
    <row r="433" spans="1:6" x14ac:dyDescent="0.25">
      <c r="A433" s="18" t="s">
        <v>451</v>
      </c>
      <c r="C433" s="3">
        <v>7000000</v>
      </c>
      <c r="E433" s="13" t="s">
        <v>452</v>
      </c>
      <c r="F433" s="25">
        <f>F425+C427-C428-C429-C430-C431-C432-C433</f>
        <v>38080000</v>
      </c>
    </row>
    <row r="434" spans="1:6" x14ac:dyDescent="0.25">
      <c r="A434" s="4" t="s">
        <v>453</v>
      </c>
    </row>
    <row r="435" spans="1:6" x14ac:dyDescent="0.25">
      <c r="A435" s="18" t="s">
        <v>454</v>
      </c>
      <c r="C435" s="3">
        <v>1100000</v>
      </c>
      <c r="E435" s="13" t="s">
        <v>455</v>
      </c>
      <c r="F435" s="25">
        <f>F433-C435</f>
        <v>36980000</v>
      </c>
    </row>
    <row r="436" spans="1:6" x14ac:dyDescent="0.25">
      <c r="A436" s="4" t="s">
        <v>456</v>
      </c>
    </row>
    <row r="437" spans="1:6" x14ac:dyDescent="0.25">
      <c r="A437" s="18" t="s">
        <v>457</v>
      </c>
      <c r="C437" s="3">
        <v>715000</v>
      </c>
    </row>
    <row r="438" spans="1:6" x14ac:dyDescent="0.25">
      <c r="A438" s="18" t="s">
        <v>458</v>
      </c>
      <c r="C438" s="3">
        <v>2000000</v>
      </c>
      <c r="E438" s="13" t="s">
        <v>459</v>
      </c>
      <c r="F438" s="25">
        <f>F435-C437-C438</f>
        <v>34265000</v>
      </c>
    </row>
    <row r="439" spans="1:6" x14ac:dyDescent="0.25">
      <c r="A439" s="4" t="s">
        <v>460</v>
      </c>
    </row>
    <row r="440" spans="1:6" x14ac:dyDescent="0.25">
      <c r="A440" s="18" t="s">
        <v>377</v>
      </c>
      <c r="C440" s="3">
        <v>250000</v>
      </c>
    </row>
    <row r="441" spans="1:6" x14ac:dyDescent="0.25">
      <c r="A441" s="18" t="s">
        <v>461</v>
      </c>
      <c r="C441" s="3">
        <v>6000000</v>
      </c>
    </row>
    <row r="442" spans="1:6" x14ac:dyDescent="0.25">
      <c r="A442" s="18" t="s">
        <v>462</v>
      </c>
      <c r="C442" s="3">
        <v>10000000</v>
      </c>
      <c r="E442" s="13" t="s">
        <v>463</v>
      </c>
      <c r="F442" s="25">
        <f>F438-C440+C441-C442</f>
        <v>30015000</v>
      </c>
    </row>
    <row r="443" spans="1:6" x14ac:dyDescent="0.25">
      <c r="A443" s="4" t="s">
        <v>464</v>
      </c>
    </row>
    <row r="444" spans="1:6" x14ac:dyDescent="0.25">
      <c r="A444" s="18" t="s">
        <v>65</v>
      </c>
      <c r="C444" s="3">
        <v>2000000</v>
      </c>
    </row>
    <row r="445" spans="1:6" x14ac:dyDescent="0.25">
      <c r="A445" s="18" t="s">
        <v>465</v>
      </c>
      <c r="C445" s="3">
        <f>400000+400000+350000</f>
        <v>1150000</v>
      </c>
      <c r="E445" s="13" t="s">
        <v>466</v>
      </c>
      <c r="F445" s="25">
        <f>F442+C444-C445</f>
        <v>30865000</v>
      </c>
    </row>
    <row r="446" spans="1:6" x14ac:dyDescent="0.25">
      <c r="A446" s="4" t="s">
        <v>467</v>
      </c>
    </row>
    <row r="447" spans="1:6" x14ac:dyDescent="0.25">
      <c r="A447" s="18" t="s">
        <v>83</v>
      </c>
      <c r="C447" s="3">
        <v>500000</v>
      </c>
    </row>
    <row r="448" spans="1:6" x14ac:dyDescent="0.25">
      <c r="A448" s="18" t="s">
        <v>468</v>
      </c>
      <c r="C448" s="3">
        <v>500000</v>
      </c>
    </row>
    <row r="449" spans="1:6" x14ac:dyDescent="0.25">
      <c r="A449" s="18" t="s">
        <v>110</v>
      </c>
      <c r="C449" s="3">
        <v>2000000</v>
      </c>
    </row>
    <row r="450" spans="1:6" x14ac:dyDescent="0.25">
      <c r="A450" s="18" t="s">
        <v>401</v>
      </c>
      <c r="C450" s="3">
        <v>250000</v>
      </c>
    </row>
    <row r="451" spans="1:6" x14ac:dyDescent="0.25">
      <c r="A451" s="18" t="s">
        <v>297</v>
      </c>
      <c r="C451" s="3">
        <v>2000000</v>
      </c>
    </row>
    <row r="452" spans="1:6" x14ac:dyDescent="0.25">
      <c r="A452" s="18" t="s">
        <v>469</v>
      </c>
      <c r="C452" s="3">
        <v>1200000</v>
      </c>
      <c r="E452" s="13" t="s">
        <v>470</v>
      </c>
      <c r="F452" s="25">
        <f>F445+C447+C448+C449-C450-C451-C452</f>
        <v>30415000</v>
      </c>
    </row>
    <row r="453" spans="1:6" x14ac:dyDescent="0.25">
      <c r="A453" s="4" t="s">
        <v>471</v>
      </c>
    </row>
    <row r="454" spans="1:6" x14ac:dyDescent="0.25">
      <c r="A454" s="18" t="s">
        <v>65</v>
      </c>
      <c r="C454" s="3">
        <v>1500000</v>
      </c>
    </row>
    <row r="455" spans="1:6" x14ac:dyDescent="0.25">
      <c r="A455" s="18" t="s">
        <v>472</v>
      </c>
      <c r="C455" s="3">
        <v>200000</v>
      </c>
      <c r="E455" s="13" t="s">
        <v>473</v>
      </c>
      <c r="F455" s="25">
        <f>F452+C454-C455</f>
        <v>31715000</v>
      </c>
    </row>
    <row r="456" spans="1:6" x14ac:dyDescent="0.25">
      <c r="A456" s="4" t="s">
        <v>474</v>
      </c>
    </row>
    <row r="457" spans="1:6" x14ac:dyDescent="0.25">
      <c r="A457" s="18" t="s">
        <v>475</v>
      </c>
      <c r="C457" s="3">
        <v>1500000</v>
      </c>
      <c r="E457" s="13" t="s">
        <v>476</v>
      </c>
      <c r="F457" s="25">
        <f>F455-C457</f>
        <v>30215000</v>
      </c>
    </row>
    <row r="458" spans="1:6" x14ac:dyDescent="0.25">
      <c r="A458" s="4" t="s">
        <v>477</v>
      </c>
    </row>
    <row r="459" spans="1:6" x14ac:dyDescent="0.25">
      <c r="A459" s="18" t="s">
        <v>277</v>
      </c>
      <c r="C459" s="3">
        <v>5000000</v>
      </c>
    </row>
    <row r="460" spans="1:6" x14ac:dyDescent="0.25">
      <c r="A460" s="18" t="s">
        <v>478</v>
      </c>
      <c r="C460" s="3">
        <v>2290000</v>
      </c>
    </row>
    <row r="461" spans="1:6" x14ac:dyDescent="0.25">
      <c r="A461" s="18" t="s">
        <v>479</v>
      </c>
      <c r="C461" s="3">
        <v>1540000</v>
      </c>
    </row>
    <row r="462" spans="1:6" x14ac:dyDescent="0.25">
      <c r="A462" s="18" t="s">
        <v>480</v>
      </c>
      <c r="C462" s="3">
        <v>1000000</v>
      </c>
    </row>
    <row r="463" spans="1:6" x14ac:dyDescent="0.25">
      <c r="A463" s="18" t="s">
        <v>481</v>
      </c>
      <c r="C463" s="3">
        <v>500000</v>
      </c>
    </row>
    <row r="464" spans="1:6" x14ac:dyDescent="0.25">
      <c r="A464" s="18" t="s">
        <v>482</v>
      </c>
      <c r="C464" s="3">
        <v>2900000</v>
      </c>
      <c r="E464" s="13" t="s">
        <v>483</v>
      </c>
      <c r="F464" s="25">
        <f>F457+C459-C460-C461+C462-C463-C464</f>
        <v>28985000</v>
      </c>
    </row>
    <row r="465" spans="1:6" x14ac:dyDescent="0.25">
      <c r="A465" s="4" t="s">
        <v>484</v>
      </c>
    </row>
    <row r="466" spans="1:6" x14ac:dyDescent="0.25">
      <c r="A466" s="18" t="s">
        <v>508</v>
      </c>
      <c r="C466" s="3">
        <v>280000</v>
      </c>
    </row>
    <row r="467" spans="1:6" x14ac:dyDescent="0.25">
      <c r="A467" s="18" t="s">
        <v>65</v>
      </c>
      <c r="C467" s="3">
        <v>2000000</v>
      </c>
      <c r="E467" s="13" t="s">
        <v>485</v>
      </c>
      <c r="F467" s="25">
        <f>F464+C467-C466</f>
        <v>30705000</v>
      </c>
    </row>
    <row r="468" spans="1:6" x14ac:dyDescent="0.25">
      <c r="A468" s="4" t="s">
        <v>509</v>
      </c>
    </row>
    <row r="469" spans="1:6" x14ac:dyDescent="0.25">
      <c r="A469" s="18" t="s">
        <v>65</v>
      </c>
      <c r="C469" s="3">
        <v>1500000</v>
      </c>
    </row>
    <row r="470" spans="1:6" x14ac:dyDescent="0.25">
      <c r="A470" s="18" t="s">
        <v>512</v>
      </c>
      <c r="C470" s="3">
        <v>1200000</v>
      </c>
    </row>
    <row r="471" spans="1:6" x14ac:dyDescent="0.25">
      <c r="A471" s="18" t="s">
        <v>510</v>
      </c>
      <c r="C471" s="3">
        <v>13000000</v>
      </c>
      <c r="E471" s="13" t="s">
        <v>511</v>
      </c>
      <c r="F471" s="25">
        <f>F467+C469+C471-C470</f>
        <v>44005000</v>
      </c>
    </row>
    <row r="472" spans="1:6" x14ac:dyDescent="0.25">
      <c r="A472" s="4" t="s">
        <v>513</v>
      </c>
    </row>
    <row r="473" spans="1:6" x14ac:dyDescent="0.25">
      <c r="A473" s="18" t="s">
        <v>514</v>
      </c>
      <c r="C473" s="3">
        <v>1500000</v>
      </c>
    </row>
    <row r="474" spans="1:6" x14ac:dyDescent="0.25">
      <c r="A474" s="18" t="s">
        <v>515</v>
      </c>
      <c r="C474" s="3">
        <v>1000000</v>
      </c>
    </row>
    <row r="475" spans="1:6" x14ac:dyDescent="0.25">
      <c r="A475" s="18" t="s">
        <v>65</v>
      </c>
      <c r="C475" s="3">
        <v>2000000</v>
      </c>
      <c r="E475" s="13" t="s">
        <v>516</v>
      </c>
      <c r="F475" s="25">
        <f>F471-C473-C474+C475</f>
        <v>43505000</v>
      </c>
    </row>
    <row r="476" spans="1:6" x14ac:dyDescent="0.25">
      <c r="A476" s="4" t="s">
        <v>517</v>
      </c>
    </row>
    <row r="477" spans="1:6" x14ac:dyDescent="0.25">
      <c r="A477" s="18" t="s">
        <v>518</v>
      </c>
      <c r="C477" s="3">
        <v>500000</v>
      </c>
    </row>
    <row r="478" spans="1:6" x14ac:dyDescent="0.25">
      <c r="A478" s="18" t="s">
        <v>519</v>
      </c>
      <c r="C478" s="3">
        <v>495000</v>
      </c>
    </row>
    <row r="479" spans="1:6" x14ac:dyDescent="0.25">
      <c r="A479" s="18" t="s">
        <v>520</v>
      </c>
      <c r="C479" s="3">
        <v>200000</v>
      </c>
    </row>
    <row r="480" spans="1:6" x14ac:dyDescent="0.25">
      <c r="A480" s="18" t="s">
        <v>521</v>
      </c>
      <c r="C480" s="3">
        <v>440000</v>
      </c>
    </row>
    <row r="481" spans="1:6" x14ac:dyDescent="0.25">
      <c r="A481" s="18" t="s">
        <v>65</v>
      </c>
      <c r="C481" s="3">
        <v>2000000</v>
      </c>
      <c r="E481" s="13" t="s">
        <v>522</v>
      </c>
      <c r="F481" s="25">
        <f>F475-C477-C478-C479-C480+C481</f>
        <v>43870000</v>
      </c>
    </row>
    <row r="482" spans="1:6" x14ac:dyDescent="0.25">
      <c r="A482" s="4" t="s">
        <v>523</v>
      </c>
    </row>
    <row r="483" spans="1:6" x14ac:dyDescent="0.25">
      <c r="A483" s="18" t="s">
        <v>386</v>
      </c>
      <c r="C483" s="3">
        <v>264000</v>
      </c>
    </row>
    <row r="484" spans="1:6" x14ac:dyDescent="0.25">
      <c r="A484" s="18" t="s">
        <v>524</v>
      </c>
      <c r="C484" s="3">
        <v>2766000</v>
      </c>
    </row>
    <row r="485" spans="1:6" x14ac:dyDescent="0.25">
      <c r="A485" s="18" t="s">
        <v>65</v>
      </c>
      <c r="C485" s="3">
        <v>500000</v>
      </c>
    </row>
    <row r="486" spans="1:6" x14ac:dyDescent="0.25">
      <c r="A486" s="18" t="s">
        <v>525</v>
      </c>
      <c r="C486" s="3">
        <v>80000</v>
      </c>
      <c r="E486" s="13" t="s">
        <v>528</v>
      </c>
      <c r="F486" s="25">
        <f>F481-C483-C484+C485-C486</f>
        <v>41260000</v>
      </c>
    </row>
    <row r="487" spans="1:6" x14ac:dyDescent="0.25">
      <c r="A487" s="4" t="s">
        <v>526</v>
      </c>
    </row>
    <row r="488" spans="1:6" x14ac:dyDescent="0.25">
      <c r="A488" s="18" t="s">
        <v>527</v>
      </c>
      <c r="C488" s="3">
        <v>984000</v>
      </c>
    </row>
    <row r="489" spans="1:6" x14ac:dyDescent="0.25">
      <c r="A489" s="18" t="s">
        <v>65</v>
      </c>
      <c r="C489" s="3">
        <v>500000</v>
      </c>
      <c r="E489" s="13" t="s">
        <v>529</v>
      </c>
      <c r="F489" s="25">
        <f>F486-C488+C489</f>
        <v>40776000</v>
      </c>
    </row>
    <row r="490" spans="1:6" x14ac:dyDescent="0.25">
      <c r="A490" s="4" t="s">
        <v>530</v>
      </c>
    </row>
    <row r="491" spans="1:6" x14ac:dyDescent="0.25">
      <c r="A491" s="18" t="s">
        <v>65</v>
      </c>
      <c r="C491" s="3">
        <v>2000000</v>
      </c>
    </row>
    <row r="492" spans="1:6" x14ac:dyDescent="0.25">
      <c r="A492" s="18" t="s">
        <v>531</v>
      </c>
      <c r="C492" s="3">
        <v>1000000</v>
      </c>
      <c r="E492" s="13" t="s">
        <v>532</v>
      </c>
      <c r="F492" s="25">
        <f>F489+C491+C492</f>
        <v>43776000</v>
      </c>
    </row>
    <row r="493" spans="1:6" x14ac:dyDescent="0.25">
      <c r="A493" s="4" t="s">
        <v>533</v>
      </c>
    </row>
    <row r="494" spans="1:6" x14ac:dyDescent="0.25">
      <c r="A494" s="18" t="s">
        <v>534</v>
      </c>
      <c r="C494" s="3">
        <v>990000</v>
      </c>
    </row>
    <row r="495" spans="1:6" x14ac:dyDescent="0.25">
      <c r="A495" s="18" t="s">
        <v>535</v>
      </c>
      <c r="C495" s="3">
        <v>1500000</v>
      </c>
    </row>
    <row r="496" spans="1:6" x14ac:dyDescent="0.25">
      <c r="A496" s="18" t="s">
        <v>537</v>
      </c>
      <c r="C496" s="3">
        <v>7000000</v>
      </c>
      <c r="E496" s="23"/>
      <c r="F496" s="64"/>
    </row>
    <row r="497" spans="1:6" x14ac:dyDescent="0.25">
      <c r="A497" s="18" t="s">
        <v>538</v>
      </c>
      <c r="C497" s="3">
        <v>7000000</v>
      </c>
      <c r="E497" s="13" t="s">
        <v>536</v>
      </c>
      <c r="F497" s="25">
        <f>F492-C494-C495-C496+C497</f>
        <v>41286000</v>
      </c>
    </row>
    <row r="498" spans="1:6" x14ac:dyDescent="0.25">
      <c r="A498" s="4" t="s">
        <v>539</v>
      </c>
    </row>
    <row r="499" spans="1:6" x14ac:dyDescent="0.25">
      <c r="A499" s="18" t="s">
        <v>540</v>
      </c>
      <c r="C499" s="3">
        <v>5000000</v>
      </c>
      <c r="E499" s="13" t="s">
        <v>541</v>
      </c>
      <c r="F499" s="25">
        <f>F497+C499</f>
        <v>46286000</v>
      </c>
    </row>
    <row r="500" spans="1:6" x14ac:dyDescent="0.25">
      <c r="A500" s="4" t="s">
        <v>542</v>
      </c>
    </row>
    <row r="501" spans="1:6" x14ac:dyDescent="0.25">
      <c r="A501" s="18" t="s">
        <v>546</v>
      </c>
      <c r="C501" s="3">
        <v>500000</v>
      </c>
    </row>
    <row r="502" spans="1:6" x14ac:dyDescent="0.25">
      <c r="A502" s="18" t="s">
        <v>543</v>
      </c>
      <c r="C502" s="3">
        <v>3000000</v>
      </c>
    </row>
    <row r="503" spans="1:6" x14ac:dyDescent="0.25">
      <c r="A503" s="18" t="s">
        <v>386</v>
      </c>
      <c r="C503" s="3">
        <v>150000</v>
      </c>
    </row>
    <row r="504" spans="1:6" x14ac:dyDescent="0.25">
      <c r="A504" s="18" t="s">
        <v>544</v>
      </c>
      <c r="C504" s="3">
        <v>1010000</v>
      </c>
    </row>
    <row r="505" spans="1:6" x14ac:dyDescent="0.25">
      <c r="A505" s="18" t="s">
        <v>545</v>
      </c>
      <c r="C505" s="3">
        <v>1077000</v>
      </c>
      <c r="E505" s="13" t="s">
        <v>547</v>
      </c>
      <c r="F505" s="25">
        <f>F499+C501+C502-C503-C504-C505</f>
        <v>47549000</v>
      </c>
    </row>
    <row r="506" spans="1:6" x14ac:dyDescent="0.25">
      <c r="A506" s="4" t="s">
        <v>548</v>
      </c>
    </row>
    <row r="507" spans="1:6" x14ac:dyDescent="0.25">
      <c r="A507" s="18" t="s">
        <v>552</v>
      </c>
      <c r="C507" s="3">
        <v>1500000</v>
      </c>
      <c r="E507" s="13" t="s">
        <v>549</v>
      </c>
      <c r="F507" s="25">
        <f>F505+C507</f>
        <v>49049000</v>
      </c>
    </row>
    <row r="508" spans="1:6" x14ac:dyDescent="0.25">
      <c r="A508" s="4" t="s">
        <v>550</v>
      </c>
    </row>
    <row r="509" spans="1:6" x14ac:dyDescent="0.25">
      <c r="A509" s="18" t="s">
        <v>551</v>
      </c>
      <c r="C509" s="3">
        <v>500000</v>
      </c>
    </row>
    <row r="510" spans="1:6" x14ac:dyDescent="0.25">
      <c r="A510" s="18" t="s">
        <v>65</v>
      </c>
      <c r="C510" s="3">
        <v>1000000</v>
      </c>
    </row>
    <row r="511" spans="1:6" x14ac:dyDescent="0.25">
      <c r="A511" s="18" t="s">
        <v>553</v>
      </c>
      <c r="C511" s="3">
        <v>1000000</v>
      </c>
      <c r="E511" s="27"/>
      <c r="F511" s="28"/>
    </row>
    <row r="512" spans="1:6" x14ac:dyDescent="0.25">
      <c r="A512" s="18" t="s">
        <v>555</v>
      </c>
      <c r="C512" s="3">
        <v>400000</v>
      </c>
      <c r="E512" s="13" t="s">
        <v>554</v>
      </c>
      <c r="F512" s="25">
        <f>F507+C509+C510-C511-C512</f>
        <v>49149000</v>
      </c>
    </row>
    <row r="513" spans="1:6" x14ac:dyDescent="0.25">
      <c r="A513" s="4" t="s">
        <v>556</v>
      </c>
    </row>
    <row r="514" spans="1:6" x14ac:dyDescent="0.25">
      <c r="A514" s="18" t="s">
        <v>386</v>
      </c>
      <c r="C514" s="3">
        <v>100000</v>
      </c>
    </row>
    <row r="515" spans="1:6" x14ac:dyDescent="0.25">
      <c r="A515" s="18" t="s">
        <v>557</v>
      </c>
      <c r="C515" s="3">
        <v>2000000</v>
      </c>
    </row>
    <row r="516" spans="1:6" x14ac:dyDescent="0.25">
      <c r="A516" s="18" t="s">
        <v>558</v>
      </c>
      <c r="C516" s="3">
        <v>400000</v>
      </c>
    </row>
    <row r="517" spans="1:6" x14ac:dyDescent="0.25">
      <c r="A517" s="18" t="s">
        <v>559</v>
      </c>
      <c r="C517" s="3">
        <v>3000000</v>
      </c>
      <c r="E517" s="13" t="s">
        <v>560</v>
      </c>
      <c r="F517" s="25">
        <f>F512-C514-C515-C516+C517</f>
        <v>49649000</v>
      </c>
    </row>
    <row r="518" spans="1:6" x14ac:dyDescent="0.25">
      <c r="A518" s="4" t="s">
        <v>561</v>
      </c>
    </row>
    <row r="519" spans="1:6" x14ac:dyDescent="0.25">
      <c r="A519" s="18" t="s">
        <v>562</v>
      </c>
      <c r="C519" s="3">
        <v>2000000</v>
      </c>
    </row>
    <row r="520" spans="1:6" x14ac:dyDescent="0.25">
      <c r="A520" s="18" t="s">
        <v>563</v>
      </c>
      <c r="C520" s="3">
        <v>8000000</v>
      </c>
      <c r="E520" s="13" t="s">
        <v>564</v>
      </c>
      <c r="F520" s="25">
        <f>F517+C519+C520</f>
        <v>59649000</v>
      </c>
    </row>
    <row r="521" spans="1:6" x14ac:dyDescent="0.25">
      <c r="A521" s="4" t="s">
        <v>565</v>
      </c>
    </row>
    <row r="522" spans="1:6" x14ac:dyDescent="0.25">
      <c r="A522" s="18" t="s">
        <v>566</v>
      </c>
      <c r="C522" s="3">
        <v>190000</v>
      </c>
      <c r="E522" s="13" t="s">
        <v>567</v>
      </c>
      <c r="F522" s="25">
        <f>F520-C522</f>
        <v>59459000</v>
      </c>
    </row>
    <row r="523" spans="1:6" x14ac:dyDescent="0.25">
      <c r="A523" s="4" t="s">
        <v>568</v>
      </c>
    </row>
    <row r="524" spans="1:6" x14ac:dyDescent="0.25">
      <c r="A524" s="18" t="s">
        <v>569</v>
      </c>
      <c r="C524" s="3">
        <v>580000</v>
      </c>
    </row>
    <row r="525" spans="1:6" x14ac:dyDescent="0.25">
      <c r="A525" s="18" t="s">
        <v>570</v>
      </c>
      <c r="C525" s="3">
        <v>600000</v>
      </c>
    </row>
    <row r="526" spans="1:6" x14ac:dyDescent="0.25">
      <c r="A526" s="18" t="s">
        <v>571</v>
      </c>
      <c r="C526" s="3">
        <v>14100000</v>
      </c>
    </row>
    <row r="527" spans="1:6" x14ac:dyDescent="0.25">
      <c r="A527" s="18" t="s">
        <v>572</v>
      </c>
      <c r="C527" s="3">
        <v>1500000</v>
      </c>
      <c r="E527" s="13" t="s">
        <v>574</v>
      </c>
      <c r="F527" s="25">
        <f>F522-C524-C525-C526-C527</f>
        <v>42679000</v>
      </c>
    </row>
    <row r="528" spans="1:6" x14ac:dyDescent="0.25">
      <c r="A528" s="4" t="s">
        <v>575</v>
      </c>
    </row>
    <row r="529" spans="1:6" x14ac:dyDescent="0.25">
      <c r="A529" s="66" t="s">
        <v>576</v>
      </c>
      <c r="B529" s="70"/>
      <c r="C529" s="71">
        <v>5033000</v>
      </c>
    </row>
    <row r="530" spans="1:6" x14ac:dyDescent="0.25">
      <c r="A530" s="66" t="s">
        <v>577</v>
      </c>
      <c r="C530" s="3">
        <v>430000</v>
      </c>
    </row>
    <row r="531" spans="1:6" x14ac:dyDescent="0.25">
      <c r="A531" t="s">
        <v>369</v>
      </c>
      <c r="C531" s="3">
        <v>160000</v>
      </c>
    </row>
    <row r="532" spans="1:6" x14ac:dyDescent="0.25">
      <c r="A532" t="s">
        <v>578</v>
      </c>
      <c r="C532" s="3">
        <v>200000</v>
      </c>
    </row>
    <row r="533" spans="1:6" x14ac:dyDescent="0.25">
      <c r="A533" t="s">
        <v>579</v>
      </c>
      <c r="C533" s="3">
        <v>1015000</v>
      </c>
    </row>
    <row r="534" spans="1:6" x14ac:dyDescent="0.25">
      <c r="A534" t="s">
        <v>581</v>
      </c>
      <c r="C534" s="3">
        <v>220000</v>
      </c>
    </row>
    <row r="535" spans="1:6" x14ac:dyDescent="0.25">
      <c r="A535" t="s">
        <v>583</v>
      </c>
      <c r="C535" s="3">
        <v>530000</v>
      </c>
    </row>
    <row r="536" spans="1:6" x14ac:dyDescent="0.25">
      <c r="A536" t="s">
        <v>454</v>
      </c>
      <c r="C536" s="3">
        <v>310000</v>
      </c>
    </row>
    <row r="537" spans="1:6" x14ac:dyDescent="0.25">
      <c r="A537" t="s">
        <v>580</v>
      </c>
      <c r="C537" s="3">
        <v>7300000</v>
      </c>
      <c r="E537" s="13" t="s">
        <v>582</v>
      </c>
      <c r="F537" s="25">
        <f>F527-C529-C530-C531-C532-C533-C534-C535-C536+C537</f>
        <v>42081000</v>
      </c>
    </row>
    <row r="538" spans="1:6" x14ac:dyDescent="0.25">
      <c r="A538" s="4" t="s">
        <v>584</v>
      </c>
    </row>
    <row r="539" spans="1:6" x14ac:dyDescent="0.25">
      <c r="A539" t="s">
        <v>585</v>
      </c>
      <c r="C539" s="3">
        <v>250000</v>
      </c>
    </row>
    <row r="540" spans="1:6" x14ac:dyDescent="0.25">
      <c r="A540" t="s">
        <v>586</v>
      </c>
      <c r="C540" s="3">
        <v>500000</v>
      </c>
    </row>
    <row r="541" spans="1:6" x14ac:dyDescent="0.25">
      <c r="A541" t="s">
        <v>587</v>
      </c>
      <c r="C541" s="3">
        <v>500000</v>
      </c>
    </row>
    <row r="542" spans="1:6" x14ac:dyDescent="0.25">
      <c r="A542" t="s">
        <v>588</v>
      </c>
      <c r="C542" s="3">
        <v>200000</v>
      </c>
      <c r="E542" s="13" t="s">
        <v>589</v>
      </c>
      <c r="F542" s="25">
        <f>F537-C539-C540-C541+C542</f>
        <v>41031000</v>
      </c>
    </row>
    <row r="543" spans="1:6" x14ac:dyDescent="0.25">
      <c r="A543" s="4" t="s">
        <v>590</v>
      </c>
    </row>
    <row r="544" spans="1:6" x14ac:dyDescent="0.25">
      <c r="A544" t="s">
        <v>591</v>
      </c>
      <c r="C544" s="3">
        <v>7000000</v>
      </c>
    </row>
    <row r="545" spans="1:6" x14ac:dyDescent="0.25">
      <c r="A545" t="s">
        <v>592</v>
      </c>
      <c r="C545" s="3">
        <v>1500000</v>
      </c>
    </row>
    <row r="546" spans="1:6" x14ac:dyDescent="0.25">
      <c r="A546" s="67" t="s">
        <v>593</v>
      </c>
      <c r="B546" s="68"/>
      <c r="C546" s="69">
        <v>30000000</v>
      </c>
      <c r="E546" s="23"/>
      <c r="F546" s="64"/>
    </row>
    <row r="547" spans="1:6" x14ac:dyDescent="0.25">
      <c r="A547" t="s">
        <v>595</v>
      </c>
      <c r="C547" s="3">
        <v>1828000</v>
      </c>
    </row>
    <row r="548" spans="1:6" x14ac:dyDescent="0.25">
      <c r="A548" s="32"/>
      <c r="B548" s="30"/>
      <c r="C548" s="31"/>
      <c r="E548" s="13" t="s">
        <v>594</v>
      </c>
      <c r="F548" s="25">
        <f>F542+C544-C545-C546-C547-C548</f>
        <v>14703000</v>
      </c>
    </row>
    <row r="549" spans="1:6" x14ac:dyDescent="0.25">
      <c r="A549" s="4" t="s">
        <v>596</v>
      </c>
    </row>
    <row r="550" spans="1:6" x14ac:dyDescent="0.25">
      <c r="A550" t="s">
        <v>65</v>
      </c>
      <c r="C550" s="3">
        <v>500000</v>
      </c>
    </row>
    <row r="551" spans="1:6" x14ac:dyDescent="0.25">
      <c r="A551" s="32" t="s">
        <v>597</v>
      </c>
      <c r="B551" s="30"/>
      <c r="C551" s="31">
        <v>2000000</v>
      </c>
      <c r="E551" s="13" t="s">
        <v>598</v>
      </c>
      <c r="F551" s="25">
        <f>F548+C550-C551</f>
        <v>13203000</v>
      </c>
    </row>
    <row r="552" spans="1:6" x14ac:dyDescent="0.25">
      <c r="A552" s="4" t="s">
        <v>599</v>
      </c>
    </row>
    <row r="553" spans="1:6" x14ac:dyDescent="0.25">
      <c r="A553" t="s">
        <v>600</v>
      </c>
      <c r="C553" s="3">
        <v>200000</v>
      </c>
    </row>
    <row r="554" spans="1:6" x14ac:dyDescent="0.25">
      <c r="A554" t="s">
        <v>601</v>
      </c>
      <c r="C554" s="3">
        <v>2552000</v>
      </c>
    </row>
    <row r="555" spans="1:6" x14ac:dyDescent="0.25">
      <c r="A555" t="s">
        <v>602</v>
      </c>
      <c r="C555" s="3">
        <v>1300000</v>
      </c>
      <c r="E555" s="13" t="s">
        <v>598</v>
      </c>
      <c r="F555" s="25">
        <f>F551-C553-C554-C555</f>
        <v>9151000</v>
      </c>
    </row>
    <row r="556" spans="1:6" x14ac:dyDescent="0.25">
      <c r="A556" s="4" t="s">
        <v>603</v>
      </c>
    </row>
    <row r="557" spans="1:6" x14ac:dyDescent="0.25">
      <c r="A557" t="s">
        <v>604</v>
      </c>
      <c r="C557" s="3">
        <v>300000</v>
      </c>
    </row>
    <row r="558" spans="1:6" x14ac:dyDescent="0.25">
      <c r="A558" t="s">
        <v>605</v>
      </c>
      <c r="C558" s="3">
        <v>557000</v>
      </c>
    </row>
    <row r="559" spans="1:6" x14ac:dyDescent="0.25">
      <c r="A559" t="s">
        <v>606</v>
      </c>
      <c r="C559" s="3">
        <v>2000000</v>
      </c>
      <c r="E559" s="13" t="s">
        <v>607</v>
      </c>
      <c r="F559" s="25">
        <f>F555-C557-C558+C559</f>
        <v>10294000</v>
      </c>
    </row>
    <row r="560" spans="1:6" x14ac:dyDescent="0.25">
      <c r="A560" s="4" t="s">
        <v>608</v>
      </c>
    </row>
    <row r="561" spans="1:6" x14ac:dyDescent="0.25">
      <c r="A561" t="s">
        <v>609</v>
      </c>
      <c r="C561" s="3">
        <v>420000</v>
      </c>
    </row>
    <row r="562" spans="1:6" x14ac:dyDescent="0.25">
      <c r="A562" t="s">
        <v>610</v>
      </c>
      <c r="C562" s="3">
        <v>200000</v>
      </c>
    </row>
    <row r="563" spans="1:6" x14ac:dyDescent="0.25">
      <c r="A563" t="s">
        <v>611</v>
      </c>
      <c r="C563" s="3">
        <v>1000000</v>
      </c>
      <c r="E563" s="13" t="s">
        <v>612</v>
      </c>
      <c r="F563" s="25">
        <f>F559-C561+C562+C563</f>
        <v>11074000</v>
      </c>
    </row>
    <row r="564" spans="1:6" x14ac:dyDescent="0.25">
      <c r="A564" s="4" t="s">
        <v>613</v>
      </c>
    </row>
    <row r="565" spans="1:6" x14ac:dyDescent="0.25">
      <c r="A565" s="32" t="s">
        <v>614</v>
      </c>
      <c r="B565" s="30"/>
      <c r="C565" s="31">
        <v>5000000</v>
      </c>
    </row>
    <row r="566" spans="1:6" x14ac:dyDescent="0.25">
      <c r="A566" t="s">
        <v>615</v>
      </c>
      <c r="C566" s="3">
        <v>1500000</v>
      </c>
      <c r="E566" s="13" t="s">
        <v>616</v>
      </c>
      <c r="F566" s="25">
        <f>F563+C566-C565</f>
        <v>7574000</v>
      </c>
    </row>
    <row r="567" spans="1:6" x14ac:dyDescent="0.25">
      <c r="A567" s="4" t="s">
        <v>617</v>
      </c>
    </row>
    <row r="568" spans="1:6" x14ac:dyDescent="0.25">
      <c r="A568" t="s">
        <v>618</v>
      </c>
      <c r="C568" s="3">
        <v>215000</v>
      </c>
    </row>
    <row r="569" spans="1:6" x14ac:dyDescent="0.25">
      <c r="A569" t="s">
        <v>619</v>
      </c>
      <c r="C569" s="3">
        <v>124000</v>
      </c>
    </row>
    <row r="570" spans="1:6" x14ac:dyDescent="0.25">
      <c r="A570" t="s">
        <v>620</v>
      </c>
      <c r="C570" s="3">
        <v>500000</v>
      </c>
    </row>
    <row r="571" spans="1:6" x14ac:dyDescent="0.25">
      <c r="A571" t="s">
        <v>621</v>
      </c>
      <c r="C571" s="3">
        <v>636000</v>
      </c>
    </row>
    <row r="572" spans="1:6" x14ac:dyDescent="0.25">
      <c r="A572" t="s">
        <v>622</v>
      </c>
      <c r="C572" s="3">
        <v>5000000</v>
      </c>
      <c r="E572" s="13" t="s">
        <v>623</v>
      </c>
      <c r="F572" s="25">
        <f>F566-C568-C569-C570-C571+C572</f>
        <v>11099000</v>
      </c>
    </row>
    <row r="573" spans="1:6" x14ac:dyDescent="0.25">
      <c r="A573" s="4" t="s">
        <v>624</v>
      </c>
    </row>
    <row r="574" spans="1:6" x14ac:dyDescent="0.25">
      <c r="A574" t="s">
        <v>625</v>
      </c>
      <c r="C574" s="3">
        <v>7000000</v>
      </c>
    </row>
    <row r="575" spans="1:6" x14ac:dyDescent="0.25">
      <c r="A575" t="s">
        <v>626</v>
      </c>
      <c r="C575" s="3">
        <v>712000</v>
      </c>
    </row>
    <row r="576" spans="1:6" x14ac:dyDescent="0.25">
      <c r="A576" t="s">
        <v>627</v>
      </c>
      <c r="C576" s="3">
        <v>312000</v>
      </c>
    </row>
    <row r="577" spans="1:6" x14ac:dyDescent="0.25">
      <c r="A577" t="s">
        <v>611</v>
      </c>
      <c r="C577" s="3">
        <v>1000000</v>
      </c>
      <c r="E577" s="13" t="s">
        <v>628</v>
      </c>
      <c r="F577" s="25">
        <f>F572-C574-C575-C576+C577</f>
        <v>4075000</v>
      </c>
    </row>
    <row r="578" spans="1:6" x14ac:dyDescent="0.25">
      <c r="A578" s="4" t="s">
        <v>629</v>
      </c>
    </row>
    <row r="579" spans="1:6" x14ac:dyDescent="0.25">
      <c r="A579" t="s">
        <v>630</v>
      </c>
      <c r="C579" s="3">
        <v>2900000</v>
      </c>
    </row>
    <row r="580" spans="1:6" x14ac:dyDescent="0.25">
      <c r="A580" t="s">
        <v>631</v>
      </c>
      <c r="C580" s="3">
        <v>1040000</v>
      </c>
      <c r="D580" s="3"/>
    </row>
    <row r="581" spans="1:6" x14ac:dyDescent="0.25">
      <c r="A581" s="32" t="s">
        <v>632</v>
      </c>
      <c r="B581" s="30"/>
      <c r="C581" s="31">
        <v>1500000</v>
      </c>
      <c r="E581" s="27"/>
      <c r="F581" s="28"/>
    </row>
    <row r="582" spans="1:6" x14ac:dyDescent="0.25">
      <c r="A582" s="32" t="s">
        <v>634</v>
      </c>
      <c r="C582" s="3">
        <v>9000000</v>
      </c>
      <c r="E582" s="13" t="s">
        <v>633</v>
      </c>
      <c r="F582" s="25">
        <f>F577-C579-C580-C581+C582</f>
        <v>7635000</v>
      </c>
    </row>
    <row r="583" spans="1:6" x14ac:dyDescent="0.25">
      <c r="A583" s="4" t="s">
        <v>635</v>
      </c>
    </row>
    <row r="584" spans="1:6" x14ac:dyDescent="0.25">
      <c r="A584" s="32" t="s">
        <v>636</v>
      </c>
      <c r="C584" s="3">
        <v>270000</v>
      </c>
    </row>
    <row r="585" spans="1:6" x14ac:dyDescent="0.25">
      <c r="A585" s="32" t="s">
        <v>638</v>
      </c>
      <c r="C585" s="3">
        <v>5000000</v>
      </c>
    </row>
    <row r="586" spans="1:6" x14ac:dyDescent="0.25">
      <c r="A586" s="32" t="s">
        <v>637</v>
      </c>
      <c r="C586" s="3">
        <v>2000000</v>
      </c>
      <c r="E586" s="13" t="s">
        <v>639</v>
      </c>
      <c r="F586" s="25">
        <f>F582-C584-C585+C586</f>
        <v>4365000</v>
      </c>
    </row>
    <row r="587" spans="1:6" x14ac:dyDescent="0.25">
      <c r="A587" s="4" t="s">
        <v>642</v>
      </c>
    </row>
    <row r="588" spans="1:6" x14ac:dyDescent="0.25">
      <c r="A588" s="32" t="s">
        <v>640</v>
      </c>
      <c r="C588" s="3">
        <v>880000</v>
      </c>
    </row>
    <row r="589" spans="1:6" x14ac:dyDescent="0.25">
      <c r="A589" s="32" t="s">
        <v>611</v>
      </c>
      <c r="C589" s="3">
        <v>1000000</v>
      </c>
    </row>
    <row r="590" spans="1:6" x14ac:dyDescent="0.25">
      <c r="A590" s="32" t="s">
        <v>641</v>
      </c>
      <c r="C590" s="3">
        <v>5000000</v>
      </c>
      <c r="E590" s="13" t="s">
        <v>643</v>
      </c>
      <c r="F590" s="25">
        <f>F586-C588+C590+C589</f>
        <v>9485000</v>
      </c>
    </row>
    <row r="591" spans="1:6" x14ac:dyDescent="0.25">
      <c r="A591" s="4" t="s">
        <v>644</v>
      </c>
    </row>
    <row r="592" spans="1:6" x14ac:dyDescent="0.25">
      <c r="A592" s="32" t="s">
        <v>332</v>
      </c>
      <c r="C592" s="3">
        <v>500000</v>
      </c>
    </row>
    <row r="593" spans="1:6" x14ac:dyDescent="0.25">
      <c r="A593" s="32" t="s">
        <v>645</v>
      </c>
      <c r="C593" s="3">
        <v>2600000</v>
      </c>
      <c r="E593" s="27"/>
      <c r="F593" s="28"/>
    </row>
    <row r="594" spans="1:6" x14ac:dyDescent="0.25">
      <c r="A594" s="32" t="s">
        <v>647</v>
      </c>
      <c r="C594" s="3">
        <v>2200000</v>
      </c>
      <c r="E594" s="13" t="s">
        <v>646</v>
      </c>
      <c r="F594" s="25">
        <f>F590+C592-C593-C594</f>
        <v>5185000</v>
      </c>
    </row>
    <row r="595" spans="1:6" x14ac:dyDescent="0.25">
      <c r="A595" s="4" t="s">
        <v>648</v>
      </c>
    </row>
    <row r="596" spans="1:6" x14ac:dyDescent="0.25">
      <c r="A596" s="32" t="s">
        <v>649</v>
      </c>
      <c r="C596" s="3">
        <v>230000</v>
      </c>
    </row>
    <row r="597" spans="1:6" x14ac:dyDescent="0.25">
      <c r="A597" s="32" t="s">
        <v>650</v>
      </c>
      <c r="C597" s="3">
        <v>200000</v>
      </c>
      <c r="E597" s="13" t="s">
        <v>651</v>
      </c>
      <c r="F597" s="25">
        <f>F594-C596-C597</f>
        <v>4755000</v>
      </c>
    </row>
    <row r="598" spans="1:6" x14ac:dyDescent="0.25">
      <c r="A598" s="4" t="s">
        <v>652</v>
      </c>
    </row>
    <row r="599" spans="1:6" x14ac:dyDescent="0.25">
      <c r="A599" s="32" t="s">
        <v>653</v>
      </c>
      <c r="C599" s="3">
        <v>2000000</v>
      </c>
    </row>
    <row r="600" spans="1:6" x14ac:dyDescent="0.25">
      <c r="A600" s="32" t="s">
        <v>654</v>
      </c>
      <c r="C600" s="3">
        <v>21500000</v>
      </c>
      <c r="E600" s="13" t="s">
        <v>655</v>
      </c>
      <c r="F600" s="25">
        <f>F597+C599+C600</f>
        <v>28255000</v>
      </c>
    </row>
    <row r="601" spans="1:6" x14ac:dyDescent="0.25">
      <c r="A601" s="4" t="s">
        <v>656</v>
      </c>
    </row>
    <row r="602" spans="1:6" x14ac:dyDescent="0.25">
      <c r="A602" s="32" t="s">
        <v>657</v>
      </c>
      <c r="C602" s="3">
        <v>6650000</v>
      </c>
    </row>
    <row r="603" spans="1:6" x14ac:dyDescent="0.25">
      <c r="A603" s="32" t="s">
        <v>521</v>
      </c>
      <c r="C603" s="3">
        <v>540000</v>
      </c>
    </row>
    <row r="604" spans="1:6" x14ac:dyDescent="0.25">
      <c r="A604" s="32" t="s">
        <v>658</v>
      </c>
      <c r="C604" s="3">
        <v>200000</v>
      </c>
      <c r="E604" s="13" t="s">
        <v>659</v>
      </c>
      <c r="F604" s="25">
        <f>F600-C602-C603-C604</f>
        <v>20865000</v>
      </c>
    </row>
    <row r="605" spans="1:6" x14ac:dyDescent="0.25">
      <c r="A605" s="4" t="s">
        <v>660</v>
      </c>
    </row>
    <row r="606" spans="1:6" x14ac:dyDescent="0.25">
      <c r="A606" s="72" t="s">
        <v>662</v>
      </c>
      <c r="C606" s="3">
        <v>250000</v>
      </c>
    </row>
    <row r="607" spans="1:6" x14ac:dyDescent="0.25">
      <c r="A607" s="32" t="s">
        <v>611</v>
      </c>
      <c r="C607" s="3">
        <v>7000000</v>
      </c>
      <c r="E607" s="13" t="s">
        <v>661</v>
      </c>
      <c r="F607" s="25">
        <f>F604+C607-C606</f>
        <v>27615000</v>
      </c>
    </row>
    <row r="608" spans="1:6" x14ac:dyDescent="0.25">
      <c r="A608" s="4" t="s">
        <v>663</v>
      </c>
    </row>
    <row r="609" spans="1:6" x14ac:dyDescent="0.25">
      <c r="A609" s="32" t="s">
        <v>664</v>
      </c>
      <c r="C609" s="3">
        <v>8700000</v>
      </c>
    </row>
    <row r="610" spans="1:6" x14ac:dyDescent="0.25">
      <c r="A610" s="32" t="s">
        <v>665</v>
      </c>
      <c r="C610" s="3">
        <v>740000</v>
      </c>
    </row>
    <row r="611" spans="1:6" x14ac:dyDescent="0.25">
      <c r="A611" s="32" t="s">
        <v>666</v>
      </c>
      <c r="C611" s="3">
        <v>7000000</v>
      </c>
    </row>
    <row r="612" spans="1:6" x14ac:dyDescent="0.25">
      <c r="A612" s="32" t="s">
        <v>667</v>
      </c>
      <c r="C612" s="3">
        <v>200000</v>
      </c>
    </row>
    <row r="613" spans="1:6" x14ac:dyDescent="0.25">
      <c r="A613" s="32" t="s">
        <v>668</v>
      </c>
      <c r="C613" s="3">
        <v>1500000</v>
      </c>
      <c r="E613" s="13" t="s">
        <v>669</v>
      </c>
      <c r="F613" s="25">
        <f>F607+C609-C610-C611-C612-C613</f>
        <v>26875000</v>
      </c>
    </row>
    <row r="614" spans="1:6" x14ac:dyDescent="0.25">
      <c r="A614" s="4" t="s">
        <v>670</v>
      </c>
    </row>
    <row r="615" spans="1:6" x14ac:dyDescent="0.25">
      <c r="A615" s="32" t="s">
        <v>671</v>
      </c>
      <c r="C615" s="3">
        <v>400000</v>
      </c>
    </row>
    <row r="616" spans="1:6" x14ac:dyDescent="0.25">
      <c r="A616" s="32" t="s">
        <v>672</v>
      </c>
      <c r="C616" s="3">
        <v>350000</v>
      </c>
      <c r="E616" s="13" t="s">
        <v>673</v>
      </c>
      <c r="F616" s="25">
        <f>F613-C615-C616</f>
        <v>26125000</v>
      </c>
    </row>
    <row r="617" spans="1:6" x14ac:dyDescent="0.25">
      <c r="A617" s="4" t="s">
        <v>674</v>
      </c>
    </row>
    <row r="618" spans="1:6" x14ac:dyDescent="0.25">
      <c r="A618" s="32" t="s">
        <v>611</v>
      </c>
      <c r="C618" s="3">
        <v>3000000</v>
      </c>
      <c r="E618" s="13" t="s">
        <v>675</v>
      </c>
      <c r="F618" s="25">
        <f>F616+C618</f>
        <v>29125000</v>
      </c>
    </row>
    <row r="619" spans="1:6" x14ac:dyDescent="0.25">
      <c r="A619" s="4" t="s">
        <v>676</v>
      </c>
    </row>
    <row r="620" spans="1:6" x14ac:dyDescent="0.25">
      <c r="A620" s="18" t="s">
        <v>679</v>
      </c>
      <c r="C620" s="3">
        <v>500000</v>
      </c>
    </row>
    <row r="621" spans="1:6" x14ac:dyDescent="0.25">
      <c r="A621" s="32" t="s">
        <v>677</v>
      </c>
      <c r="C621" s="3">
        <v>6000000</v>
      </c>
      <c r="E621" s="13" t="s">
        <v>678</v>
      </c>
      <c r="F621" s="25">
        <f>F618+C621-C620</f>
        <v>34625000</v>
      </c>
    </row>
    <row r="622" spans="1:6" x14ac:dyDescent="0.25">
      <c r="A622" s="4" t="s">
        <v>680</v>
      </c>
    </row>
    <row r="623" spans="1:6" x14ac:dyDescent="0.25">
      <c r="A623" s="32" t="s">
        <v>65</v>
      </c>
      <c r="C623" s="3">
        <v>700000</v>
      </c>
    </row>
    <row r="624" spans="1:6" x14ac:dyDescent="0.25">
      <c r="A624" s="32" t="s">
        <v>681</v>
      </c>
      <c r="C624" s="3">
        <v>400000</v>
      </c>
    </row>
    <row r="625" spans="1:6" x14ac:dyDescent="0.25">
      <c r="A625" s="32" t="s">
        <v>682</v>
      </c>
      <c r="C625" s="3">
        <v>400000</v>
      </c>
    </row>
    <row r="626" spans="1:6" x14ac:dyDescent="0.25">
      <c r="A626" s="32" t="s">
        <v>683</v>
      </c>
      <c r="C626" s="3">
        <v>100000</v>
      </c>
    </row>
    <row r="627" spans="1:6" x14ac:dyDescent="0.25">
      <c r="A627" s="32" t="s">
        <v>684</v>
      </c>
      <c r="C627" s="3">
        <v>1080000</v>
      </c>
    </row>
    <row r="628" spans="1:6" x14ac:dyDescent="0.25">
      <c r="A628" s="32" t="s">
        <v>685</v>
      </c>
      <c r="C628" s="3">
        <v>1307000</v>
      </c>
    </row>
    <row r="629" spans="1:6" x14ac:dyDescent="0.25">
      <c r="A629" s="32" t="s">
        <v>686</v>
      </c>
      <c r="C629" s="3">
        <v>500000</v>
      </c>
      <c r="E629" s="13" t="s">
        <v>687</v>
      </c>
      <c r="F629" s="25">
        <f>F621+C623-C624-C625-C626-C627-C628-C629</f>
        <v>31538000</v>
      </c>
    </row>
    <row r="630" spans="1:6" x14ac:dyDescent="0.25">
      <c r="A630" s="4" t="s">
        <v>688</v>
      </c>
    </row>
    <row r="631" spans="1:6" x14ac:dyDescent="0.25">
      <c r="A631" s="18" t="s">
        <v>690</v>
      </c>
      <c r="C631" s="3">
        <v>470000</v>
      </c>
    </row>
    <row r="632" spans="1:6" x14ac:dyDescent="0.25">
      <c r="A632" s="32" t="s">
        <v>34</v>
      </c>
      <c r="C632" s="3">
        <v>1500000</v>
      </c>
      <c r="E632" s="13" t="s">
        <v>689</v>
      </c>
      <c r="F632" s="25">
        <f>F629+C632-C631</f>
        <v>32568000</v>
      </c>
    </row>
    <row r="633" spans="1:6" x14ac:dyDescent="0.25">
      <c r="A633" s="4" t="s">
        <v>691</v>
      </c>
    </row>
    <row r="634" spans="1:6" x14ac:dyDescent="0.25">
      <c r="A634" s="32" t="s">
        <v>653</v>
      </c>
      <c r="C634" s="3">
        <v>4500000</v>
      </c>
    </row>
    <row r="635" spans="1:6" x14ac:dyDescent="0.25">
      <c r="A635" s="32" t="s">
        <v>692</v>
      </c>
      <c r="C635" s="3">
        <v>2000000</v>
      </c>
      <c r="E635" s="13" t="s">
        <v>693</v>
      </c>
      <c r="F635" s="25">
        <f>F632+C634+C635</f>
        <v>39068000</v>
      </c>
    </row>
    <row r="636" spans="1:6" x14ac:dyDescent="0.25">
      <c r="A636" s="4" t="s">
        <v>694</v>
      </c>
    </row>
    <row r="637" spans="1:6" x14ac:dyDescent="0.25">
      <c r="A637" s="32" t="s">
        <v>649</v>
      </c>
      <c r="C637" s="3">
        <v>120000</v>
      </c>
    </row>
    <row r="638" spans="1:6" x14ac:dyDescent="0.25">
      <c r="A638" s="32" t="s">
        <v>695</v>
      </c>
      <c r="C638" s="3">
        <v>700000</v>
      </c>
      <c r="E638" s="13" t="s">
        <v>696</v>
      </c>
      <c r="F638" s="25">
        <f>F635-C637-C638</f>
        <v>38248000</v>
      </c>
    </row>
    <row r="639" spans="1:6" x14ac:dyDescent="0.25">
      <c r="A639" s="4" t="s">
        <v>697</v>
      </c>
    </row>
    <row r="640" spans="1:6" x14ac:dyDescent="0.25">
      <c r="A640" s="32" t="s">
        <v>34</v>
      </c>
      <c r="C640" s="3">
        <v>500000</v>
      </c>
      <c r="E640" s="27"/>
      <c r="F640" s="28"/>
    </row>
    <row r="641" spans="1:6" x14ac:dyDescent="0.25">
      <c r="A641" s="32" t="s">
        <v>714</v>
      </c>
      <c r="C641" s="3">
        <v>3566000</v>
      </c>
      <c r="E641" s="13" t="s">
        <v>698</v>
      </c>
      <c r="F641" s="25">
        <f>F638+C640-C641</f>
        <v>35182000</v>
      </c>
    </row>
    <row r="642" spans="1:6" x14ac:dyDescent="0.25">
      <c r="A642" s="4" t="s">
        <v>699</v>
      </c>
    </row>
    <row r="643" spans="1:6" x14ac:dyDescent="0.25">
      <c r="A643" s="32" t="s">
        <v>34</v>
      </c>
      <c r="C643" s="3">
        <v>2000000</v>
      </c>
      <c r="E643" s="13" t="s">
        <v>700</v>
      </c>
      <c r="F643" s="25">
        <f>F641+C643</f>
        <v>37182000</v>
      </c>
    </row>
    <row r="644" spans="1:6" x14ac:dyDescent="0.25">
      <c r="A644" s="4" t="s">
        <v>701</v>
      </c>
    </row>
    <row r="645" spans="1:6" x14ac:dyDescent="0.25">
      <c r="A645" s="32" t="s">
        <v>702</v>
      </c>
      <c r="C645" s="3">
        <v>500000</v>
      </c>
    </row>
    <row r="646" spans="1:6" x14ac:dyDescent="0.25">
      <c r="A646" s="18" t="s">
        <v>703</v>
      </c>
      <c r="C646" s="3">
        <v>650000</v>
      </c>
    </row>
    <row r="647" spans="1:6" x14ac:dyDescent="0.25">
      <c r="A647" s="18" t="s">
        <v>704</v>
      </c>
      <c r="C647" s="3">
        <v>1000000</v>
      </c>
    </row>
    <row r="648" spans="1:6" x14ac:dyDescent="0.25">
      <c r="A648" s="18" t="s">
        <v>636</v>
      </c>
      <c r="C648" s="3">
        <v>150000</v>
      </c>
      <c r="E648" s="13" t="s">
        <v>705</v>
      </c>
      <c r="F648" s="25">
        <f>F643+C645-C646-C647-C648</f>
        <v>35882000</v>
      </c>
    </row>
    <row r="649" spans="1:6" x14ac:dyDescent="0.25">
      <c r="A649" s="4" t="s">
        <v>706</v>
      </c>
    </row>
    <row r="650" spans="1:6" x14ac:dyDescent="0.25">
      <c r="A650" s="18" t="s">
        <v>707</v>
      </c>
      <c r="C650" s="3">
        <v>9000000</v>
      </c>
    </row>
    <row r="651" spans="1:6" x14ac:dyDescent="0.25">
      <c r="A651" s="18" t="s">
        <v>708</v>
      </c>
      <c r="C651" s="3">
        <v>270000</v>
      </c>
    </row>
    <row r="652" spans="1:6" x14ac:dyDescent="0.25">
      <c r="A652" s="18" t="s">
        <v>709</v>
      </c>
      <c r="C652" s="3">
        <v>80000</v>
      </c>
    </row>
    <row r="653" spans="1:6" x14ac:dyDescent="0.25">
      <c r="A653" s="18" t="s">
        <v>710</v>
      </c>
      <c r="C653" s="3">
        <v>272000</v>
      </c>
    </row>
    <row r="654" spans="1:6" x14ac:dyDescent="0.25">
      <c r="A654" s="18" t="s">
        <v>715</v>
      </c>
      <c r="C654" s="3">
        <v>900000</v>
      </c>
    </row>
    <row r="655" spans="1:6" x14ac:dyDescent="0.25">
      <c r="A655" s="18" t="s">
        <v>711</v>
      </c>
      <c r="C655" s="3">
        <v>340000</v>
      </c>
    </row>
    <row r="656" spans="1:6" x14ac:dyDescent="0.25">
      <c r="A656" s="18" t="s">
        <v>717</v>
      </c>
      <c r="C656" s="3">
        <v>300000</v>
      </c>
    </row>
    <row r="657" spans="1:6" x14ac:dyDescent="0.25">
      <c r="A657" s="29" t="s">
        <v>716</v>
      </c>
      <c r="B657" s="30"/>
      <c r="C657" s="31">
        <v>64000</v>
      </c>
    </row>
    <row r="658" spans="1:6" x14ac:dyDescent="0.25">
      <c r="A658" s="18" t="s">
        <v>712</v>
      </c>
      <c r="C658" s="3">
        <v>11052000</v>
      </c>
      <c r="E658" s="13" t="s">
        <v>713</v>
      </c>
      <c r="F658" s="25">
        <f>F648+C650-C651-C652-C653-C655-C657-C658-C654-C656</f>
        <v>31604000</v>
      </c>
    </row>
    <row r="659" spans="1:6" x14ac:dyDescent="0.25">
      <c r="A659" s="4" t="s">
        <v>718</v>
      </c>
    </row>
    <row r="660" spans="1:6" x14ac:dyDescent="0.25">
      <c r="A660" s="18" t="s">
        <v>65</v>
      </c>
      <c r="C660" s="3">
        <v>1300000</v>
      </c>
      <c r="E660" s="13" t="s">
        <v>720</v>
      </c>
      <c r="F660" s="25">
        <f>F658+C660</f>
        <v>32904000</v>
      </c>
    </row>
    <row r="661" spans="1:6" x14ac:dyDescent="0.25">
      <c r="A661" s="4" t="s">
        <v>719</v>
      </c>
    </row>
    <row r="662" spans="1:6" x14ac:dyDescent="0.25">
      <c r="A662" s="18" t="s">
        <v>65</v>
      </c>
      <c r="C662" s="3">
        <v>1500000</v>
      </c>
      <c r="E662" s="13" t="s">
        <v>721</v>
      </c>
      <c r="F662" s="25">
        <f>F660+C662</f>
        <v>34404000</v>
      </c>
    </row>
    <row r="663" spans="1:6" x14ac:dyDescent="0.25">
      <c r="A663" s="4" t="s">
        <v>722</v>
      </c>
    </row>
    <row r="664" spans="1:6" x14ac:dyDescent="0.25">
      <c r="A664" s="18" t="s">
        <v>65</v>
      </c>
      <c r="C664" s="3">
        <v>1000000</v>
      </c>
    </row>
    <row r="665" spans="1:6" x14ac:dyDescent="0.25">
      <c r="A665" s="18" t="s">
        <v>723</v>
      </c>
      <c r="C665" s="3">
        <v>10000000</v>
      </c>
      <c r="E665" s="13" t="s">
        <v>724</v>
      </c>
      <c r="F665" s="25">
        <f>F662+C664+C665</f>
        <v>45404000</v>
      </c>
    </row>
    <row r="666" spans="1:6" x14ac:dyDescent="0.25">
      <c r="A666" s="4" t="s">
        <v>725</v>
      </c>
    </row>
    <row r="667" spans="1:6" x14ac:dyDescent="0.25">
      <c r="A667" s="18" t="s">
        <v>34</v>
      </c>
      <c r="C667" s="3">
        <v>2000000</v>
      </c>
    </row>
    <row r="668" spans="1:6" x14ac:dyDescent="0.25">
      <c r="A668" s="18" t="s">
        <v>726</v>
      </c>
      <c r="C668" s="3">
        <v>1000000</v>
      </c>
    </row>
    <row r="669" spans="1:6" x14ac:dyDescent="0.25">
      <c r="A669" s="18" t="s">
        <v>727</v>
      </c>
      <c r="C669" s="3">
        <v>5000000</v>
      </c>
    </row>
    <row r="670" spans="1:6" x14ac:dyDescent="0.25">
      <c r="A670" s="18" t="s">
        <v>728</v>
      </c>
      <c r="C670" s="3">
        <v>550000</v>
      </c>
    </row>
    <row r="671" spans="1:6" x14ac:dyDescent="0.25">
      <c r="A671" s="18" t="s">
        <v>729</v>
      </c>
      <c r="C671" s="3">
        <v>7000000</v>
      </c>
    </row>
    <row r="672" spans="1:6" x14ac:dyDescent="0.25">
      <c r="A672" s="18" t="s">
        <v>730</v>
      </c>
      <c r="C672" s="3">
        <v>1500000</v>
      </c>
      <c r="E672" s="13" t="s">
        <v>731</v>
      </c>
      <c r="F672" s="25">
        <f>F665+C667+C668+C669+C670-C671-C672</f>
        <v>45454000</v>
      </c>
    </row>
    <row r="673" spans="1:6" x14ac:dyDescent="0.25">
      <c r="A673" s="4" t="s">
        <v>732</v>
      </c>
    </row>
    <row r="674" spans="1:6" x14ac:dyDescent="0.25">
      <c r="A674" s="18" t="s">
        <v>733</v>
      </c>
      <c r="C674" s="3">
        <v>150000</v>
      </c>
    </row>
    <row r="675" spans="1:6" x14ac:dyDescent="0.25">
      <c r="A675" s="18" t="s">
        <v>734</v>
      </c>
      <c r="C675" s="3">
        <v>3460000</v>
      </c>
      <c r="E675" s="13" t="s">
        <v>735</v>
      </c>
      <c r="F675" s="25">
        <f>F672-C674-C675</f>
        <v>41844000</v>
      </c>
    </row>
    <row r="676" spans="1:6" x14ac:dyDescent="0.25">
      <c r="A676" s="4" t="s">
        <v>736</v>
      </c>
    </row>
    <row r="677" spans="1:6" x14ac:dyDescent="0.25">
      <c r="A677" s="18" t="s">
        <v>737</v>
      </c>
      <c r="C677" s="3">
        <v>2100000</v>
      </c>
    </row>
    <row r="678" spans="1:6" x14ac:dyDescent="0.25">
      <c r="A678" s="18" t="s">
        <v>738</v>
      </c>
      <c r="C678" s="3">
        <v>500000</v>
      </c>
      <c r="E678" s="13" t="s">
        <v>739</v>
      </c>
      <c r="F678" s="25">
        <f>F675-C677-C678</f>
        <v>39244000</v>
      </c>
    </row>
    <row r="679" spans="1:6" x14ac:dyDescent="0.25">
      <c r="A679" s="4" t="s">
        <v>740</v>
      </c>
    </row>
    <row r="680" spans="1:6" x14ac:dyDescent="0.25">
      <c r="A680" s="18" t="s">
        <v>65</v>
      </c>
      <c r="C680" s="3">
        <v>1000000</v>
      </c>
      <c r="E680" s="13" t="s">
        <v>742</v>
      </c>
      <c r="F680" s="25">
        <f>F678+C680</f>
        <v>40244000</v>
      </c>
    </row>
    <row r="681" spans="1:6" x14ac:dyDescent="0.25">
      <c r="A681" s="4" t="s">
        <v>741</v>
      </c>
    </row>
    <row r="682" spans="1:6" x14ac:dyDescent="0.25">
      <c r="A682" s="18" t="s">
        <v>65</v>
      </c>
      <c r="C682" s="3">
        <v>1000000</v>
      </c>
      <c r="E682" s="13" t="s">
        <v>739</v>
      </c>
      <c r="F682" s="25">
        <f>F680+C682</f>
        <v>41244000</v>
      </c>
    </row>
    <row r="683" spans="1:6" x14ac:dyDescent="0.25">
      <c r="A683" s="4" t="s">
        <v>743</v>
      </c>
    </row>
    <row r="684" spans="1:6" x14ac:dyDescent="0.25">
      <c r="A684" s="18" t="s">
        <v>744</v>
      </c>
      <c r="C684" s="3">
        <v>1000000</v>
      </c>
    </row>
    <row r="685" spans="1:6" x14ac:dyDescent="0.25">
      <c r="A685" s="18" t="s">
        <v>745</v>
      </c>
      <c r="C685" s="3">
        <v>7000000</v>
      </c>
      <c r="E685" s="13" t="s">
        <v>746</v>
      </c>
      <c r="F685" s="25">
        <f>F682+C684-C685</f>
        <v>35244000</v>
      </c>
    </row>
    <row r="686" spans="1:6" x14ac:dyDescent="0.25">
      <c r="A686" s="4" t="s">
        <v>756</v>
      </c>
    </row>
    <row r="687" spans="1:6" x14ac:dyDescent="0.25">
      <c r="A687" s="18" t="s">
        <v>757</v>
      </c>
      <c r="C687" s="3">
        <v>2500000</v>
      </c>
    </row>
    <row r="688" spans="1:6" x14ac:dyDescent="0.25">
      <c r="A688" s="18" t="s">
        <v>65</v>
      </c>
      <c r="C688" s="3">
        <v>2000000</v>
      </c>
    </row>
    <row r="689" spans="1:6" x14ac:dyDescent="0.25">
      <c r="A689" s="18" t="s">
        <v>758</v>
      </c>
      <c r="C689" s="3">
        <v>30000000</v>
      </c>
      <c r="E689" s="13" t="s">
        <v>759</v>
      </c>
      <c r="F689" s="25">
        <f>F685+C687+C688-C689</f>
        <v>9744000</v>
      </c>
    </row>
    <row r="690" spans="1:6" x14ac:dyDescent="0.25">
      <c r="A690" s="4" t="s">
        <v>760</v>
      </c>
    </row>
    <row r="691" spans="1:6" x14ac:dyDescent="0.25">
      <c r="A691" s="18" t="s">
        <v>65</v>
      </c>
      <c r="C691" s="3">
        <v>3000000</v>
      </c>
    </row>
    <row r="692" spans="1:6" x14ac:dyDescent="0.25">
      <c r="A692" s="18" t="s">
        <v>761</v>
      </c>
      <c r="C692" s="3">
        <v>200000</v>
      </c>
    </row>
    <row r="693" spans="1:6" x14ac:dyDescent="0.25">
      <c r="A693" s="18" t="s">
        <v>579</v>
      </c>
      <c r="C693" s="3">
        <v>1170000</v>
      </c>
      <c r="E693" s="13" t="s">
        <v>762</v>
      </c>
      <c r="F693" s="25">
        <f>F689+C691-C692-C693</f>
        <v>11374000</v>
      </c>
    </row>
    <row r="694" spans="1:6" x14ac:dyDescent="0.25">
      <c r="A694" s="4" t="s">
        <v>763</v>
      </c>
    </row>
    <row r="695" spans="1:6" x14ac:dyDescent="0.25">
      <c r="A695" s="18" t="s">
        <v>766</v>
      </c>
      <c r="C695" s="3">
        <v>700000</v>
      </c>
    </row>
    <row r="696" spans="1:6" x14ac:dyDescent="0.25">
      <c r="A696" s="18" t="s">
        <v>386</v>
      </c>
      <c r="C696" s="3">
        <v>120000</v>
      </c>
    </row>
    <row r="697" spans="1:6" x14ac:dyDescent="0.25">
      <c r="A697" s="18" t="s">
        <v>764</v>
      </c>
      <c r="C697" s="3">
        <v>1000000</v>
      </c>
      <c r="E697" s="13" t="s">
        <v>765</v>
      </c>
      <c r="F697" s="25">
        <f>F693-C696-C697-C695</f>
        <v>9554000</v>
      </c>
    </row>
    <row r="698" spans="1:6" x14ac:dyDescent="0.25">
      <c r="A698" s="4" t="s">
        <v>767</v>
      </c>
    </row>
    <row r="699" spans="1:6" x14ac:dyDescent="0.25">
      <c r="A699" s="18" t="s">
        <v>771</v>
      </c>
      <c r="C699" s="3">
        <v>1000000</v>
      </c>
    </row>
    <row r="700" spans="1:6" x14ac:dyDescent="0.25">
      <c r="A700" s="18" t="s">
        <v>65</v>
      </c>
      <c r="C700" s="3">
        <v>1500000</v>
      </c>
      <c r="E700" s="13" t="s">
        <v>768</v>
      </c>
      <c r="F700" s="25">
        <f>F697+C700-C699</f>
        <v>10054000</v>
      </c>
    </row>
    <row r="701" spans="1:6" x14ac:dyDescent="0.25">
      <c r="A701" s="4" t="s">
        <v>769</v>
      </c>
    </row>
    <row r="702" spans="1:6" x14ac:dyDescent="0.25">
      <c r="A702" s="18" t="s">
        <v>611</v>
      </c>
      <c r="C702" s="3">
        <v>5300000</v>
      </c>
      <c r="E702" s="13" t="s">
        <v>770</v>
      </c>
      <c r="F702" s="25">
        <f>F700+C702</f>
        <v>15354000</v>
      </c>
    </row>
    <row r="703" spans="1:6" x14ac:dyDescent="0.25">
      <c r="A703" s="4" t="s">
        <v>772</v>
      </c>
    </row>
    <row r="704" spans="1:6" x14ac:dyDescent="0.25">
      <c r="A704" s="18" t="s">
        <v>611</v>
      </c>
      <c r="C704" s="3">
        <v>3000000</v>
      </c>
    </row>
    <row r="705" spans="1:6" x14ac:dyDescent="0.25">
      <c r="A705" s="18" t="s">
        <v>773</v>
      </c>
      <c r="C705" s="3">
        <v>470000</v>
      </c>
      <c r="E705" s="13" t="s">
        <v>774</v>
      </c>
      <c r="F705" s="25">
        <f>F702+C704-C705</f>
        <v>17884000</v>
      </c>
    </row>
    <row r="706" spans="1:6" x14ac:dyDescent="0.25">
      <c r="A706" s="4" t="s">
        <v>775</v>
      </c>
    </row>
    <row r="707" spans="1:6" x14ac:dyDescent="0.25">
      <c r="A707" s="18" t="s">
        <v>777</v>
      </c>
      <c r="C707" s="3">
        <v>130000</v>
      </c>
    </row>
    <row r="708" spans="1:6" x14ac:dyDescent="0.25">
      <c r="A708" s="18" t="s">
        <v>611</v>
      </c>
      <c r="C708" s="3">
        <v>1000000</v>
      </c>
      <c r="E708" s="13" t="s">
        <v>776</v>
      </c>
      <c r="F708" s="25">
        <f>F705+C708-C707</f>
        <v>18754000</v>
      </c>
    </row>
    <row r="709" spans="1:6" x14ac:dyDescent="0.25">
      <c r="A709" s="4" t="s">
        <v>778</v>
      </c>
    </row>
    <row r="710" spans="1:6" x14ac:dyDescent="0.25">
      <c r="A710" s="18" t="s">
        <v>780</v>
      </c>
      <c r="C710" s="3">
        <v>12000000</v>
      </c>
    </row>
    <row r="711" spans="1:6" x14ac:dyDescent="0.25">
      <c r="A711" s="18" t="s">
        <v>781</v>
      </c>
      <c r="C711" s="3">
        <v>3000000</v>
      </c>
    </row>
    <row r="712" spans="1:6" x14ac:dyDescent="0.25">
      <c r="A712" s="18" t="s">
        <v>779</v>
      </c>
      <c r="C712" s="3">
        <v>14370000</v>
      </c>
      <c r="E712" s="13" t="s">
        <v>776</v>
      </c>
      <c r="F712" s="25">
        <f>F708-C712+C710+C711</f>
        <v>19384000</v>
      </c>
    </row>
    <row r="713" spans="1:6" x14ac:dyDescent="0.25">
      <c r="A713" s="4" t="s">
        <v>782</v>
      </c>
    </row>
    <row r="714" spans="1:6" x14ac:dyDescent="0.25">
      <c r="A714" s="18" t="s">
        <v>65</v>
      </c>
      <c r="C714" s="3">
        <v>1000000</v>
      </c>
    </row>
    <row r="715" spans="1:6" x14ac:dyDescent="0.25">
      <c r="A715" s="18" t="s">
        <v>784</v>
      </c>
      <c r="C715" s="3">
        <v>500000</v>
      </c>
    </row>
    <row r="716" spans="1:6" x14ac:dyDescent="0.25">
      <c r="A716" s="18" t="s">
        <v>636</v>
      </c>
      <c r="C716" s="3">
        <v>126000</v>
      </c>
    </row>
    <row r="717" spans="1:6" x14ac:dyDescent="0.25">
      <c r="A717" s="18" t="s">
        <v>783</v>
      </c>
      <c r="C717" s="3">
        <v>290000</v>
      </c>
    </row>
    <row r="718" spans="1:6" x14ac:dyDescent="0.25">
      <c r="A718" s="18" t="s">
        <v>785</v>
      </c>
      <c r="C718" s="3">
        <v>770000</v>
      </c>
    </row>
    <row r="719" spans="1:6" x14ac:dyDescent="0.25">
      <c r="A719" s="18" t="s">
        <v>786</v>
      </c>
      <c r="C719" s="3">
        <v>18700000</v>
      </c>
    </row>
    <row r="720" spans="1:6" x14ac:dyDescent="0.25">
      <c r="A720" s="18" t="s">
        <v>787</v>
      </c>
      <c r="C720" s="3">
        <v>729000</v>
      </c>
      <c r="E720" s="13" t="s">
        <v>788</v>
      </c>
      <c r="F720" s="25">
        <f>F712+C714+C715-C716-C717-C718-C719-C720</f>
        <v>269000</v>
      </c>
    </row>
    <row r="721" spans="1:6" x14ac:dyDescent="0.25">
      <c r="A721" s="4" t="s">
        <v>789</v>
      </c>
    </row>
    <row r="722" spans="1:6" x14ac:dyDescent="0.25">
      <c r="A722" s="18" t="s">
        <v>65</v>
      </c>
      <c r="C722" s="3">
        <v>1000000</v>
      </c>
    </row>
    <row r="723" spans="1:6" x14ac:dyDescent="0.25">
      <c r="A723" s="18" t="s">
        <v>790</v>
      </c>
      <c r="C723" s="3">
        <v>310000</v>
      </c>
    </row>
    <row r="724" spans="1:6" x14ac:dyDescent="0.25">
      <c r="A724" s="18" t="s">
        <v>791</v>
      </c>
      <c r="C724" s="3">
        <v>406000</v>
      </c>
      <c r="E724" s="13" t="s">
        <v>792</v>
      </c>
      <c r="F724" s="25">
        <f>F720-C723-C724+C722</f>
        <v>553000</v>
      </c>
    </row>
    <row r="725" spans="1:6" x14ac:dyDescent="0.25">
      <c r="A725" s="4" t="s">
        <v>793</v>
      </c>
    </row>
    <row r="726" spans="1:6" x14ac:dyDescent="0.25">
      <c r="A726" s="18" t="s">
        <v>794</v>
      </c>
      <c r="C726" s="3">
        <v>500000</v>
      </c>
    </row>
    <row r="727" spans="1:6" x14ac:dyDescent="0.25">
      <c r="A727" s="18" t="s">
        <v>798</v>
      </c>
      <c r="C727" s="3">
        <v>500000</v>
      </c>
    </row>
    <row r="728" spans="1:6" x14ac:dyDescent="0.25">
      <c r="A728" s="18" t="s">
        <v>799</v>
      </c>
      <c r="C728" s="3">
        <v>500000</v>
      </c>
    </row>
    <row r="729" spans="1:6" x14ac:dyDescent="0.25">
      <c r="A729" s="18" t="s">
        <v>795</v>
      </c>
      <c r="C729" s="3">
        <v>500000</v>
      </c>
    </row>
    <row r="730" spans="1:6" x14ac:dyDescent="0.25">
      <c r="A730" s="18" t="s">
        <v>796</v>
      </c>
      <c r="C730" s="3">
        <v>500000</v>
      </c>
      <c r="E730" s="13" t="s">
        <v>797</v>
      </c>
      <c r="F730" s="25">
        <f>F724-C726+C729+C730+C727+C728</f>
        <v>2053000</v>
      </c>
    </row>
    <row r="731" spans="1:6" x14ac:dyDescent="0.25">
      <c r="A731" s="4" t="s">
        <v>800</v>
      </c>
    </row>
    <row r="732" spans="1:6" x14ac:dyDescent="0.25">
      <c r="A732" s="18" t="s">
        <v>801</v>
      </c>
      <c r="C732" s="3">
        <v>10000000</v>
      </c>
    </row>
    <row r="733" spans="1:6" x14ac:dyDescent="0.25">
      <c r="A733" s="18" t="s">
        <v>802</v>
      </c>
      <c r="C733" s="3">
        <v>1500000</v>
      </c>
    </row>
    <row r="734" spans="1:6" x14ac:dyDescent="0.25">
      <c r="A734" s="18" t="s">
        <v>803</v>
      </c>
      <c r="C734" s="3">
        <v>5116000</v>
      </c>
    </row>
    <row r="735" spans="1:6" x14ac:dyDescent="0.25">
      <c r="A735" s="18" t="s">
        <v>804</v>
      </c>
      <c r="C735" s="3">
        <v>7000000</v>
      </c>
    </row>
    <row r="736" spans="1:6" x14ac:dyDescent="0.25">
      <c r="A736" s="18" t="s">
        <v>766</v>
      </c>
      <c r="C736" s="3">
        <v>150000</v>
      </c>
      <c r="E736" s="13" t="s">
        <v>805</v>
      </c>
      <c r="F736" s="25">
        <f>F730+C732-C733-C734-C735-C736</f>
        <v>-1713000</v>
      </c>
    </row>
    <row r="737" spans="1:6" x14ac:dyDescent="0.25">
      <c r="A737" s="4" t="s">
        <v>806</v>
      </c>
    </row>
    <row r="738" spans="1:6" x14ac:dyDescent="0.25">
      <c r="A738" s="18" t="s">
        <v>784</v>
      </c>
      <c r="C738" s="3">
        <v>1000000</v>
      </c>
    </row>
    <row r="739" spans="1:6" x14ac:dyDescent="0.25">
      <c r="A739" s="18" t="s">
        <v>807</v>
      </c>
      <c r="C739" s="3">
        <v>750000</v>
      </c>
      <c r="E739" s="13" t="s">
        <v>808</v>
      </c>
      <c r="F739" s="25">
        <f>F736+C738+C739</f>
        <v>37000</v>
      </c>
    </row>
    <row r="740" spans="1:6" x14ac:dyDescent="0.25">
      <c r="A740" s="4" t="s">
        <v>809</v>
      </c>
    </row>
    <row r="741" spans="1:6" x14ac:dyDescent="0.25">
      <c r="A741" s="18" t="s">
        <v>810</v>
      </c>
      <c r="C741" s="3">
        <v>850000</v>
      </c>
      <c r="E741" s="13" t="s">
        <v>811</v>
      </c>
      <c r="F741" s="25">
        <f>F739-C741</f>
        <v>-813000</v>
      </c>
    </row>
    <row r="742" spans="1:6" x14ac:dyDescent="0.25">
      <c r="A742" s="4" t="s">
        <v>812</v>
      </c>
    </row>
    <row r="743" spans="1:6" x14ac:dyDescent="0.25">
      <c r="A743" s="18" t="s">
        <v>813</v>
      </c>
      <c r="C743" s="3">
        <v>5000000</v>
      </c>
    </row>
    <row r="744" spans="1:6" x14ac:dyDescent="0.25">
      <c r="A744" s="18" t="s">
        <v>814</v>
      </c>
      <c r="C744" s="3">
        <v>300000</v>
      </c>
      <c r="E744" s="13" t="s">
        <v>815</v>
      </c>
      <c r="F744" s="25">
        <f>F741+C743-C744</f>
        <v>3887000</v>
      </c>
    </row>
    <row r="745" spans="1:6" x14ac:dyDescent="0.25">
      <c r="A745" s="4" t="s">
        <v>816</v>
      </c>
    </row>
    <row r="746" spans="1:6" x14ac:dyDescent="0.25">
      <c r="A746" s="18" t="s">
        <v>817</v>
      </c>
      <c r="C746" s="3">
        <v>1500000</v>
      </c>
    </row>
    <row r="747" spans="1:6" x14ac:dyDescent="0.25">
      <c r="A747" s="18" t="s">
        <v>297</v>
      </c>
      <c r="C747" s="3">
        <v>2200000</v>
      </c>
      <c r="E747" s="13" t="s">
        <v>818</v>
      </c>
      <c r="F747" s="25">
        <f>F744+C746-C747</f>
        <v>3187000</v>
      </c>
    </row>
    <row r="748" spans="1:6" x14ac:dyDescent="0.25">
      <c r="A748" s="4" t="s">
        <v>819</v>
      </c>
    </row>
    <row r="749" spans="1:6" x14ac:dyDescent="0.25">
      <c r="A749" s="18" t="s">
        <v>820</v>
      </c>
      <c r="C749" s="3">
        <v>500000</v>
      </c>
    </row>
    <row r="750" spans="1:6" x14ac:dyDescent="0.25">
      <c r="A750" s="18" t="s">
        <v>611</v>
      </c>
      <c r="C750" s="3">
        <v>4000000</v>
      </c>
    </row>
    <row r="751" spans="1:6" x14ac:dyDescent="0.25">
      <c r="A751" s="18" t="s">
        <v>649</v>
      </c>
      <c r="C751" s="3">
        <v>238000</v>
      </c>
    </row>
    <row r="752" spans="1:6" x14ac:dyDescent="0.25">
      <c r="A752" s="18" t="s">
        <v>821</v>
      </c>
      <c r="C752" s="3">
        <v>1324000</v>
      </c>
    </row>
    <row r="753" spans="1:8" x14ac:dyDescent="0.25">
      <c r="A753" s="18" t="s">
        <v>822</v>
      </c>
      <c r="C753" s="3">
        <v>2000000</v>
      </c>
    </row>
    <row r="754" spans="1:8" x14ac:dyDescent="0.25">
      <c r="A754" s="18" t="s">
        <v>823</v>
      </c>
      <c r="C754" s="3">
        <v>3350000</v>
      </c>
      <c r="E754" s="13" t="s">
        <v>824</v>
      </c>
      <c r="F754" s="25">
        <f>F747-C749+C750-C751-C752+C753+C754</f>
        <v>10475000</v>
      </c>
    </row>
    <row r="755" spans="1:8" x14ac:dyDescent="0.25">
      <c r="A755" s="4" t="s">
        <v>825</v>
      </c>
    </row>
    <row r="756" spans="1:8" x14ac:dyDescent="0.25">
      <c r="A756" s="18" t="s">
        <v>611</v>
      </c>
      <c r="C756" s="3">
        <v>1000000</v>
      </c>
    </row>
    <row r="757" spans="1:8" x14ac:dyDescent="0.25">
      <c r="A757" s="18" t="s">
        <v>826</v>
      </c>
      <c r="C757" s="3">
        <v>1305000</v>
      </c>
    </row>
    <row r="758" spans="1:8" x14ac:dyDescent="0.25">
      <c r="A758" s="78" t="s">
        <v>827</v>
      </c>
      <c r="B758" s="79"/>
      <c r="C758" s="80">
        <v>112679000</v>
      </c>
      <c r="E758" s="13" t="s">
        <v>824</v>
      </c>
      <c r="F758" s="25">
        <f>F754+C756-C757+C758</f>
        <v>122849000</v>
      </c>
      <c r="H758" s="7"/>
    </row>
    <row r="759" spans="1:8" x14ac:dyDescent="0.25">
      <c r="A759" s="4" t="s">
        <v>828</v>
      </c>
    </row>
    <row r="760" spans="1:8" x14ac:dyDescent="0.25">
      <c r="A760" s="18" t="s">
        <v>829</v>
      </c>
      <c r="C760" s="3">
        <f>594000+338000</f>
        <v>932000</v>
      </c>
    </row>
    <row r="761" spans="1:8" x14ac:dyDescent="0.25">
      <c r="A761" s="18" t="s">
        <v>690</v>
      </c>
      <c r="C761" s="3">
        <v>1050000</v>
      </c>
      <c r="G761" s="4"/>
    </row>
    <row r="762" spans="1:8" x14ac:dyDescent="0.25">
      <c r="A762" s="18" t="s">
        <v>65</v>
      </c>
      <c r="C762" s="3">
        <v>6000000</v>
      </c>
      <c r="E762" s="13" t="s">
        <v>830</v>
      </c>
      <c r="F762" s="25">
        <f>F758-C760-C761+C762</f>
        <v>126867000</v>
      </c>
    </row>
    <row r="763" spans="1:8" x14ac:dyDescent="0.25">
      <c r="A763" s="4" t="s">
        <v>831</v>
      </c>
    </row>
    <row r="764" spans="1:8" x14ac:dyDescent="0.25">
      <c r="A764" s="18" t="s">
        <v>832</v>
      </c>
      <c r="C764" s="3">
        <v>1080000</v>
      </c>
    </row>
    <row r="765" spans="1:8" x14ac:dyDescent="0.25">
      <c r="A765" s="18" t="s">
        <v>833</v>
      </c>
      <c r="C765" s="3">
        <v>1600000</v>
      </c>
      <c r="E765" s="13" t="s">
        <v>834</v>
      </c>
      <c r="F765" s="25">
        <f>F762-C764-C765</f>
        <v>124187000</v>
      </c>
    </row>
    <row r="766" spans="1:8" x14ac:dyDescent="0.25">
      <c r="A766" s="4" t="s">
        <v>835</v>
      </c>
    </row>
    <row r="767" spans="1:8" x14ac:dyDescent="0.25">
      <c r="A767" s="18" t="s">
        <v>817</v>
      </c>
      <c r="C767" s="3">
        <v>2500000</v>
      </c>
      <c r="E767" s="13" t="s">
        <v>836</v>
      </c>
      <c r="F767" s="25">
        <f>F765+C767</f>
        <v>126687000</v>
      </c>
    </row>
    <row r="768" spans="1:8" x14ac:dyDescent="0.25">
      <c r="A768" s="4" t="s">
        <v>837</v>
      </c>
    </row>
    <row r="769" spans="1:6" x14ac:dyDescent="0.25">
      <c r="A769" s="18" t="s">
        <v>733</v>
      </c>
      <c r="C769" s="3">
        <v>110000</v>
      </c>
    </row>
    <row r="770" spans="1:6" x14ac:dyDescent="0.25">
      <c r="A770" s="18" t="s">
        <v>838</v>
      </c>
      <c r="C770" s="3">
        <v>1557000</v>
      </c>
      <c r="E770" s="13" t="s">
        <v>839</v>
      </c>
      <c r="F770" s="25">
        <f>F767-C769-C770</f>
        <v>125020000</v>
      </c>
    </row>
    <row r="771" spans="1:6" x14ac:dyDescent="0.25">
      <c r="A771" s="4" t="s">
        <v>840</v>
      </c>
    </row>
    <row r="772" spans="1:6" x14ac:dyDescent="0.25">
      <c r="A772" s="18" t="s">
        <v>611</v>
      </c>
      <c r="C772" s="3">
        <v>1500000</v>
      </c>
    </row>
    <row r="773" spans="1:6" x14ac:dyDescent="0.25">
      <c r="A773" s="18" t="s">
        <v>841</v>
      </c>
      <c r="C773" s="3">
        <v>245000</v>
      </c>
    </row>
    <row r="774" spans="1:6" x14ac:dyDescent="0.25">
      <c r="A774" s="18" t="s">
        <v>369</v>
      </c>
      <c r="C774" s="3">
        <v>150000</v>
      </c>
    </row>
    <row r="775" spans="1:6" x14ac:dyDescent="0.25">
      <c r="A775" s="18" t="s">
        <v>842</v>
      </c>
      <c r="C775" s="3">
        <v>235000</v>
      </c>
    </row>
    <row r="776" spans="1:6" x14ac:dyDescent="0.25">
      <c r="A776" s="18" t="s">
        <v>843</v>
      </c>
      <c r="C776" s="3">
        <v>100000</v>
      </c>
      <c r="E776" s="13" t="s">
        <v>847</v>
      </c>
      <c r="F776" s="25">
        <f>F770+C772-C773-C774-C775-C776</f>
        <v>125790000</v>
      </c>
    </row>
    <row r="777" spans="1:6" x14ac:dyDescent="0.25">
      <c r="A777" s="4" t="s">
        <v>844</v>
      </c>
    </row>
    <row r="778" spans="1:6" x14ac:dyDescent="0.25">
      <c r="A778" s="18" t="s">
        <v>845</v>
      </c>
      <c r="C778" s="3">
        <v>150000</v>
      </c>
    </row>
    <row r="779" spans="1:6" ht="31.5" x14ac:dyDescent="0.25">
      <c r="A779" s="81" t="s">
        <v>846</v>
      </c>
      <c r="C779" s="82">
        <v>1500000</v>
      </c>
    </row>
    <row r="780" spans="1:6" x14ac:dyDescent="0.25">
      <c r="A780" s="18" t="s">
        <v>848</v>
      </c>
      <c r="C780" s="3">
        <v>377000</v>
      </c>
    </row>
    <row r="781" spans="1:6" x14ac:dyDescent="0.25">
      <c r="A781" s="18" t="s">
        <v>849</v>
      </c>
      <c r="C781" s="3">
        <v>13750000</v>
      </c>
    </row>
    <row r="782" spans="1:6" x14ac:dyDescent="0.25">
      <c r="A782" s="18" t="s">
        <v>817</v>
      </c>
      <c r="C782" s="3">
        <v>3000000</v>
      </c>
      <c r="E782" s="13" t="s">
        <v>850</v>
      </c>
      <c r="F782" s="25">
        <f>F776-C778-C779-C780-C781+C782</f>
        <v>113013000</v>
      </c>
    </row>
    <row r="783" spans="1:6" x14ac:dyDescent="0.25">
      <c r="A783" s="4" t="s">
        <v>851</v>
      </c>
    </row>
    <row r="784" spans="1:6" x14ac:dyDescent="0.25">
      <c r="A784" s="18" t="s">
        <v>852</v>
      </c>
      <c r="C784" s="3">
        <v>1000000</v>
      </c>
    </row>
    <row r="785" spans="1:6" x14ac:dyDescent="0.25">
      <c r="A785" s="18" t="s">
        <v>853</v>
      </c>
      <c r="C785" s="3">
        <v>200000</v>
      </c>
    </row>
    <row r="786" spans="1:6" x14ac:dyDescent="0.25">
      <c r="A786" s="18" t="s">
        <v>854</v>
      </c>
      <c r="C786" s="3">
        <v>687000</v>
      </c>
    </row>
    <row r="787" spans="1:6" x14ac:dyDescent="0.25">
      <c r="A787" s="18" t="s">
        <v>855</v>
      </c>
      <c r="C787" s="3">
        <v>843000</v>
      </c>
    </row>
    <row r="788" spans="1:6" x14ac:dyDescent="0.25">
      <c r="A788" s="18" t="s">
        <v>856</v>
      </c>
      <c r="C788" s="3">
        <v>870000</v>
      </c>
      <c r="E788" s="13" t="s">
        <v>857</v>
      </c>
      <c r="F788" s="25">
        <f>F782+C784-C785-C786-C787-C788</f>
        <v>111413000</v>
      </c>
    </row>
    <row r="789" spans="1:6" x14ac:dyDescent="0.25">
      <c r="A789" s="4" t="s">
        <v>858</v>
      </c>
    </row>
    <row r="790" spans="1:6" x14ac:dyDescent="0.25">
      <c r="A790" s="18" t="s">
        <v>611</v>
      </c>
      <c r="C790" s="3">
        <v>1000000</v>
      </c>
    </row>
    <row r="791" spans="1:6" x14ac:dyDescent="0.25">
      <c r="A791" s="18" t="s">
        <v>761</v>
      </c>
      <c r="C791" s="3">
        <v>100000</v>
      </c>
    </row>
    <row r="792" spans="1:6" x14ac:dyDescent="0.25">
      <c r="A792" s="18" t="s">
        <v>859</v>
      </c>
      <c r="C792" s="3">
        <v>250000</v>
      </c>
      <c r="E792" s="13" t="s">
        <v>860</v>
      </c>
      <c r="F792" s="25">
        <f>F788+C790-C791-C792</f>
        <v>112063000</v>
      </c>
    </row>
    <row r="793" spans="1:6" x14ac:dyDescent="0.25">
      <c r="A793" s="4" t="s">
        <v>861</v>
      </c>
    </row>
    <row r="794" spans="1:6" x14ac:dyDescent="0.25">
      <c r="A794" s="18" t="s">
        <v>852</v>
      </c>
      <c r="C794" s="3">
        <v>3000000</v>
      </c>
    </row>
    <row r="795" spans="1:6" x14ac:dyDescent="0.25">
      <c r="A795" s="18" t="s">
        <v>862</v>
      </c>
      <c r="C795" s="3">
        <v>6000000</v>
      </c>
    </row>
    <row r="796" spans="1:6" x14ac:dyDescent="0.25">
      <c r="A796" s="18" t="s">
        <v>863</v>
      </c>
      <c r="C796" s="3">
        <v>10861000</v>
      </c>
      <c r="E796" s="13" t="s">
        <v>864</v>
      </c>
      <c r="F796" s="25">
        <f>F792+C794+C795-C796</f>
        <v>110202000</v>
      </c>
    </row>
    <row r="797" spans="1:6" x14ac:dyDescent="0.25">
      <c r="A797" s="4" t="s">
        <v>865</v>
      </c>
    </row>
    <row r="798" spans="1:6" x14ac:dyDescent="0.25">
      <c r="A798" s="18" t="s">
        <v>611</v>
      </c>
      <c r="C798" s="3">
        <v>500000</v>
      </c>
    </row>
    <row r="799" spans="1:6" x14ac:dyDescent="0.25">
      <c r="A799" s="18" t="s">
        <v>866</v>
      </c>
      <c r="C799" s="3">
        <v>146000</v>
      </c>
      <c r="E799" s="13" t="s">
        <v>867</v>
      </c>
      <c r="F799" s="25">
        <f>F796+C798-C799</f>
        <v>110556000</v>
      </c>
    </row>
    <row r="800" spans="1:6" x14ac:dyDescent="0.25">
      <c r="A800" s="4" t="s">
        <v>868</v>
      </c>
    </row>
    <row r="801" spans="1:6" x14ac:dyDescent="0.25">
      <c r="A801" s="18" t="s">
        <v>869</v>
      </c>
      <c r="C801" s="3">
        <v>10000000</v>
      </c>
    </row>
    <row r="802" spans="1:6" x14ac:dyDescent="0.25">
      <c r="A802" s="18" t="s">
        <v>870</v>
      </c>
      <c r="C802" s="3">
        <v>1000000</v>
      </c>
    </row>
    <row r="803" spans="1:6" x14ac:dyDescent="0.25">
      <c r="A803" s="18" t="s">
        <v>871</v>
      </c>
      <c r="C803" s="3">
        <v>296000</v>
      </c>
    </row>
    <row r="804" spans="1:6" x14ac:dyDescent="0.25">
      <c r="A804" s="18" t="s">
        <v>875</v>
      </c>
      <c r="C804" s="3">
        <v>182000</v>
      </c>
    </row>
    <row r="805" spans="1:6" x14ac:dyDescent="0.25">
      <c r="A805" s="18" t="s">
        <v>873</v>
      </c>
      <c r="C805" s="3">
        <v>1500000</v>
      </c>
    </row>
    <row r="806" spans="1:6" x14ac:dyDescent="0.25">
      <c r="A806" s="18" t="s">
        <v>872</v>
      </c>
      <c r="C806" s="3">
        <v>1526000</v>
      </c>
    </row>
    <row r="807" spans="1:6" x14ac:dyDescent="0.25">
      <c r="A807" s="18" t="s">
        <v>874</v>
      </c>
      <c r="C807" s="3">
        <v>7000000</v>
      </c>
      <c r="E807" s="13" t="s">
        <v>876</v>
      </c>
      <c r="F807" s="25">
        <f>F799+C801-C802-C803-C804-C805-C806-C807</f>
        <v>109052000</v>
      </c>
    </row>
    <row r="808" spans="1:6" x14ac:dyDescent="0.25">
      <c r="A808" s="4" t="s">
        <v>877</v>
      </c>
    </row>
    <row r="809" spans="1:6" x14ac:dyDescent="0.25">
      <c r="A809" s="18" t="s">
        <v>878</v>
      </c>
      <c r="C809" s="3">
        <v>4000000</v>
      </c>
    </row>
    <row r="810" spans="1:6" x14ac:dyDescent="0.25">
      <c r="A810" s="18" t="s">
        <v>879</v>
      </c>
      <c r="C810" s="3">
        <v>9000000</v>
      </c>
    </row>
    <row r="811" spans="1:6" x14ac:dyDescent="0.25">
      <c r="A811" s="18" t="s">
        <v>880</v>
      </c>
      <c r="C811" s="3">
        <v>300000</v>
      </c>
      <c r="E811" s="13" t="s">
        <v>881</v>
      </c>
      <c r="F811" s="25">
        <f>F807+C809+C810-C811</f>
        <v>121752000</v>
      </c>
    </row>
    <row r="812" spans="1:6" x14ac:dyDescent="0.25">
      <c r="A812" s="4" t="s">
        <v>882</v>
      </c>
    </row>
    <row r="813" spans="1:6" x14ac:dyDescent="0.25">
      <c r="A813" s="18" t="s">
        <v>883</v>
      </c>
      <c r="C813" s="3">
        <v>643000</v>
      </c>
    </row>
    <row r="814" spans="1:6" x14ac:dyDescent="0.25">
      <c r="A814" s="18" t="s">
        <v>884</v>
      </c>
      <c r="C814" s="3">
        <v>564000</v>
      </c>
      <c r="E814" s="13" t="s">
        <v>885</v>
      </c>
      <c r="F814" s="25">
        <f>F811-C813-C814</f>
        <v>120545000</v>
      </c>
    </row>
    <row r="815" spans="1:6" x14ac:dyDescent="0.25">
      <c r="A815" s="4" t="s">
        <v>886</v>
      </c>
    </row>
    <row r="816" spans="1:6" x14ac:dyDescent="0.25">
      <c r="A816" s="18" t="s">
        <v>690</v>
      </c>
      <c r="C816" s="3">
        <v>2880000</v>
      </c>
    </row>
    <row r="817" spans="1:6" x14ac:dyDescent="0.25">
      <c r="A817" s="18" t="s">
        <v>822</v>
      </c>
      <c r="C817" s="3">
        <v>2000000</v>
      </c>
      <c r="E817" s="13" t="s">
        <v>887</v>
      </c>
      <c r="F817" s="25">
        <f>F814-C816+C817</f>
        <v>119665000</v>
      </c>
    </row>
    <row r="818" spans="1:6" x14ac:dyDescent="0.25">
      <c r="A818" s="4" t="s">
        <v>888</v>
      </c>
    </row>
    <row r="819" spans="1:6" x14ac:dyDescent="0.25">
      <c r="A819" s="18" t="s">
        <v>761</v>
      </c>
      <c r="C819" s="3">
        <v>75000</v>
      </c>
    </row>
    <row r="820" spans="1:6" x14ac:dyDescent="0.25">
      <c r="A820" s="18" t="s">
        <v>889</v>
      </c>
      <c r="C820" s="3">
        <v>1390000</v>
      </c>
    </row>
    <row r="821" spans="1:6" x14ac:dyDescent="0.25">
      <c r="A821" s="18" t="s">
        <v>890</v>
      </c>
      <c r="C821" s="3">
        <v>1000000</v>
      </c>
    </row>
    <row r="822" spans="1:6" x14ac:dyDescent="0.25">
      <c r="A822" s="18" t="s">
        <v>891</v>
      </c>
      <c r="C822" s="3">
        <v>500000</v>
      </c>
      <c r="E822" s="13" t="s">
        <v>892</v>
      </c>
      <c r="F822" s="25">
        <f>F817-C819-C820+C821-C822</f>
        <v>118700000</v>
      </c>
    </row>
    <row r="823" spans="1:6" x14ac:dyDescent="0.25">
      <c r="A823" s="4" t="s">
        <v>893</v>
      </c>
    </row>
    <row r="824" spans="1:6" x14ac:dyDescent="0.25">
      <c r="A824" s="18" t="s">
        <v>894</v>
      </c>
      <c r="C824" s="3">
        <v>2500000</v>
      </c>
    </row>
    <row r="825" spans="1:6" x14ac:dyDescent="0.25">
      <c r="A825" s="18" t="s">
        <v>895</v>
      </c>
      <c r="C825" s="3">
        <v>1050000</v>
      </c>
    </row>
    <row r="826" spans="1:6" x14ac:dyDescent="0.25">
      <c r="A826" s="18" t="s">
        <v>896</v>
      </c>
      <c r="C826" s="3">
        <v>948000</v>
      </c>
    </row>
    <row r="827" spans="1:6" x14ac:dyDescent="0.25">
      <c r="A827" s="18" t="s">
        <v>897</v>
      </c>
      <c r="C827" s="3">
        <v>628000</v>
      </c>
      <c r="E827" s="27"/>
      <c r="F827" s="28"/>
    </row>
    <row r="828" spans="1:6" x14ac:dyDescent="0.25">
      <c r="A828" s="29" t="s">
        <v>898</v>
      </c>
      <c r="B828" s="30"/>
      <c r="C828" s="31">
        <v>5000000</v>
      </c>
      <c r="E828" s="13" t="s">
        <v>892</v>
      </c>
      <c r="F828" s="25">
        <f>F822+C824-C825-C826-C827-C828</f>
        <v>113574000</v>
      </c>
    </row>
    <row r="829" spans="1:6" x14ac:dyDescent="0.25">
      <c r="A829" s="84" t="s">
        <v>900</v>
      </c>
      <c r="B829" s="30"/>
      <c r="C829" s="31"/>
    </row>
    <row r="830" spans="1:6" x14ac:dyDescent="0.25">
      <c r="A830" s="18" t="s">
        <v>901</v>
      </c>
      <c r="C830" s="3">
        <v>200000</v>
      </c>
      <c r="E830" s="13" t="s">
        <v>902</v>
      </c>
      <c r="F830" s="25">
        <f>F828-C830</f>
        <v>113374000</v>
      </c>
    </row>
    <row r="831" spans="1:6" x14ac:dyDescent="0.25">
      <c r="A831" s="4" t="s">
        <v>903</v>
      </c>
    </row>
    <row r="832" spans="1:6" x14ac:dyDescent="0.25">
      <c r="A832" t="s">
        <v>611</v>
      </c>
      <c r="C832" s="3">
        <v>1000000</v>
      </c>
      <c r="E832" s="13" t="s">
        <v>904</v>
      </c>
      <c r="F832" s="25">
        <f>F830+C832</f>
        <v>114374000</v>
      </c>
    </row>
    <row r="833" spans="1:6" x14ac:dyDescent="0.25">
      <c r="A833" s="4" t="s">
        <v>905</v>
      </c>
    </row>
    <row r="834" spans="1:6" x14ac:dyDescent="0.25">
      <c r="A834" s="18" t="s">
        <v>924</v>
      </c>
      <c r="C834" s="3">
        <v>234000</v>
      </c>
    </row>
    <row r="835" spans="1:6" x14ac:dyDescent="0.25">
      <c r="A835" s="18" t="s">
        <v>909</v>
      </c>
      <c r="C835" s="3">
        <v>122000</v>
      </c>
    </row>
    <row r="836" spans="1:6" x14ac:dyDescent="0.25">
      <c r="A836" t="s">
        <v>906</v>
      </c>
      <c r="C836" s="3">
        <v>2500000</v>
      </c>
    </row>
    <row r="837" spans="1:6" x14ac:dyDescent="0.25">
      <c r="A837" s="18" t="s">
        <v>907</v>
      </c>
      <c r="C837" s="3">
        <v>500000</v>
      </c>
      <c r="E837" s="13" t="s">
        <v>908</v>
      </c>
      <c r="F837" s="25">
        <f>F832-C836-C837-C834-C835</f>
        <v>111018000</v>
      </c>
    </row>
    <row r="838" spans="1:6" x14ac:dyDescent="0.25">
      <c r="A838" s="4" t="s">
        <v>910</v>
      </c>
    </row>
    <row r="839" spans="1:6" x14ac:dyDescent="0.25">
      <c r="A839" s="18" t="s">
        <v>912</v>
      </c>
      <c r="C839" s="3">
        <v>6000000</v>
      </c>
    </row>
    <row r="840" spans="1:6" x14ac:dyDescent="0.25">
      <c r="A840" s="18" t="s">
        <v>611</v>
      </c>
      <c r="C840" s="3">
        <v>1000000</v>
      </c>
      <c r="E840" s="13" t="s">
        <v>911</v>
      </c>
      <c r="F840" s="25">
        <f>F837+C839+C840</f>
        <v>118018000</v>
      </c>
    </row>
    <row r="841" spans="1:6" x14ac:dyDescent="0.25">
      <c r="A841" s="4" t="s">
        <v>913</v>
      </c>
    </row>
    <row r="842" spans="1:6" x14ac:dyDescent="0.25">
      <c r="A842" s="18" t="s">
        <v>914</v>
      </c>
      <c r="C842" s="3">
        <v>450000</v>
      </c>
    </row>
    <row r="843" spans="1:6" x14ac:dyDescent="0.25">
      <c r="A843" s="18" t="s">
        <v>915</v>
      </c>
      <c r="C843" s="3">
        <v>478000</v>
      </c>
    </row>
    <row r="844" spans="1:6" x14ac:dyDescent="0.25">
      <c r="A844" s="18" t="s">
        <v>916</v>
      </c>
      <c r="C844" s="3">
        <v>650000</v>
      </c>
    </row>
    <row r="845" spans="1:6" x14ac:dyDescent="0.25">
      <c r="A845" s="18" t="s">
        <v>917</v>
      </c>
      <c r="C845" s="3">
        <f>187000+374000+795000</f>
        <v>1356000</v>
      </c>
    </row>
    <row r="846" spans="1:6" x14ac:dyDescent="0.25">
      <c r="A846" s="18" t="s">
        <v>926</v>
      </c>
      <c r="C846" s="3">
        <v>1015000</v>
      </c>
      <c r="E846" s="13" t="s">
        <v>918</v>
      </c>
      <c r="F846" s="25">
        <f>F840-C842-C843-C844-C845-C846</f>
        <v>114069000</v>
      </c>
    </row>
    <row r="847" spans="1:6" x14ac:dyDescent="0.25">
      <c r="A847" s="4" t="s">
        <v>919</v>
      </c>
    </row>
    <row r="848" spans="1:6" x14ac:dyDescent="0.25">
      <c r="A848" s="18" t="s">
        <v>920</v>
      </c>
      <c r="C848" s="3">
        <v>180000</v>
      </c>
    </row>
    <row r="849" spans="1:6" x14ac:dyDescent="0.25">
      <c r="A849" s="18" t="s">
        <v>695</v>
      </c>
      <c r="C849" s="3">
        <v>1309000</v>
      </c>
    </row>
    <row r="850" spans="1:6" x14ac:dyDescent="0.25">
      <c r="A850" s="18" t="s">
        <v>921</v>
      </c>
      <c r="C850" s="3">
        <v>130000</v>
      </c>
    </row>
    <row r="851" spans="1:6" x14ac:dyDescent="0.25">
      <c r="A851" s="18" t="s">
        <v>922</v>
      </c>
      <c r="C851" s="3">
        <v>1427000</v>
      </c>
    </row>
    <row r="852" spans="1:6" x14ac:dyDescent="0.25">
      <c r="A852" s="18" t="s">
        <v>923</v>
      </c>
      <c r="C852" s="3">
        <v>1322000</v>
      </c>
      <c r="E852" s="13" t="s">
        <v>925</v>
      </c>
      <c r="F852" s="25">
        <f>F846-C848-C850-C849-C851-C852</f>
        <v>109701000</v>
      </c>
    </row>
    <row r="853" spans="1:6" x14ac:dyDescent="0.25">
      <c r="A853" s="4" t="s">
        <v>927</v>
      </c>
    </row>
    <row r="854" spans="1:6" x14ac:dyDescent="0.25">
      <c r="A854" s="18" t="s">
        <v>928</v>
      </c>
      <c r="C854" s="3">
        <v>426000</v>
      </c>
    </row>
    <row r="855" spans="1:6" x14ac:dyDescent="0.25">
      <c r="A855" s="18" t="s">
        <v>929</v>
      </c>
      <c r="C855" s="3">
        <v>1700000</v>
      </c>
    </row>
    <row r="856" spans="1:6" x14ac:dyDescent="0.25">
      <c r="A856" s="18" t="s">
        <v>931</v>
      </c>
      <c r="C856" s="3">
        <v>10000000</v>
      </c>
    </row>
    <row r="857" spans="1:6" x14ac:dyDescent="0.25">
      <c r="A857" s="18" t="s">
        <v>932</v>
      </c>
      <c r="C857" s="85">
        <v>0</v>
      </c>
    </row>
    <row r="858" spans="1:6" x14ac:dyDescent="0.25">
      <c r="A858" s="18" t="s">
        <v>941</v>
      </c>
      <c r="C858" s="3">
        <v>7200000</v>
      </c>
    </row>
    <row r="859" spans="1:6" x14ac:dyDescent="0.25">
      <c r="A859" s="18" t="s">
        <v>930</v>
      </c>
      <c r="C859" s="3">
        <v>6200000</v>
      </c>
      <c r="E859" s="13" t="s">
        <v>925</v>
      </c>
      <c r="F859" s="25">
        <f>F852-C854-C855+C856-C857-C859+C858</f>
        <v>118575000</v>
      </c>
    </row>
    <row r="860" spans="1:6" x14ac:dyDescent="0.25">
      <c r="A860" s="4" t="s">
        <v>933</v>
      </c>
    </row>
    <row r="861" spans="1:6" x14ac:dyDescent="0.25">
      <c r="A861" s="18" t="s">
        <v>934</v>
      </c>
      <c r="C861" s="3">
        <v>84000</v>
      </c>
    </row>
    <row r="862" spans="1:6" x14ac:dyDescent="0.25">
      <c r="A862" s="18" t="s">
        <v>889</v>
      </c>
      <c r="C862" s="3">
        <v>725000</v>
      </c>
    </row>
    <row r="863" spans="1:6" x14ac:dyDescent="0.25">
      <c r="A863" s="18" t="s">
        <v>935</v>
      </c>
      <c r="C863" s="3">
        <v>65000</v>
      </c>
    </row>
    <row r="864" spans="1:6" x14ac:dyDescent="0.25">
      <c r="A864" s="18" t="s">
        <v>936</v>
      </c>
      <c r="C864" s="3">
        <v>7000000</v>
      </c>
    </row>
    <row r="865" spans="1:6" x14ac:dyDescent="0.25">
      <c r="A865" s="18" t="s">
        <v>937</v>
      </c>
      <c r="C865" s="3">
        <v>1500000</v>
      </c>
    </row>
    <row r="866" spans="1:6" x14ac:dyDescent="0.25">
      <c r="A866" s="18" t="s">
        <v>938</v>
      </c>
      <c r="C866" s="3">
        <v>500000</v>
      </c>
    </row>
    <row r="867" spans="1:6" x14ac:dyDescent="0.25">
      <c r="A867" s="18" t="s">
        <v>939</v>
      </c>
      <c r="C867" s="3">
        <v>895000</v>
      </c>
    </row>
    <row r="868" spans="1:6" x14ac:dyDescent="0.25">
      <c r="A868" s="18" t="s">
        <v>940</v>
      </c>
      <c r="C868" s="3">
        <v>4000000</v>
      </c>
      <c r="E868" s="13" t="s">
        <v>942</v>
      </c>
      <c r="F868" s="25">
        <f>F859-C861-C862-C863-C864-C865-C866-C867+C868</f>
        <v>111806000</v>
      </c>
    </row>
    <row r="869" spans="1:6" x14ac:dyDescent="0.25">
      <c r="A869" s="4" t="s">
        <v>943</v>
      </c>
    </row>
    <row r="870" spans="1:6" x14ac:dyDescent="0.25">
      <c r="A870" s="18" t="s">
        <v>944</v>
      </c>
      <c r="C870" s="3">
        <v>615000</v>
      </c>
    </row>
    <row r="871" spans="1:6" x14ac:dyDescent="0.25">
      <c r="A871" s="18" t="s">
        <v>572</v>
      </c>
      <c r="C871" s="3">
        <v>500000</v>
      </c>
    </row>
    <row r="872" spans="1:6" x14ac:dyDescent="0.25">
      <c r="A872" s="18" t="s">
        <v>945</v>
      </c>
      <c r="C872" s="3">
        <v>500000</v>
      </c>
    </row>
    <row r="873" spans="1:6" x14ac:dyDescent="0.25">
      <c r="A873" s="18" t="s">
        <v>946</v>
      </c>
      <c r="C873" s="3">
        <v>139000</v>
      </c>
      <c r="E873" s="13" t="s">
        <v>947</v>
      </c>
      <c r="F873" s="25">
        <f>F868-C870-C871-C872-C873</f>
        <v>110052000</v>
      </c>
    </row>
    <row r="874" spans="1:6" x14ac:dyDescent="0.25">
      <c r="A874" s="4" t="s">
        <v>948</v>
      </c>
    </row>
    <row r="875" spans="1:6" x14ac:dyDescent="0.25">
      <c r="A875" s="18" t="s">
        <v>611</v>
      </c>
      <c r="C875" s="3">
        <v>1500000</v>
      </c>
    </row>
    <row r="876" spans="1:6" x14ac:dyDescent="0.25">
      <c r="A876" s="18" t="s">
        <v>949</v>
      </c>
      <c r="C876" s="3">
        <v>881000</v>
      </c>
    </row>
    <row r="877" spans="1:6" x14ac:dyDescent="0.25">
      <c r="A877" s="18" t="s">
        <v>950</v>
      </c>
      <c r="C877" s="3">
        <v>75000</v>
      </c>
      <c r="E877" s="13" t="s">
        <v>951</v>
      </c>
      <c r="F877" s="25">
        <f>F873+C875-C876-C877</f>
        <v>110596000</v>
      </c>
    </row>
    <row r="878" spans="1:6" x14ac:dyDescent="0.25">
      <c r="A878" s="4" t="s">
        <v>952</v>
      </c>
    </row>
    <row r="879" spans="1:6" x14ac:dyDescent="0.25">
      <c r="A879" s="18" t="s">
        <v>953</v>
      </c>
      <c r="C879" s="3">
        <v>111000</v>
      </c>
      <c r="E879" s="13" t="s">
        <v>954</v>
      </c>
      <c r="F879" s="25">
        <f>F877-C879</f>
        <v>110485000</v>
      </c>
    </row>
    <row r="880" spans="1:6" x14ac:dyDescent="0.25">
      <c r="A880" s="4" t="s">
        <v>955</v>
      </c>
    </row>
    <row r="881" spans="1:6" x14ac:dyDescent="0.25">
      <c r="A881" s="18" t="s">
        <v>690</v>
      </c>
      <c r="C881" s="3">
        <v>5785000</v>
      </c>
    </row>
    <row r="882" spans="1:6" x14ac:dyDescent="0.25">
      <c r="A882" s="18" t="s">
        <v>956</v>
      </c>
      <c r="C882" s="3">
        <v>320000</v>
      </c>
      <c r="E882" s="27"/>
      <c r="F882" s="28"/>
    </row>
    <row r="883" spans="1:6" x14ac:dyDescent="0.25">
      <c r="A883" s="18" t="s">
        <v>958</v>
      </c>
      <c r="C883" s="3">
        <v>1000000</v>
      </c>
      <c r="E883" s="13" t="s">
        <v>957</v>
      </c>
      <c r="F883" s="25">
        <f>F879-C881-C882-C883</f>
        <v>103380000</v>
      </c>
    </row>
    <row r="884" spans="1:6" x14ac:dyDescent="0.25">
      <c r="A884" s="4" t="s">
        <v>959</v>
      </c>
    </row>
    <row r="885" spans="1:6" x14ac:dyDescent="0.25">
      <c r="A885" s="18" t="s">
        <v>960</v>
      </c>
      <c r="C885" s="3">
        <v>218000</v>
      </c>
    </row>
    <row r="886" spans="1:6" x14ac:dyDescent="0.25">
      <c r="A886" s="18" t="s">
        <v>961</v>
      </c>
      <c r="C886" s="3">
        <v>525000</v>
      </c>
    </row>
    <row r="887" spans="1:6" x14ac:dyDescent="0.25">
      <c r="A887" s="18" t="s">
        <v>962</v>
      </c>
      <c r="C887" s="3">
        <v>780000</v>
      </c>
      <c r="E887" s="13" t="s">
        <v>963</v>
      </c>
      <c r="F887" s="25">
        <f>F883-C885-C886-C887</f>
        <v>101857000</v>
      </c>
    </row>
    <row r="888" spans="1:6" x14ac:dyDescent="0.25">
      <c r="A888" s="4" t="s">
        <v>964</v>
      </c>
    </row>
    <row r="889" spans="1:6" x14ac:dyDescent="0.25">
      <c r="A889" s="18" t="s">
        <v>965</v>
      </c>
      <c r="C889" s="3">
        <v>189000</v>
      </c>
    </row>
    <row r="890" spans="1:6" x14ac:dyDescent="0.25">
      <c r="A890" s="18" t="s">
        <v>709</v>
      </c>
      <c r="C890" s="3">
        <v>500000</v>
      </c>
    </row>
    <row r="891" spans="1:6" x14ac:dyDescent="0.25">
      <c r="A891" s="18" t="s">
        <v>966</v>
      </c>
      <c r="C891" s="3">
        <v>700000</v>
      </c>
      <c r="E891" s="13" t="s">
        <v>967</v>
      </c>
      <c r="F891" s="25">
        <f>F887-C889-C890-C891</f>
        <v>100468000</v>
      </c>
    </row>
    <row r="892" spans="1:6" x14ac:dyDescent="0.25">
      <c r="A892" s="4" t="s">
        <v>968</v>
      </c>
    </row>
    <row r="893" spans="1:6" x14ac:dyDescent="0.25">
      <c r="A893" s="18" t="s">
        <v>969</v>
      </c>
      <c r="C893" s="3">
        <v>118000</v>
      </c>
    </row>
    <row r="894" spans="1:6" x14ac:dyDescent="0.25">
      <c r="A894" s="18" t="s">
        <v>970</v>
      </c>
      <c r="C894" s="3">
        <v>800000</v>
      </c>
    </row>
    <row r="895" spans="1:6" x14ac:dyDescent="0.25">
      <c r="A895" s="18" t="s">
        <v>572</v>
      </c>
      <c r="C895" s="3">
        <v>500000</v>
      </c>
    </row>
    <row r="896" spans="1:6" x14ac:dyDescent="0.25">
      <c r="A896" s="18" t="s">
        <v>766</v>
      </c>
      <c r="C896" s="3">
        <v>220000</v>
      </c>
      <c r="E896" s="13" t="s">
        <v>971</v>
      </c>
      <c r="F896" s="25">
        <f>F891-C893-C894-C895-C896</f>
        <v>98830000</v>
      </c>
    </row>
    <row r="897" spans="1:6" x14ac:dyDescent="0.25">
      <c r="A897" s="4" t="s">
        <v>972</v>
      </c>
    </row>
    <row r="898" spans="1:6" x14ac:dyDescent="0.25">
      <c r="A898" s="18" t="s">
        <v>973</v>
      </c>
      <c r="C898" s="3">
        <v>500000</v>
      </c>
    </row>
    <row r="899" spans="1:6" x14ac:dyDescent="0.25">
      <c r="A899" s="18" t="s">
        <v>822</v>
      </c>
      <c r="C899" s="3">
        <v>2000000</v>
      </c>
    </row>
    <row r="900" spans="1:6" x14ac:dyDescent="0.25">
      <c r="A900" s="18" t="s">
        <v>65</v>
      </c>
      <c r="C900" s="3">
        <v>1000000</v>
      </c>
    </row>
    <row r="901" spans="1:6" x14ac:dyDescent="0.25">
      <c r="A901" s="18" t="s">
        <v>974</v>
      </c>
      <c r="C901" s="3">
        <v>385000</v>
      </c>
    </row>
    <row r="902" spans="1:6" x14ac:dyDescent="0.25">
      <c r="A902" s="18" t="s">
        <v>999</v>
      </c>
      <c r="C902" s="86">
        <v>1500000</v>
      </c>
      <c r="E902" s="13" t="s">
        <v>975</v>
      </c>
      <c r="F902" s="25">
        <f>F896-C898+C899+C900-C901-C902</f>
        <v>99445000</v>
      </c>
    </row>
    <row r="903" spans="1:6" x14ac:dyDescent="0.25">
      <c r="A903" s="4" t="s">
        <v>976</v>
      </c>
    </row>
    <row r="904" spans="1:6" x14ac:dyDescent="0.25">
      <c r="A904" s="18" t="s">
        <v>977</v>
      </c>
      <c r="C904" s="3">
        <v>460000</v>
      </c>
    </row>
    <row r="905" spans="1:6" x14ac:dyDescent="0.25">
      <c r="A905" s="18" t="s">
        <v>978</v>
      </c>
      <c r="C905" s="3">
        <v>138000</v>
      </c>
    </row>
    <row r="906" spans="1:6" x14ac:dyDescent="0.25">
      <c r="A906" s="18" t="s">
        <v>979</v>
      </c>
      <c r="C906" s="3">
        <v>850000</v>
      </c>
    </row>
    <row r="907" spans="1:6" x14ac:dyDescent="0.25">
      <c r="A907" s="18" t="s">
        <v>980</v>
      </c>
      <c r="C907" s="3">
        <f>139000+28000+451000+55000</f>
        <v>673000</v>
      </c>
      <c r="E907" s="13" t="s">
        <v>983</v>
      </c>
      <c r="F907" s="25">
        <f>F902-C904-C905-C906-C907</f>
        <v>97324000</v>
      </c>
    </row>
    <row r="908" spans="1:6" x14ac:dyDescent="0.25">
      <c r="A908" s="4" t="s">
        <v>982</v>
      </c>
    </row>
    <row r="909" spans="1:6" x14ac:dyDescent="0.25">
      <c r="A909" s="18" t="s">
        <v>981</v>
      </c>
      <c r="C909" s="3">
        <f>70000+45000</f>
        <v>115000</v>
      </c>
    </row>
    <row r="910" spans="1:6" x14ac:dyDescent="0.25">
      <c r="A910" s="18" t="s">
        <v>817</v>
      </c>
      <c r="C910" s="3">
        <v>1000000</v>
      </c>
      <c r="E910" s="13" t="s">
        <v>984</v>
      </c>
      <c r="F910" s="25">
        <f>F907-C909+C910</f>
        <v>98209000</v>
      </c>
    </row>
    <row r="911" spans="1:6" x14ac:dyDescent="0.25">
      <c r="A911" s="4" t="s">
        <v>985</v>
      </c>
    </row>
    <row r="912" spans="1:6" x14ac:dyDescent="0.25">
      <c r="A912" s="18" t="s">
        <v>992</v>
      </c>
      <c r="C912" s="3">
        <v>20500000</v>
      </c>
    </row>
    <row r="913" spans="1:6" x14ac:dyDescent="0.25">
      <c r="A913" s="18" t="s">
        <v>986</v>
      </c>
      <c r="C913" s="3">
        <v>116000</v>
      </c>
    </row>
    <row r="914" spans="1:6" x14ac:dyDescent="0.25">
      <c r="A914" s="18" t="s">
        <v>987</v>
      </c>
      <c r="C914" s="3">
        <v>417000</v>
      </c>
      <c r="E914" s="13" t="s">
        <v>988</v>
      </c>
      <c r="F914" s="25">
        <f>F910+C912-C913-C914</f>
        <v>118176000</v>
      </c>
    </row>
    <row r="915" spans="1:6" x14ac:dyDescent="0.25">
      <c r="A915" s="4" t="s">
        <v>989</v>
      </c>
    </row>
    <row r="916" spans="1:6" x14ac:dyDescent="0.25">
      <c r="A916" s="18" t="s">
        <v>978</v>
      </c>
      <c r="C916" s="3">
        <v>207000</v>
      </c>
    </row>
    <row r="917" spans="1:6" x14ac:dyDescent="0.25">
      <c r="A917" s="18" t="s">
        <v>990</v>
      </c>
      <c r="C917" s="3">
        <v>10552000</v>
      </c>
      <c r="E917" s="13" t="s">
        <v>991</v>
      </c>
      <c r="F917" s="25">
        <f>F914-C917-C916</f>
        <v>107417000</v>
      </c>
    </row>
    <row r="918" spans="1:6" x14ac:dyDescent="0.25">
      <c r="A918" s="4" t="s">
        <v>993</v>
      </c>
    </row>
    <row r="919" spans="1:6" x14ac:dyDescent="0.25">
      <c r="A919" s="18" t="s">
        <v>994</v>
      </c>
      <c r="C919" s="3">
        <v>817000</v>
      </c>
      <c r="E919" s="13" t="s">
        <v>1000</v>
      </c>
      <c r="F919" s="25">
        <f>F917-C919</f>
        <v>106600000</v>
      </c>
    </row>
    <row r="920" spans="1:6" x14ac:dyDescent="0.25">
      <c r="A920" s="4" t="s">
        <v>995</v>
      </c>
    </row>
    <row r="921" spans="1:6" x14ac:dyDescent="0.25">
      <c r="A921" s="18" t="s">
        <v>996</v>
      </c>
      <c r="C921" s="3">
        <v>300000</v>
      </c>
    </row>
    <row r="922" spans="1:6" x14ac:dyDescent="0.25">
      <c r="A922" s="18" t="s">
        <v>997</v>
      </c>
      <c r="C922" s="3">
        <v>130000</v>
      </c>
    </row>
    <row r="923" spans="1:6" x14ac:dyDescent="0.25">
      <c r="A923" s="18" t="s">
        <v>998</v>
      </c>
      <c r="C923" s="3">
        <v>320000</v>
      </c>
    </row>
    <row r="924" spans="1:6" x14ac:dyDescent="0.25">
      <c r="A924" s="18" t="s">
        <v>924</v>
      </c>
      <c r="C924" s="3">
        <v>115000</v>
      </c>
      <c r="E924" s="13" t="s">
        <v>1001</v>
      </c>
      <c r="F924" s="25">
        <f>F919-C921-C922-C923-C924</f>
        <v>105735000</v>
      </c>
    </row>
    <row r="925" spans="1:6" x14ac:dyDescent="0.25">
      <c r="A925" s="4" t="s">
        <v>1002</v>
      </c>
    </row>
    <row r="926" spans="1:6" x14ac:dyDescent="0.25">
      <c r="A926" s="18" t="s">
        <v>1003</v>
      </c>
      <c r="C926" s="3">
        <v>33000000</v>
      </c>
    </row>
    <row r="927" spans="1:6" x14ac:dyDescent="0.25">
      <c r="A927" s="18" t="s">
        <v>1004</v>
      </c>
      <c r="C927" s="3">
        <v>90000</v>
      </c>
      <c r="E927" s="13" t="s">
        <v>1005</v>
      </c>
      <c r="F927" s="25">
        <f>F924+C926-C927</f>
        <v>138645000</v>
      </c>
    </row>
    <row r="928" spans="1:6" x14ac:dyDescent="0.25">
      <c r="A928" s="4" t="s">
        <v>1006</v>
      </c>
    </row>
    <row r="929" spans="1:6" x14ac:dyDescent="0.25">
      <c r="A929" s="18" t="s">
        <v>1007</v>
      </c>
      <c r="C929" s="3">
        <v>0</v>
      </c>
    </row>
    <row r="930" spans="1:6" x14ac:dyDescent="0.25">
      <c r="A930" s="18" t="s">
        <v>1008</v>
      </c>
      <c r="C930" s="3">
        <v>660000</v>
      </c>
    </row>
    <row r="931" spans="1:6" x14ac:dyDescent="0.25">
      <c r="A931" s="18" t="s">
        <v>1009</v>
      </c>
      <c r="C931" s="3">
        <v>330000</v>
      </c>
    </row>
    <row r="932" spans="1:6" x14ac:dyDescent="0.25">
      <c r="A932" s="18" t="s">
        <v>1011</v>
      </c>
      <c r="C932" s="3">
        <v>5800000</v>
      </c>
    </row>
    <row r="933" spans="1:6" x14ac:dyDescent="0.25">
      <c r="A933" s="18" t="s">
        <v>1012</v>
      </c>
      <c r="C933" s="3">
        <v>700000</v>
      </c>
    </row>
    <row r="934" spans="1:6" x14ac:dyDescent="0.25">
      <c r="A934" s="18" t="s">
        <v>1013</v>
      </c>
      <c r="C934" s="3">
        <v>7000000</v>
      </c>
    </row>
    <row r="935" spans="1:6" x14ac:dyDescent="0.25">
      <c r="A935" s="18" t="s">
        <v>1014</v>
      </c>
      <c r="C935" s="3">
        <v>1500000</v>
      </c>
      <c r="E935" s="13" t="s">
        <v>1010</v>
      </c>
      <c r="F935" s="25">
        <f>F927-C929-C930-C931-C932+C933-C934-C935</f>
        <v>124055000</v>
      </c>
    </row>
    <row r="936" spans="1:6" x14ac:dyDescent="0.25">
      <c r="A936" s="4" t="s">
        <v>1015</v>
      </c>
    </row>
    <row r="937" spans="1:6" x14ac:dyDescent="0.25">
      <c r="A937" s="18" t="s">
        <v>1016</v>
      </c>
      <c r="C937" s="3">
        <v>1500000</v>
      </c>
    </row>
    <row r="938" spans="1:6" x14ac:dyDescent="0.25">
      <c r="A938" s="18" t="s">
        <v>1017</v>
      </c>
      <c r="C938" s="3">
        <v>860000</v>
      </c>
    </row>
    <row r="939" spans="1:6" x14ac:dyDescent="0.25">
      <c r="A939" s="18" t="s">
        <v>1020</v>
      </c>
      <c r="C939" s="3">
        <v>250000</v>
      </c>
    </row>
    <row r="940" spans="1:6" x14ac:dyDescent="0.25">
      <c r="A940" s="18" t="s">
        <v>1018</v>
      </c>
      <c r="C940" s="3">
        <v>282000</v>
      </c>
      <c r="E940" s="13" t="s">
        <v>1019</v>
      </c>
      <c r="F940" s="25">
        <f>F935+C937-C938-C940-C939</f>
        <v>124163000</v>
      </c>
    </row>
    <row r="941" spans="1:6" x14ac:dyDescent="0.25">
      <c r="A941" s="4" t="s">
        <v>1021</v>
      </c>
    </row>
    <row r="942" spans="1:6" x14ac:dyDescent="0.25">
      <c r="A942" s="18" t="s">
        <v>1022</v>
      </c>
      <c r="C942" s="3">
        <v>600000</v>
      </c>
      <c r="E942" s="13" t="s">
        <v>1026</v>
      </c>
      <c r="F942" s="25">
        <f>F940+C942</f>
        <v>124763000</v>
      </c>
    </row>
    <row r="943" spans="1:6" x14ac:dyDescent="0.25">
      <c r="A943" s="4" t="s">
        <v>1023</v>
      </c>
    </row>
    <row r="944" spans="1:6" x14ac:dyDescent="0.25">
      <c r="A944" s="18" t="s">
        <v>1024</v>
      </c>
      <c r="C944" s="3">
        <v>978000</v>
      </c>
    </row>
    <row r="945" spans="1:6" x14ac:dyDescent="0.25">
      <c r="A945" s="18" t="s">
        <v>1025</v>
      </c>
      <c r="C945" s="3">
        <v>1000000</v>
      </c>
      <c r="E945" s="13" t="s">
        <v>1027</v>
      </c>
      <c r="F945" s="25">
        <f>F942-C944-C945</f>
        <v>122785000</v>
      </c>
    </row>
    <row r="946" spans="1:6" x14ac:dyDescent="0.25">
      <c r="A946" s="4" t="s">
        <v>1028</v>
      </c>
    </row>
    <row r="947" spans="1:6" x14ac:dyDescent="0.25">
      <c r="A947" s="18" t="s">
        <v>1029</v>
      </c>
      <c r="C947" s="3">
        <v>1300000</v>
      </c>
      <c r="E947" s="13" t="s">
        <v>1030</v>
      </c>
      <c r="F947" s="25">
        <f>F945-C947</f>
        <v>121485000</v>
      </c>
    </row>
    <row r="948" spans="1:6" x14ac:dyDescent="0.25">
      <c r="A948" s="4" t="s">
        <v>1031</v>
      </c>
    </row>
    <row r="949" spans="1:6" x14ac:dyDescent="0.25">
      <c r="A949" s="18" t="s">
        <v>1032</v>
      </c>
      <c r="C949" s="3">
        <v>4000000</v>
      </c>
    </row>
    <row r="950" spans="1:6" x14ac:dyDescent="0.25">
      <c r="A950" s="18" t="s">
        <v>1033</v>
      </c>
      <c r="C950" s="3">
        <v>1500000</v>
      </c>
    </row>
    <row r="951" spans="1:6" x14ac:dyDescent="0.25">
      <c r="A951" s="18" t="s">
        <v>1034</v>
      </c>
      <c r="C951" s="3">
        <v>2124000</v>
      </c>
    </row>
    <row r="952" spans="1:6" x14ac:dyDescent="0.25">
      <c r="A952" s="18" t="s">
        <v>1042</v>
      </c>
      <c r="C952" s="3">
        <v>1318000</v>
      </c>
    </row>
    <row r="953" spans="1:6" x14ac:dyDescent="0.25">
      <c r="A953" s="18" t="s">
        <v>1035</v>
      </c>
      <c r="C953" s="3">
        <f>820000+57000</f>
        <v>877000</v>
      </c>
      <c r="E953" s="13" t="s">
        <v>1036</v>
      </c>
      <c r="F953" s="25">
        <f>F947+C949-C950-C951-C953-C952</f>
        <v>119666000</v>
      </c>
    </row>
    <row r="954" spans="1:6" x14ac:dyDescent="0.25">
      <c r="A954" s="4" t="s">
        <v>1037</v>
      </c>
    </row>
    <row r="955" spans="1:6" x14ac:dyDescent="0.25">
      <c r="A955" s="18" t="s">
        <v>1038</v>
      </c>
      <c r="C955" s="3">
        <v>90000</v>
      </c>
      <c r="F955" s="6" t="s">
        <v>1043</v>
      </c>
    </row>
    <row r="956" spans="1:6" x14ac:dyDescent="0.25">
      <c r="A956" s="18" t="s">
        <v>1039</v>
      </c>
      <c r="C956" s="3">
        <v>547000</v>
      </c>
    </row>
    <row r="957" spans="1:6" x14ac:dyDescent="0.25">
      <c r="A957" s="18" t="s">
        <v>1040</v>
      </c>
      <c r="C957" s="3">
        <v>15000000</v>
      </c>
      <c r="E957" s="13" t="s">
        <v>1041</v>
      </c>
      <c r="F957" s="25">
        <f>F953-C955-C956+C957</f>
        <v>134029000</v>
      </c>
    </row>
    <row r="958" spans="1:6" x14ac:dyDescent="0.25">
      <c r="A958" s="4" t="s">
        <v>1044</v>
      </c>
    </row>
    <row r="959" spans="1:6" x14ac:dyDescent="0.25">
      <c r="A959" s="18" t="s">
        <v>611</v>
      </c>
      <c r="C959" s="3">
        <v>500000</v>
      </c>
    </row>
    <row r="960" spans="1:6" x14ac:dyDescent="0.25">
      <c r="A960" s="18" t="s">
        <v>1045</v>
      </c>
      <c r="C960" s="3">
        <f>2178000+76000</f>
        <v>2254000</v>
      </c>
    </row>
    <row r="961" spans="1:6" x14ac:dyDescent="0.25">
      <c r="A961" s="18" t="s">
        <v>1046</v>
      </c>
      <c r="C961" s="3">
        <v>1400000</v>
      </c>
    </row>
    <row r="962" spans="1:6" x14ac:dyDescent="0.25">
      <c r="A962" s="18" t="s">
        <v>1047</v>
      </c>
      <c r="C962" s="3">
        <v>1061000</v>
      </c>
      <c r="E962" s="13" t="s">
        <v>1048</v>
      </c>
      <c r="F962" s="25">
        <f>F957+C959-C960-C961-C962</f>
        <v>129814000</v>
      </c>
    </row>
    <row r="963" spans="1:6" x14ac:dyDescent="0.25">
      <c r="A963" s="4" t="s">
        <v>1049</v>
      </c>
    </row>
    <row r="964" spans="1:6" x14ac:dyDescent="0.25">
      <c r="A964" s="18" t="s">
        <v>1050</v>
      </c>
      <c r="C964" s="3">
        <v>10000000</v>
      </c>
    </row>
    <row r="965" spans="1:6" x14ac:dyDescent="0.25">
      <c r="A965" s="18" t="s">
        <v>1051</v>
      </c>
      <c r="C965" s="3">
        <v>2000000</v>
      </c>
    </row>
    <row r="966" spans="1:6" x14ac:dyDescent="0.25">
      <c r="A966" s="18" t="s">
        <v>1052</v>
      </c>
      <c r="C966" s="3">
        <v>67000</v>
      </c>
    </row>
    <row r="967" spans="1:6" x14ac:dyDescent="0.25">
      <c r="A967" s="18" t="s">
        <v>1034</v>
      </c>
      <c r="C967" s="3">
        <v>1380000</v>
      </c>
      <c r="E967" s="13" t="s">
        <v>1048</v>
      </c>
      <c r="F967" s="25">
        <f>F962+C964+C965-C966-C967</f>
        <v>140367000</v>
      </c>
    </row>
    <row r="968" spans="1:6" x14ac:dyDescent="0.25">
      <c r="A968" s="4" t="s">
        <v>1053</v>
      </c>
    </row>
    <row r="969" spans="1:6" x14ac:dyDescent="0.25">
      <c r="A969" s="18" t="s">
        <v>1054</v>
      </c>
      <c r="C969" s="3">
        <v>53000000</v>
      </c>
    </row>
    <row r="970" spans="1:6" x14ac:dyDescent="0.25">
      <c r="A970" s="18" t="s">
        <v>1055</v>
      </c>
      <c r="C970" s="3">
        <v>547000</v>
      </c>
    </row>
    <row r="971" spans="1:6" x14ac:dyDescent="0.25">
      <c r="A971" s="18" t="s">
        <v>1034</v>
      </c>
      <c r="C971" s="3">
        <f>538000+16000</f>
        <v>554000</v>
      </c>
    </row>
    <row r="972" spans="1:6" x14ac:dyDescent="0.25">
      <c r="A972" s="18" t="s">
        <v>1056</v>
      </c>
      <c r="C972" s="3">
        <v>330000</v>
      </c>
    </row>
    <row r="973" spans="1:6" x14ac:dyDescent="0.25">
      <c r="A973" s="18" t="s">
        <v>1057</v>
      </c>
      <c r="C973" s="3">
        <v>1935000</v>
      </c>
      <c r="E973" s="13" t="s">
        <v>1058</v>
      </c>
      <c r="F973" s="25">
        <f>F967+C969-C970-C971-C972-C973</f>
        <v>190001000</v>
      </c>
    </row>
    <row r="974" spans="1:6" x14ac:dyDescent="0.25">
      <c r="A974" s="4" t="s">
        <v>1059</v>
      </c>
      <c r="F974" s="33"/>
    </row>
    <row r="975" spans="1:6" x14ac:dyDescent="0.25">
      <c r="A975" s="18" t="s">
        <v>1060</v>
      </c>
      <c r="C975" s="3">
        <v>1680000</v>
      </c>
      <c r="E975" s="13" t="s">
        <v>1061</v>
      </c>
      <c r="F975" s="25">
        <f>F973-C975</f>
        <v>188321000</v>
      </c>
    </row>
    <row r="976" spans="1:6" x14ac:dyDescent="0.25">
      <c r="A976" s="4" t="s">
        <v>1062</v>
      </c>
    </row>
    <row r="977" spans="1:8" x14ac:dyDescent="0.25">
      <c r="A977" s="18" t="s">
        <v>1066</v>
      </c>
      <c r="C977" s="3">
        <v>2000000</v>
      </c>
    </row>
    <row r="978" spans="1:8" x14ac:dyDescent="0.25">
      <c r="A978" s="18" t="s">
        <v>1063</v>
      </c>
      <c r="C978" s="3">
        <v>5200000</v>
      </c>
    </row>
    <row r="979" spans="1:8" x14ac:dyDescent="0.25">
      <c r="A979" s="18" t="s">
        <v>1064</v>
      </c>
      <c r="C979" s="3">
        <v>3850000</v>
      </c>
      <c r="D979" s="7"/>
      <c r="E979" s="13" t="s">
        <v>1065</v>
      </c>
      <c r="F979" s="25">
        <f>F975-C977-C978+C979</f>
        <v>184971000</v>
      </c>
    </row>
    <row r="980" spans="1:8" x14ac:dyDescent="0.25">
      <c r="A980" s="4" t="s">
        <v>1067</v>
      </c>
      <c r="D980" s="7"/>
    </row>
    <row r="981" spans="1:8" x14ac:dyDescent="0.25">
      <c r="A981" s="18" t="s">
        <v>1068</v>
      </c>
      <c r="C981" s="3">
        <v>220000</v>
      </c>
    </row>
    <row r="982" spans="1:8" x14ac:dyDescent="0.25">
      <c r="A982" s="18" t="s">
        <v>1063</v>
      </c>
      <c r="C982" s="3">
        <v>3370000</v>
      </c>
    </row>
    <row r="983" spans="1:8" x14ac:dyDescent="0.25">
      <c r="A983" s="18" t="s">
        <v>1064</v>
      </c>
      <c r="C983" s="3">
        <v>1950000</v>
      </c>
      <c r="E983" s="13" t="s">
        <v>1069</v>
      </c>
      <c r="F983" s="25">
        <f>F979-C981-C982+C983</f>
        <v>183331000</v>
      </c>
      <c r="H983" s="7"/>
    </row>
    <row r="984" spans="1:8" x14ac:dyDescent="0.25">
      <c r="A984" s="4" t="s">
        <v>1070</v>
      </c>
      <c r="D984" s="7"/>
    </row>
    <row r="985" spans="1:8" x14ac:dyDescent="0.25">
      <c r="A985" s="18" t="s">
        <v>1071</v>
      </c>
      <c r="C985" s="3">
        <v>12850000</v>
      </c>
    </row>
    <row r="986" spans="1:8" x14ac:dyDescent="0.25">
      <c r="A986" s="18" t="s">
        <v>1072</v>
      </c>
      <c r="C986" s="3">
        <v>765000</v>
      </c>
    </row>
    <row r="987" spans="1:8" x14ac:dyDescent="0.25">
      <c r="A987" s="18" t="s">
        <v>1073</v>
      </c>
      <c r="C987" s="3">
        <v>200000</v>
      </c>
      <c r="E987" s="13" t="s">
        <v>1075</v>
      </c>
      <c r="F987" s="25">
        <f>F983-C985-C986+C987</f>
        <v>169916000</v>
      </c>
    </row>
    <row r="988" spans="1:8" x14ac:dyDescent="0.25">
      <c r="A988" s="4" t="s">
        <v>1074</v>
      </c>
    </row>
    <row r="989" spans="1:8" x14ac:dyDescent="0.25">
      <c r="A989" s="18" t="s">
        <v>611</v>
      </c>
      <c r="C989" s="3">
        <v>1000000</v>
      </c>
    </row>
    <row r="990" spans="1:8" x14ac:dyDescent="0.25">
      <c r="A990" s="29" t="s">
        <v>1149</v>
      </c>
      <c r="B990" s="30"/>
      <c r="C990" s="31"/>
      <c r="E990" s="13" t="s">
        <v>1076</v>
      </c>
      <c r="F990" s="25">
        <f>F987+C989-C990</f>
        <v>170916000</v>
      </c>
    </row>
    <row r="991" spans="1:8" x14ac:dyDescent="0.25">
      <c r="A991" s="4" t="s">
        <v>1077</v>
      </c>
    </row>
    <row r="992" spans="1:8" x14ac:dyDescent="0.25">
      <c r="A992" t="s">
        <v>979</v>
      </c>
      <c r="C992" s="3">
        <v>5790000</v>
      </c>
    </row>
    <row r="993" spans="1:6" x14ac:dyDescent="0.25">
      <c r="A993" t="s">
        <v>1078</v>
      </c>
      <c r="C993" s="3">
        <v>1000000</v>
      </c>
    </row>
    <row r="994" spans="1:6" x14ac:dyDescent="0.25">
      <c r="A994" t="s">
        <v>1079</v>
      </c>
      <c r="C994" s="3">
        <v>391000</v>
      </c>
    </row>
    <row r="995" spans="1:6" x14ac:dyDescent="0.25">
      <c r="A995" t="s">
        <v>1080</v>
      </c>
      <c r="C995" s="3">
        <v>3000000</v>
      </c>
      <c r="E995" s="13" t="s">
        <v>1081</v>
      </c>
      <c r="F995" s="25">
        <f>F990-C992-C993-C994+C995</f>
        <v>166735000</v>
      </c>
    </row>
    <row r="996" spans="1:6" x14ac:dyDescent="0.25">
      <c r="A996" s="4" t="s">
        <v>1082</v>
      </c>
    </row>
    <row r="997" spans="1:6" x14ac:dyDescent="0.25">
      <c r="A997" t="s">
        <v>1083</v>
      </c>
      <c r="C997" s="3">
        <v>1315000</v>
      </c>
      <c r="E997" s="13" t="s">
        <v>1084</v>
      </c>
      <c r="F997" s="25">
        <f>F995-C997</f>
        <v>165420000</v>
      </c>
    </row>
    <row r="998" spans="1:6" x14ac:dyDescent="0.25">
      <c r="A998" s="4" t="s">
        <v>1085</v>
      </c>
    </row>
    <row r="999" spans="1:6" x14ac:dyDescent="0.25">
      <c r="A999" t="s">
        <v>65</v>
      </c>
      <c r="C999" s="3">
        <v>200000</v>
      </c>
    </row>
    <row r="1000" spans="1:6" x14ac:dyDescent="0.25">
      <c r="A1000" s="29" t="s">
        <v>1098</v>
      </c>
      <c r="B1000" s="30"/>
      <c r="C1000" s="31">
        <v>0</v>
      </c>
    </row>
    <row r="1001" spans="1:6" x14ac:dyDescent="0.25">
      <c r="A1001" s="18" t="s">
        <v>1086</v>
      </c>
      <c r="C1001" s="3">
        <v>11000000</v>
      </c>
      <c r="E1001" s="13" t="s">
        <v>1087</v>
      </c>
      <c r="F1001" s="25">
        <f>F997-C1000-C1001+C999</f>
        <v>154620000</v>
      </c>
    </row>
    <row r="1002" spans="1:6" x14ac:dyDescent="0.25">
      <c r="A1002" s="4" t="s">
        <v>1088</v>
      </c>
    </row>
    <row r="1003" spans="1:6" x14ac:dyDescent="0.25">
      <c r="A1003" s="87" t="s">
        <v>1308</v>
      </c>
      <c r="B1003" s="79"/>
      <c r="C1003" s="80"/>
    </row>
    <row r="1004" spans="1:6" x14ac:dyDescent="0.25">
      <c r="A1004" t="s">
        <v>1089</v>
      </c>
      <c r="C1004" s="3">
        <v>1718000</v>
      </c>
    </row>
    <row r="1005" spans="1:6" x14ac:dyDescent="0.25">
      <c r="A1005" t="s">
        <v>1090</v>
      </c>
      <c r="C1005" s="3">
        <v>535000</v>
      </c>
    </row>
    <row r="1006" spans="1:6" x14ac:dyDescent="0.25">
      <c r="A1006" t="s">
        <v>1091</v>
      </c>
      <c r="C1006" s="3">
        <v>2955000</v>
      </c>
    </row>
    <row r="1007" spans="1:6" x14ac:dyDescent="0.25">
      <c r="A1007" t="s">
        <v>1092</v>
      </c>
      <c r="C1007" s="3">
        <v>7000000</v>
      </c>
    </row>
    <row r="1008" spans="1:6" x14ac:dyDescent="0.25">
      <c r="A1008" t="s">
        <v>1093</v>
      </c>
      <c r="C1008" s="3">
        <v>1500000</v>
      </c>
      <c r="E1008" s="13" t="s">
        <v>1094</v>
      </c>
      <c r="F1008" s="25">
        <f>F1001-C1003-C1004-C1005-C1006-C1007-C1008</f>
        <v>140912000</v>
      </c>
    </row>
    <row r="1009" spans="1:6" x14ac:dyDescent="0.25">
      <c r="A1009" s="4" t="s">
        <v>1095</v>
      </c>
    </row>
    <row r="1010" spans="1:6" x14ac:dyDescent="0.25">
      <c r="A1010" t="s">
        <v>611</v>
      </c>
      <c r="C1010" s="3">
        <v>500000</v>
      </c>
    </row>
    <row r="1011" spans="1:6" x14ac:dyDescent="0.25">
      <c r="A1011" t="s">
        <v>1096</v>
      </c>
      <c r="C1011" s="3">
        <v>589000</v>
      </c>
    </row>
    <row r="1012" spans="1:6" x14ac:dyDescent="0.25">
      <c r="A1012" t="s">
        <v>1097</v>
      </c>
      <c r="C1012" s="3">
        <v>728000</v>
      </c>
    </row>
    <row r="1013" spans="1:6" x14ac:dyDescent="0.25">
      <c r="A1013" t="s">
        <v>1099</v>
      </c>
      <c r="C1013" s="3">
        <v>17000000</v>
      </c>
    </row>
    <row r="1014" spans="1:6" x14ac:dyDescent="0.25">
      <c r="A1014" t="s">
        <v>1100</v>
      </c>
      <c r="C1014" s="3">
        <v>196000</v>
      </c>
    </row>
    <row r="1015" spans="1:6" x14ac:dyDescent="0.25">
      <c r="A1015" t="s">
        <v>1101</v>
      </c>
      <c r="C1015" s="3">
        <v>765000</v>
      </c>
      <c r="E1015" s="13" t="s">
        <v>1102</v>
      </c>
      <c r="F1015" s="25">
        <f>F1008+C1010-C1011-C1012+C1013-C1014-C1015</f>
        <v>156134000</v>
      </c>
    </row>
    <row r="1016" spans="1:6" x14ac:dyDescent="0.25">
      <c r="A1016" s="4" t="s">
        <v>1103</v>
      </c>
    </row>
    <row r="1017" spans="1:6" x14ac:dyDescent="0.25">
      <c r="A1017" t="s">
        <v>1104</v>
      </c>
      <c r="C1017" s="3">
        <v>59000</v>
      </c>
    </row>
    <row r="1018" spans="1:6" x14ac:dyDescent="0.25">
      <c r="A1018" t="s">
        <v>1105</v>
      </c>
      <c r="C1018" s="3">
        <v>974000</v>
      </c>
    </row>
    <row r="1019" spans="1:6" x14ac:dyDescent="0.25">
      <c r="A1019" t="s">
        <v>790</v>
      </c>
      <c r="C1019" s="3">
        <v>150000</v>
      </c>
    </row>
    <row r="1020" spans="1:6" x14ac:dyDescent="0.25">
      <c r="A1020" t="s">
        <v>1079</v>
      </c>
      <c r="C1020" s="3">
        <v>225000</v>
      </c>
    </row>
    <row r="1021" spans="1:6" x14ac:dyDescent="0.25">
      <c r="A1021" t="s">
        <v>924</v>
      </c>
      <c r="C1021" s="3">
        <v>303000</v>
      </c>
      <c r="E1021" s="13" t="s">
        <v>1106</v>
      </c>
      <c r="F1021" s="25">
        <f>F1015-C1017-C1018-C1019-C1021-C1020</f>
        <v>154423000</v>
      </c>
    </row>
    <row r="1022" spans="1:6" x14ac:dyDescent="0.25">
      <c r="A1022" s="4" t="s">
        <v>1107</v>
      </c>
    </row>
    <row r="1023" spans="1:6" x14ac:dyDescent="0.25">
      <c r="A1023" t="s">
        <v>1108</v>
      </c>
      <c r="C1023" s="3">
        <v>2500000</v>
      </c>
    </row>
    <row r="1024" spans="1:6" x14ac:dyDescent="0.25">
      <c r="A1024" t="s">
        <v>924</v>
      </c>
      <c r="C1024" s="3">
        <v>260000</v>
      </c>
    </row>
    <row r="1025" spans="1:6" x14ac:dyDescent="0.25">
      <c r="A1025" t="s">
        <v>1109</v>
      </c>
      <c r="C1025" s="3">
        <v>824000</v>
      </c>
      <c r="E1025" s="13" t="s">
        <v>1110</v>
      </c>
      <c r="F1025" s="25">
        <f>F1021-C1023-C1024-C1025</f>
        <v>150839000</v>
      </c>
    </row>
    <row r="1026" spans="1:6" x14ac:dyDescent="0.25">
      <c r="A1026" s="4" t="s">
        <v>1111</v>
      </c>
    </row>
    <row r="1027" spans="1:6" x14ac:dyDescent="0.25">
      <c r="A1027" t="s">
        <v>1112</v>
      </c>
      <c r="C1027" s="3">
        <v>3000000</v>
      </c>
    </row>
    <row r="1028" spans="1:6" x14ac:dyDescent="0.25">
      <c r="A1028" t="s">
        <v>1113</v>
      </c>
      <c r="C1028" s="3">
        <v>500000</v>
      </c>
    </row>
    <row r="1029" spans="1:6" x14ac:dyDescent="0.25">
      <c r="A1029" t="s">
        <v>1114</v>
      </c>
      <c r="C1029" s="3">
        <v>2000000</v>
      </c>
    </row>
    <row r="1030" spans="1:6" x14ac:dyDescent="0.25">
      <c r="A1030" t="s">
        <v>1115</v>
      </c>
      <c r="C1030" s="3">
        <v>4000000</v>
      </c>
    </row>
    <row r="1031" spans="1:6" x14ac:dyDescent="0.25">
      <c r="A1031" t="s">
        <v>1116</v>
      </c>
      <c r="C1031" s="3">
        <v>3350000</v>
      </c>
    </row>
    <row r="1032" spans="1:6" x14ac:dyDescent="0.25">
      <c r="A1032" t="s">
        <v>790</v>
      </c>
      <c r="C1032" s="3">
        <v>250000</v>
      </c>
    </row>
    <row r="1033" spans="1:6" x14ac:dyDescent="0.25">
      <c r="A1033" t="s">
        <v>1117</v>
      </c>
      <c r="C1033" s="3">
        <v>1630000</v>
      </c>
    </row>
    <row r="1034" spans="1:6" x14ac:dyDescent="0.25">
      <c r="A1034" t="s">
        <v>1101</v>
      </c>
      <c r="C1034" s="3">
        <v>994000</v>
      </c>
      <c r="E1034" s="13" t="s">
        <v>1118</v>
      </c>
      <c r="F1034" s="25">
        <f>F1025+C1027+C1028+C1029+C1030-C1031-C1032-C1033-C1034</f>
        <v>154115000</v>
      </c>
    </row>
    <row r="1035" spans="1:6" x14ac:dyDescent="0.25">
      <c r="A1035" s="4" t="s">
        <v>1119</v>
      </c>
    </row>
    <row r="1036" spans="1:6" x14ac:dyDescent="0.25">
      <c r="A1036" t="s">
        <v>1109</v>
      </c>
      <c r="C1036" s="3">
        <v>2305000</v>
      </c>
    </row>
    <row r="1037" spans="1:6" x14ac:dyDescent="0.25">
      <c r="A1037" t="s">
        <v>1120</v>
      </c>
      <c r="C1037" s="3">
        <v>114000</v>
      </c>
    </row>
    <row r="1038" spans="1:6" x14ac:dyDescent="0.25">
      <c r="A1038" t="s">
        <v>1121</v>
      </c>
      <c r="C1038" s="3">
        <v>500000</v>
      </c>
    </row>
    <row r="1039" spans="1:6" x14ac:dyDescent="0.25">
      <c r="A1039" t="s">
        <v>1122</v>
      </c>
      <c r="C1039" s="3">
        <v>534000</v>
      </c>
      <c r="E1039" s="13" t="s">
        <v>1123</v>
      </c>
      <c r="F1039" s="25">
        <f>F1034-C1036-C1037-C1038-C1039</f>
        <v>150662000</v>
      </c>
    </row>
    <row r="1040" spans="1:6" x14ac:dyDescent="0.25">
      <c r="A1040" s="4" t="s">
        <v>1124</v>
      </c>
    </row>
    <row r="1041" spans="1:6" x14ac:dyDescent="0.25">
      <c r="A1041" t="s">
        <v>996</v>
      </c>
      <c r="C1041" s="3">
        <v>190000</v>
      </c>
    </row>
    <row r="1042" spans="1:6" x14ac:dyDescent="0.25">
      <c r="A1042" t="s">
        <v>1125</v>
      </c>
      <c r="C1042" s="3">
        <v>675000</v>
      </c>
    </row>
    <row r="1043" spans="1:6" x14ac:dyDescent="0.25">
      <c r="A1043" t="s">
        <v>1126</v>
      </c>
      <c r="C1043" s="3">
        <v>330000</v>
      </c>
      <c r="E1043" s="13" t="s">
        <v>1127</v>
      </c>
      <c r="F1043" s="25">
        <f>F1039-C1041-C1042-C1043</f>
        <v>149467000</v>
      </c>
    </row>
    <row r="1044" spans="1:6" x14ac:dyDescent="0.25">
      <c r="A1044" s="4" t="s">
        <v>1129</v>
      </c>
      <c r="F1044" s="6" t="s">
        <v>1128</v>
      </c>
    </row>
    <row r="1045" spans="1:6" x14ac:dyDescent="0.25">
      <c r="A1045" t="s">
        <v>1130</v>
      </c>
      <c r="C1045" s="3">
        <v>55555000</v>
      </c>
    </row>
    <row r="1046" spans="1:6" x14ac:dyDescent="0.25">
      <c r="A1046" t="s">
        <v>205</v>
      </c>
      <c r="C1046" s="3">
        <v>195000</v>
      </c>
    </row>
    <row r="1047" spans="1:6" x14ac:dyDescent="0.25">
      <c r="A1047" t="s">
        <v>924</v>
      </c>
      <c r="C1047" s="3">
        <v>130000</v>
      </c>
    </row>
    <row r="1048" spans="1:6" x14ac:dyDescent="0.25">
      <c r="A1048" t="s">
        <v>1131</v>
      </c>
      <c r="C1048" s="3">
        <v>305000</v>
      </c>
      <c r="E1048" s="13" t="s">
        <v>1133</v>
      </c>
      <c r="F1048" s="25">
        <f>F1043+C1045-C1046-C1047-C1048</f>
        <v>204392000</v>
      </c>
    </row>
    <row r="1049" spans="1:6" x14ac:dyDescent="0.25">
      <c r="A1049" s="4" t="s">
        <v>1132</v>
      </c>
    </row>
    <row r="1050" spans="1:6" x14ac:dyDescent="0.25">
      <c r="A1050" t="s">
        <v>1083</v>
      </c>
      <c r="C1050" s="3">
        <v>670000</v>
      </c>
    </row>
    <row r="1051" spans="1:6" x14ac:dyDescent="0.25">
      <c r="A1051" t="s">
        <v>1120</v>
      </c>
      <c r="C1051" s="3">
        <v>330000</v>
      </c>
    </row>
    <row r="1052" spans="1:6" x14ac:dyDescent="0.25">
      <c r="A1052" t="s">
        <v>1109</v>
      </c>
      <c r="C1052" s="3">
        <v>1804000</v>
      </c>
      <c r="E1052" s="13" t="s">
        <v>1134</v>
      </c>
      <c r="F1052" s="25">
        <f>F1048-C1050-C1051-C1052</f>
        <v>201588000</v>
      </c>
    </row>
    <row r="1053" spans="1:6" x14ac:dyDescent="0.25">
      <c r="A1053" s="4" t="s">
        <v>1135</v>
      </c>
    </row>
    <row r="1054" spans="1:6" x14ac:dyDescent="0.25">
      <c r="A1054" t="s">
        <v>1120</v>
      </c>
      <c r="C1054" s="3">
        <v>208000</v>
      </c>
    </row>
    <row r="1055" spans="1:6" x14ac:dyDescent="0.25">
      <c r="A1055" t="s">
        <v>1109</v>
      </c>
      <c r="C1055" s="3">
        <v>525000</v>
      </c>
      <c r="E1055" s="13" t="s">
        <v>1136</v>
      </c>
      <c r="F1055" s="25">
        <f>F1052-C1054-C1055</f>
        <v>200855000</v>
      </c>
    </row>
    <row r="1056" spans="1:6" x14ac:dyDescent="0.25">
      <c r="A1056" s="4" t="s">
        <v>1137</v>
      </c>
    </row>
    <row r="1057" spans="1:6" x14ac:dyDescent="0.25">
      <c r="A1057" t="s">
        <v>1108</v>
      </c>
      <c r="C1057" s="3">
        <v>1200000</v>
      </c>
    </row>
    <row r="1058" spans="1:6" x14ac:dyDescent="0.25">
      <c r="A1058" t="s">
        <v>1138</v>
      </c>
      <c r="C1058" s="3">
        <v>52500000</v>
      </c>
    </row>
    <row r="1059" spans="1:6" x14ac:dyDescent="0.25">
      <c r="A1059" t="s">
        <v>1139</v>
      </c>
      <c r="C1059" s="3">
        <v>241000</v>
      </c>
    </row>
    <row r="1060" spans="1:6" x14ac:dyDescent="0.25">
      <c r="A1060" t="s">
        <v>924</v>
      </c>
      <c r="C1060" s="3">
        <v>658000</v>
      </c>
      <c r="E1060" s="13" t="s">
        <v>1140</v>
      </c>
      <c r="F1060" s="25">
        <f>F1055-C1057+C1058-C1059-C1060</f>
        <v>251256000</v>
      </c>
    </row>
    <row r="1061" spans="1:6" x14ac:dyDescent="0.25">
      <c r="A1061" s="4" t="s">
        <v>1141</v>
      </c>
    </row>
    <row r="1062" spans="1:6" x14ac:dyDescent="0.25">
      <c r="A1062" t="s">
        <v>1142</v>
      </c>
      <c r="C1062" s="3">
        <v>1396000</v>
      </c>
      <c r="E1062" s="13" t="s">
        <v>1143</v>
      </c>
      <c r="F1062" s="25">
        <f>F1060-C1062</f>
        <v>249860000</v>
      </c>
    </row>
    <row r="1063" spans="1:6" x14ac:dyDescent="0.25">
      <c r="A1063" s="4" t="s">
        <v>1144</v>
      </c>
    </row>
    <row r="1064" spans="1:6" x14ac:dyDescent="0.25">
      <c r="A1064" t="s">
        <v>1142</v>
      </c>
      <c r="C1064" s="3">
        <v>275000</v>
      </c>
      <c r="E1064" s="13" t="s">
        <v>1145</v>
      </c>
      <c r="F1064" s="25">
        <f>F1062-C1064</f>
        <v>249585000</v>
      </c>
    </row>
    <row r="1065" spans="1:6" x14ac:dyDescent="0.25">
      <c r="A1065" s="4" t="s">
        <v>1146</v>
      </c>
    </row>
    <row r="1066" spans="1:6" x14ac:dyDescent="0.25">
      <c r="A1066" t="s">
        <v>1147</v>
      </c>
      <c r="C1066" s="3">
        <v>500000</v>
      </c>
    </row>
    <row r="1067" spans="1:6" x14ac:dyDescent="0.25">
      <c r="A1067" t="s">
        <v>1142</v>
      </c>
      <c r="C1067" s="3">
        <v>770000</v>
      </c>
    </row>
    <row r="1068" spans="1:6" x14ac:dyDescent="0.25">
      <c r="A1068" t="s">
        <v>1120</v>
      </c>
      <c r="C1068" s="3">
        <v>1586000</v>
      </c>
      <c r="E1068" s="13" t="s">
        <v>1148</v>
      </c>
      <c r="F1068" s="25">
        <f>F1064+C1066-C1067-C1068</f>
        <v>247729000</v>
      </c>
    </row>
    <row r="1069" spans="1:6" x14ac:dyDescent="0.25">
      <c r="A1069" s="4" t="s">
        <v>1150</v>
      </c>
    </row>
    <row r="1070" spans="1:6" x14ac:dyDescent="0.25">
      <c r="A1070" s="18" t="s">
        <v>1152</v>
      </c>
      <c r="C1070" s="3">
        <v>500000</v>
      </c>
    </row>
    <row r="1071" spans="1:6" x14ac:dyDescent="0.25">
      <c r="A1071" t="s">
        <v>1142</v>
      </c>
      <c r="C1071" s="3">
        <v>1374000</v>
      </c>
      <c r="E1071" s="13" t="s">
        <v>1151</v>
      </c>
      <c r="F1071" s="25">
        <f>F1068-C1071-C1070</f>
        <v>245855000</v>
      </c>
    </row>
    <row r="1072" spans="1:6" x14ac:dyDescent="0.25">
      <c r="A1072" s="4" t="s">
        <v>1153</v>
      </c>
    </row>
    <row r="1073" spans="1:6" x14ac:dyDescent="0.25">
      <c r="A1073" t="s">
        <v>1142</v>
      </c>
      <c r="C1073" s="3">
        <v>650000</v>
      </c>
    </row>
    <row r="1074" spans="1:6" x14ac:dyDescent="0.25">
      <c r="A1074" t="s">
        <v>1120</v>
      </c>
      <c r="C1074" s="3">
        <v>430000</v>
      </c>
    </row>
    <row r="1075" spans="1:6" x14ac:dyDescent="0.25">
      <c r="A1075" t="s">
        <v>1154</v>
      </c>
      <c r="C1075" s="3">
        <v>367000</v>
      </c>
      <c r="E1075" s="13" t="s">
        <v>1155</v>
      </c>
      <c r="F1075" s="25">
        <f>F1071-C1073-C1074-C1075</f>
        <v>244408000</v>
      </c>
    </row>
    <row r="1076" spans="1:6" x14ac:dyDescent="0.25">
      <c r="A1076" s="4" t="s">
        <v>1156</v>
      </c>
    </row>
    <row r="1077" spans="1:6" x14ac:dyDescent="0.25">
      <c r="A1077" t="s">
        <v>1157</v>
      </c>
      <c r="C1077" s="3">
        <v>10000000</v>
      </c>
    </row>
    <row r="1078" spans="1:6" x14ac:dyDescent="0.25">
      <c r="A1078" t="s">
        <v>1158</v>
      </c>
      <c r="C1078" s="3">
        <v>10852000</v>
      </c>
    </row>
    <row r="1079" spans="1:6" x14ac:dyDescent="0.25">
      <c r="A1079" t="s">
        <v>1159</v>
      </c>
      <c r="C1079" s="3">
        <v>10000000</v>
      </c>
    </row>
    <row r="1080" spans="1:6" x14ac:dyDescent="0.25">
      <c r="A1080" t="s">
        <v>1142</v>
      </c>
      <c r="C1080" s="3">
        <v>183000</v>
      </c>
    </row>
    <row r="1081" spans="1:6" x14ac:dyDescent="0.25">
      <c r="A1081" t="s">
        <v>1160</v>
      </c>
      <c r="C1081" s="3">
        <v>5128000</v>
      </c>
    </row>
    <row r="1082" spans="1:6" x14ac:dyDescent="0.25">
      <c r="A1082" t="s">
        <v>1161</v>
      </c>
      <c r="C1082" s="3">
        <v>1500000</v>
      </c>
    </row>
    <row r="1083" spans="1:6" x14ac:dyDescent="0.25">
      <c r="A1083" t="s">
        <v>1162</v>
      </c>
      <c r="C1083" s="3">
        <v>7000000</v>
      </c>
    </row>
    <row r="1084" spans="1:6" x14ac:dyDescent="0.25">
      <c r="A1084" t="s">
        <v>1163</v>
      </c>
      <c r="C1084" s="3">
        <v>3000000</v>
      </c>
      <c r="E1084" s="13" t="s">
        <v>1164</v>
      </c>
      <c r="F1084" s="25">
        <f>F1075-C1077-C1078+C1079-C1080-C1081-C1082-C1083-C1084</f>
        <v>216745000</v>
      </c>
    </row>
    <row r="1085" spans="1:6" x14ac:dyDescent="0.25">
      <c r="A1085" s="4" t="s">
        <v>1165</v>
      </c>
    </row>
    <row r="1086" spans="1:6" x14ac:dyDescent="0.25">
      <c r="A1086" s="88" t="s">
        <v>1166</v>
      </c>
      <c r="B1086" s="89"/>
      <c r="C1086" s="90">
        <v>1690000</v>
      </c>
    </row>
    <row r="1087" spans="1:6" x14ac:dyDescent="0.25">
      <c r="A1087" t="s">
        <v>1167</v>
      </c>
      <c r="C1087" s="3">
        <v>2548000</v>
      </c>
      <c r="E1087" s="13" t="s">
        <v>1168</v>
      </c>
      <c r="F1087" s="25">
        <f>F1084+C1086-C1087</f>
        <v>215887000</v>
      </c>
    </row>
    <row r="1088" spans="1:6" x14ac:dyDescent="0.25">
      <c r="A1088" s="4" t="s">
        <v>1169</v>
      </c>
    </row>
    <row r="1089" spans="1:6" x14ac:dyDescent="0.25">
      <c r="A1089" t="s">
        <v>1170</v>
      </c>
      <c r="C1089" s="3">
        <v>10000000</v>
      </c>
    </row>
    <row r="1090" spans="1:6" x14ac:dyDescent="0.25">
      <c r="A1090" t="s">
        <v>1142</v>
      </c>
      <c r="C1090" s="3">
        <v>1082000</v>
      </c>
      <c r="E1090" s="13" t="s">
        <v>1171</v>
      </c>
      <c r="F1090" s="25">
        <f>F1087+C1089-C1090</f>
        <v>224805000</v>
      </c>
    </row>
    <row r="1091" spans="1:6" x14ac:dyDescent="0.25">
      <c r="A1091" s="4" t="s">
        <v>1172</v>
      </c>
    </row>
    <row r="1092" spans="1:6" x14ac:dyDescent="0.25">
      <c r="A1092" t="s">
        <v>1142</v>
      </c>
      <c r="C1092" s="3">
        <v>279000</v>
      </c>
      <c r="E1092" s="13" t="s">
        <v>1173</v>
      </c>
      <c r="F1092" s="25">
        <f>F1090-C1092</f>
        <v>224526000</v>
      </c>
    </row>
    <row r="1093" spans="1:6" x14ac:dyDescent="0.25">
      <c r="A1093" s="4" t="s">
        <v>1176</v>
      </c>
    </row>
    <row r="1094" spans="1:6" x14ac:dyDescent="0.25">
      <c r="A1094" t="s">
        <v>1175</v>
      </c>
      <c r="C1094" s="3">
        <v>17000000</v>
      </c>
      <c r="D1094" t="s">
        <v>1128</v>
      </c>
    </row>
    <row r="1095" spans="1:6" x14ac:dyDescent="0.25">
      <c r="A1095" s="18" t="s">
        <v>1174</v>
      </c>
      <c r="C1095" s="3">
        <v>233000</v>
      </c>
    </row>
    <row r="1096" spans="1:6" x14ac:dyDescent="0.25">
      <c r="A1096" s="18" t="s">
        <v>709</v>
      </c>
      <c r="C1096" s="3">
        <v>586000</v>
      </c>
    </row>
    <row r="1097" spans="1:6" x14ac:dyDescent="0.25">
      <c r="A1097" s="18" t="s">
        <v>1008</v>
      </c>
      <c r="C1097" s="3">
        <v>990000</v>
      </c>
    </row>
    <row r="1098" spans="1:6" x14ac:dyDescent="0.25">
      <c r="A1098" t="s">
        <v>1142</v>
      </c>
      <c r="C1098" s="3">
        <v>1718000</v>
      </c>
      <c r="E1098" s="13" t="s">
        <v>1177</v>
      </c>
      <c r="F1098" s="25">
        <f>F1092+C1094-C1095-C1096-C1098-C1097</f>
        <v>237999000</v>
      </c>
    </row>
    <row r="1099" spans="1:6" x14ac:dyDescent="0.25">
      <c r="A1099" s="4" t="s">
        <v>1178</v>
      </c>
    </row>
    <row r="1100" spans="1:6" x14ac:dyDescent="0.25">
      <c r="A1100" t="s">
        <v>1179</v>
      </c>
      <c r="C1100" s="3">
        <v>1595000</v>
      </c>
      <c r="E1100" s="13" t="s">
        <v>1180</v>
      </c>
      <c r="F1100" s="25">
        <f>F1098-C1100</f>
        <v>236404000</v>
      </c>
    </row>
    <row r="1101" spans="1:6" x14ac:dyDescent="0.25">
      <c r="A1101" s="4" t="s">
        <v>1181</v>
      </c>
    </row>
    <row r="1102" spans="1:6" x14ac:dyDescent="0.25">
      <c r="A1102" s="18" t="s">
        <v>1184</v>
      </c>
      <c r="C1102" s="3">
        <v>301000</v>
      </c>
    </row>
    <row r="1103" spans="1:6" x14ac:dyDescent="0.25">
      <c r="A1103" t="s">
        <v>1182</v>
      </c>
      <c r="C1103" s="3">
        <v>8100000</v>
      </c>
      <c r="E1103" s="13" t="s">
        <v>1183</v>
      </c>
      <c r="F1103" s="25">
        <f>F1100-C1103-C1102</f>
        <v>228003000</v>
      </c>
    </row>
    <row r="1104" spans="1:6" x14ac:dyDescent="0.25">
      <c r="A1104" s="4" t="s">
        <v>1185</v>
      </c>
    </row>
    <row r="1105" spans="1:6" x14ac:dyDescent="0.25">
      <c r="A1105" s="18" t="s">
        <v>1184</v>
      </c>
      <c r="C1105" s="3">
        <v>394000</v>
      </c>
      <c r="E1105" s="13" t="s">
        <v>1186</v>
      </c>
      <c r="F1105" s="25">
        <f>F1103-C1105</f>
        <v>227609000</v>
      </c>
    </row>
    <row r="1106" spans="1:6" x14ac:dyDescent="0.25">
      <c r="A1106" s="4" t="s">
        <v>1187</v>
      </c>
    </row>
    <row r="1107" spans="1:6" x14ac:dyDescent="0.25">
      <c r="A1107" s="18" t="s">
        <v>1184</v>
      </c>
      <c r="C1107" s="3">
        <v>122000</v>
      </c>
    </row>
    <row r="1108" spans="1:6" x14ac:dyDescent="0.25">
      <c r="A1108" s="18" t="s">
        <v>636</v>
      </c>
      <c r="C1108" s="3">
        <v>270000</v>
      </c>
    </row>
    <row r="1109" spans="1:6" x14ac:dyDescent="0.25">
      <c r="A1109" s="18" t="s">
        <v>1188</v>
      </c>
      <c r="C1109" s="3">
        <v>982000</v>
      </c>
    </row>
    <row r="1110" spans="1:6" x14ac:dyDescent="0.25">
      <c r="A1110" s="18" t="s">
        <v>1191</v>
      </c>
      <c r="C1110" s="3">
        <v>1110000</v>
      </c>
    </row>
    <row r="1111" spans="1:6" x14ac:dyDescent="0.25">
      <c r="A1111" s="18" t="s">
        <v>1189</v>
      </c>
      <c r="C1111" s="3">
        <v>1000000</v>
      </c>
      <c r="E1111" s="13" t="s">
        <v>1190</v>
      </c>
      <c r="F1111" s="25">
        <f>F1105-C1107-C1108-C1109-C1111-C1110</f>
        <v>224125000</v>
      </c>
    </row>
    <row r="1112" spans="1:6" x14ac:dyDescent="0.25">
      <c r="A1112" s="4" t="s">
        <v>1192</v>
      </c>
      <c r="F1112" s="6" t="s">
        <v>1128</v>
      </c>
    </row>
    <row r="1113" spans="1:6" x14ac:dyDescent="0.25">
      <c r="A1113" s="18" t="s">
        <v>1193</v>
      </c>
      <c r="C1113" s="3">
        <v>77000</v>
      </c>
    </row>
    <row r="1114" spans="1:6" x14ac:dyDescent="0.25">
      <c r="A1114" s="18" t="s">
        <v>1218</v>
      </c>
      <c r="C1114" s="3">
        <v>69700000</v>
      </c>
      <c r="E1114" s="13" t="s">
        <v>1195</v>
      </c>
      <c r="F1114" s="25">
        <f>F1111-C1113+C1114</f>
        <v>293748000</v>
      </c>
    </row>
    <row r="1115" spans="1:6" x14ac:dyDescent="0.25">
      <c r="A1115" s="4" t="s">
        <v>1196</v>
      </c>
    </row>
    <row r="1116" spans="1:6" x14ac:dyDescent="0.25">
      <c r="A1116" s="18" t="s">
        <v>1197</v>
      </c>
      <c r="C1116" s="3">
        <v>1468000</v>
      </c>
    </row>
    <row r="1117" spans="1:6" x14ac:dyDescent="0.25">
      <c r="A1117" s="18" t="s">
        <v>1042</v>
      </c>
      <c r="C1117" s="3">
        <v>1200000</v>
      </c>
      <c r="E1117" s="13" t="s">
        <v>1200</v>
      </c>
      <c r="F1117" s="25">
        <f>F1114-C1116-C1117</f>
        <v>291080000</v>
      </c>
    </row>
    <row r="1118" spans="1:6" x14ac:dyDescent="0.25">
      <c r="A1118" s="4" t="s">
        <v>1198</v>
      </c>
    </row>
    <row r="1119" spans="1:6" x14ac:dyDescent="0.25">
      <c r="A1119" s="18" t="s">
        <v>1199</v>
      </c>
      <c r="C1119" s="3">
        <v>1162000</v>
      </c>
      <c r="E1119" s="13" t="s">
        <v>1201</v>
      </c>
      <c r="F1119" s="25">
        <f>F1117-C1119</f>
        <v>289918000</v>
      </c>
    </row>
    <row r="1120" spans="1:6" x14ac:dyDescent="0.25">
      <c r="A1120" s="4" t="s">
        <v>1202</v>
      </c>
    </row>
    <row r="1121" spans="1:6" x14ac:dyDescent="0.25">
      <c r="A1121" s="18" t="s">
        <v>1184</v>
      </c>
      <c r="C1121" s="3">
        <v>926000</v>
      </c>
    </row>
    <row r="1122" spans="1:6" x14ac:dyDescent="0.25">
      <c r="A1122" s="18" t="s">
        <v>1203</v>
      </c>
      <c r="C1122" s="3">
        <v>843000</v>
      </c>
      <c r="E1122" s="13" t="s">
        <v>1204</v>
      </c>
      <c r="F1122" s="25">
        <f>F1119-C1121-C1122</f>
        <v>288149000</v>
      </c>
    </row>
    <row r="1123" spans="1:6" x14ac:dyDescent="0.25">
      <c r="A1123" s="4" t="s">
        <v>1212</v>
      </c>
    </row>
    <row r="1124" spans="1:6" x14ac:dyDescent="0.25">
      <c r="A1124" s="18" t="s">
        <v>611</v>
      </c>
      <c r="C1124" s="3">
        <v>1200000</v>
      </c>
      <c r="E1124" s="13" t="s">
        <v>1205</v>
      </c>
      <c r="F1124" s="25">
        <f>F1122+C1124</f>
        <v>289349000</v>
      </c>
    </row>
    <row r="1125" spans="1:6" x14ac:dyDescent="0.25">
      <c r="A1125" s="4" t="s">
        <v>1206</v>
      </c>
    </row>
    <row r="1126" spans="1:6" x14ac:dyDescent="0.25">
      <c r="A1126" s="18" t="s">
        <v>1207</v>
      </c>
      <c r="C1126" s="3">
        <v>8200000</v>
      </c>
      <c r="E1126" s="13" t="s">
        <v>1205</v>
      </c>
      <c r="F1126" s="25">
        <f>F1124-C1126</f>
        <v>281149000</v>
      </c>
    </row>
    <row r="1127" spans="1:6" x14ac:dyDescent="0.25">
      <c r="A1127" s="4" t="s">
        <v>1208</v>
      </c>
    </row>
    <row r="1128" spans="1:6" x14ac:dyDescent="0.25">
      <c r="A1128" s="18" t="s">
        <v>690</v>
      </c>
      <c r="C1128" s="3">
        <v>1800000</v>
      </c>
    </row>
    <row r="1129" spans="1:6" x14ac:dyDescent="0.25">
      <c r="A1129" s="18" t="s">
        <v>924</v>
      </c>
      <c r="C1129" s="3">
        <v>472000</v>
      </c>
    </row>
    <row r="1130" spans="1:6" x14ac:dyDescent="0.25">
      <c r="A1130" s="18" t="s">
        <v>1214</v>
      </c>
      <c r="C1130" s="3">
        <v>300000</v>
      </c>
      <c r="E1130" s="13" t="s">
        <v>1210</v>
      </c>
      <c r="F1130" s="25">
        <f>F1126-C1128-C1129-C1130</f>
        <v>278577000</v>
      </c>
    </row>
    <row r="1131" spans="1:6" x14ac:dyDescent="0.25">
      <c r="A1131" s="4" t="s">
        <v>1209</v>
      </c>
    </row>
    <row r="1132" spans="1:6" x14ac:dyDescent="0.25">
      <c r="A1132" s="18" t="s">
        <v>1213</v>
      </c>
      <c r="C1132" s="3">
        <v>670000</v>
      </c>
      <c r="E1132" s="13" t="s">
        <v>1211</v>
      </c>
      <c r="F1132" s="25">
        <f>F1130-C1132</f>
        <v>277907000</v>
      </c>
    </row>
    <row r="1133" spans="1:6" x14ac:dyDescent="0.25">
      <c r="A1133" s="4" t="s">
        <v>1216</v>
      </c>
    </row>
    <row r="1134" spans="1:6" x14ac:dyDescent="0.25">
      <c r="A1134" s="18" t="s">
        <v>1101</v>
      </c>
      <c r="C1134" s="3">
        <v>415000</v>
      </c>
      <c r="E1134" s="13" t="s">
        <v>1215</v>
      </c>
      <c r="F1134" s="25">
        <f>F1132-C1134</f>
        <v>277492000</v>
      </c>
    </row>
    <row r="1135" spans="1:6" x14ac:dyDescent="0.25">
      <c r="A1135" s="4" t="s">
        <v>1217</v>
      </c>
    </row>
    <row r="1136" spans="1:6" x14ac:dyDescent="0.25">
      <c r="A1136" s="18" t="s">
        <v>1194</v>
      </c>
      <c r="C1136" s="3">
        <v>31000000</v>
      </c>
    </row>
    <row r="1137" spans="1:6" x14ac:dyDescent="0.25">
      <c r="A1137" s="18" t="s">
        <v>924</v>
      </c>
      <c r="C1137" s="3">
        <v>116000</v>
      </c>
    </row>
    <row r="1138" spans="1:6" x14ac:dyDescent="0.25">
      <c r="A1138" s="18" t="s">
        <v>1219</v>
      </c>
      <c r="C1138" s="3">
        <v>332000</v>
      </c>
    </row>
    <row r="1139" spans="1:6" x14ac:dyDescent="0.25">
      <c r="A1139" s="18" t="s">
        <v>1220</v>
      </c>
      <c r="C1139" s="3">
        <v>100000</v>
      </c>
    </row>
    <row r="1140" spans="1:6" x14ac:dyDescent="0.25">
      <c r="A1140" s="18" t="s">
        <v>1221</v>
      </c>
      <c r="C1140" s="3">
        <v>578000</v>
      </c>
    </row>
    <row r="1141" spans="1:6" x14ac:dyDescent="0.25">
      <c r="A1141" s="18" t="s">
        <v>1222</v>
      </c>
      <c r="C1141" s="3">
        <v>350000</v>
      </c>
      <c r="E1141" s="13" t="s">
        <v>1223</v>
      </c>
      <c r="F1141" s="25">
        <f>F1134+C1136-C1137-C1138-C1139-C1140-C1141</f>
        <v>307016000</v>
      </c>
    </row>
    <row r="1142" spans="1:6" x14ac:dyDescent="0.25">
      <c r="A1142" s="4" t="s">
        <v>1224</v>
      </c>
    </row>
    <row r="1143" spans="1:6" x14ac:dyDescent="0.25">
      <c r="A1143" s="18" t="s">
        <v>924</v>
      </c>
      <c r="C1143" s="3">
        <v>553000</v>
      </c>
    </row>
    <row r="1144" spans="1:6" x14ac:dyDescent="0.25">
      <c r="A1144" s="18" t="s">
        <v>1225</v>
      </c>
      <c r="C1144" s="3">
        <v>500000</v>
      </c>
      <c r="E1144" s="13" t="s">
        <v>1226</v>
      </c>
      <c r="F1144" s="25">
        <f>F1141-C1143-C1144</f>
        <v>305963000</v>
      </c>
    </row>
    <row r="1145" spans="1:6" x14ac:dyDescent="0.25">
      <c r="A1145" s="4" t="s">
        <v>1227</v>
      </c>
    </row>
    <row r="1146" spans="1:6" x14ac:dyDescent="0.25">
      <c r="A1146" s="18" t="s">
        <v>1228</v>
      </c>
      <c r="C1146" s="3">
        <v>850000</v>
      </c>
      <c r="E1146" s="13" t="s">
        <v>1229</v>
      </c>
      <c r="F1146" s="25">
        <f>F1144-C1146</f>
        <v>305113000</v>
      </c>
    </row>
    <row r="1147" spans="1:6" x14ac:dyDescent="0.25">
      <c r="A1147" s="4" t="s">
        <v>1231</v>
      </c>
    </row>
    <row r="1148" spans="1:6" x14ac:dyDescent="0.25">
      <c r="A1148" s="18" t="s">
        <v>1230</v>
      </c>
      <c r="C1148" s="3">
        <v>10462000</v>
      </c>
      <c r="E1148" s="27"/>
      <c r="F1148" s="28"/>
    </row>
    <row r="1149" spans="1:6" x14ac:dyDescent="0.25">
      <c r="A1149" s="18" t="s">
        <v>611</v>
      </c>
      <c r="C1149" s="3">
        <v>500000</v>
      </c>
      <c r="E1149" s="27"/>
      <c r="F1149" s="28"/>
    </row>
    <row r="1150" spans="1:6" x14ac:dyDescent="0.25">
      <c r="A1150" s="18" t="s">
        <v>924</v>
      </c>
      <c r="C1150" s="3">
        <v>715000</v>
      </c>
      <c r="E1150" s="13" t="s">
        <v>1232</v>
      </c>
      <c r="F1150" s="25">
        <f>F1146-C1148-C1150+C1149</f>
        <v>294436000</v>
      </c>
    </row>
    <row r="1151" spans="1:6" x14ac:dyDescent="0.25">
      <c r="A1151" s="4" t="s">
        <v>1233</v>
      </c>
    </row>
    <row r="1152" spans="1:6" x14ac:dyDescent="0.25">
      <c r="A1152" s="18" t="s">
        <v>1234</v>
      </c>
      <c r="C1152" s="3">
        <v>966000</v>
      </c>
      <c r="E1152" s="13" t="s">
        <v>1235</v>
      </c>
      <c r="F1152" s="25">
        <f>F1150-C1152</f>
        <v>293470000</v>
      </c>
    </row>
    <row r="1153" spans="1:6" x14ac:dyDescent="0.25">
      <c r="A1153" s="4" t="s">
        <v>1236</v>
      </c>
    </row>
    <row r="1154" spans="1:6" x14ac:dyDescent="0.25">
      <c r="A1154" s="18" t="s">
        <v>611</v>
      </c>
      <c r="C1154" s="3">
        <v>300000</v>
      </c>
    </row>
    <row r="1155" spans="1:6" x14ac:dyDescent="0.25">
      <c r="A1155" s="18" t="s">
        <v>1237</v>
      </c>
      <c r="C1155" s="3">
        <v>420000</v>
      </c>
    </row>
    <row r="1156" spans="1:6" x14ac:dyDescent="0.25">
      <c r="A1156" s="18" t="s">
        <v>1101</v>
      </c>
      <c r="C1156" s="3">
        <v>935000</v>
      </c>
      <c r="E1156" s="13" t="s">
        <v>1238</v>
      </c>
      <c r="F1156" s="25">
        <f>F1152-C1154-C1155-C1156</f>
        <v>291815000</v>
      </c>
    </row>
    <row r="1157" spans="1:6" x14ac:dyDescent="0.25">
      <c r="A1157" s="4" t="s">
        <v>1239</v>
      </c>
    </row>
    <row r="1158" spans="1:6" x14ac:dyDescent="0.25">
      <c r="A1158" s="18" t="s">
        <v>611</v>
      </c>
      <c r="C1158" s="3">
        <v>300000</v>
      </c>
    </row>
    <row r="1159" spans="1:6" x14ac:dyDescent="0.25">
      <c r="A1159" s="18" t="s">
        <v>1240</v>
      </c>
      <c r="C1159" s="3">
        <v>14000000</v>
      </c>
    </row>
    <row r="1160" spans="1:6" x14ac:dyDescent="0.25">
      <c r="A1160" s="18" t="s">
        <v>1241</v>
      </c>
      <c r="C1160" s="3">
        <v>25000000</v>
      </c>
    </row>
    <row r="1161" spans="1:6" x14ac:dyDescent="0.25">
      <c r="A1161" s="18" t="s">
        <v>1242</v>
      </c>
      <c r="C1161" s="3">
        <v>1641000</v>
      </c>
    </row>
    <row r="1162" spans="1:6" x14ac:dyDescent="0.25">
      <c r="A1162" s="18" t="s">
        <v>1243</v>
      </c>
      <c r="C1162" s="3">
        <v>7000000</v>
      </c>
    </row>
    <row r="1163" spans="1:6" x14ac:dyDescent="0.25">
      <c r="A1163" s="18" t="s">
        <v>1246</v>
      </c>
      <c r="C1163" s="3">
        <v>3000000</v>
      </c>
    </row>
    <row r="1164" spans="1:6" x14ac:dyDescent="0.25">
      <c r="A1164" s="18" t="s">
        <v>1244</v>
      </c>
      <c r="C1164" s="3">
        <v>1500000</v>
      </c>
      <c r="E1164" s="13" t="s">
        <v>1245</v>
      </c>
      <c r="F1164" s="25">
        <f>F1156+C1158+C1159+C1160-C1161-C1162-C1164-C1163</f>
        <v>317974000</v>
      </c>
    </row>
    <row r="1165" spans="1:6" x14ac:dyDescent="0.25">
      <c r="A1165" s="4" t="s">
        <v>1247</v>
      </c>
    </row>
    <row r="1166" spans="1:6" x14ac:dyDescent="0.25">
      <c r="A1166" s="78" t="s">
        <v>1251</v>
      </c>
      <c r="B1166" s="79"/>
      <c r="C1166" s="80">
        <v>200000000</v>
      </c>
    </row>
    <row r="1167" spans="1:6" x14ac:dyDescent="0.25">
      <c r="A1167" s="18" t="s">
        <v>1248</v>
      </c>
      <c r="C1167" s="3">
        <v>200000</v>
      </c>
    </row>
    <row r="1168" spans="1:6" x14ac:dyDescent="0.25">
      <c r="A1168" s="18" t="s">
        <v>1249</v>
      </c>
      <c r="C1168" s="3">
        <v>13700000</v>
      </c>
      <c r="E1168" s="13" t="s">
        <v>1250</v>
      </c>
      <c r="F1168" s="25">
        <f>F1164-C1167+C1168-C1166</f>
        <v>131474000</v>
      </c>
    </row>
    <row r="1169" spans="1:6" x14ac:dyDescent="0.25">
      <c r="A1169" s="4" t="s">
        <v>1252</v>
      </c>
    </row>
    <row r="1170" spans="1:6" x14ac:dyDescent="0.25">
      <c r="A1170" t="s">
        <v>1253</v>
      </c>
      <c r="C1170" s="3">
        <v>185000</v>
      </c>
    </row>
    <row r="1171" spans="1:6" x14ac:dyDescent="0.25">
      <c r="A1171" t="s">
        <v>1254</v>
      </c>
      <c r="C1171" s="3">
        <v>400000</v>
      </c>
    </row>
    <row r="1172" spans="1:6" x14ac:dyDescent="0.25">
      <c r="A1172" s="18" t="s">
        <v>924</v>
      </c>
      <c r="C1172" s="3">
        <v>222000</v>
      </c>
    </row>
    <row r="1173" spans="1:6" x14ac:dyDescent="0.25">
      <c r="A1173" s="18" t="s">
        <v>979</v>
      </c>
      <c r="C1173" s="3">
        <v>5430000</v>
      </c>
    </row>
    <row r="1174" spans="1:6" x14ac:dyDescent="0.25">
      <c r="A1174" s="18" t="s">
        <v>1131</v>
      </c>
      <c r="C1174" s="3">
        <v>190000</v>
      </c>
    </row>
    <row r="1175" spans="1:6" x14ac:dyDescent="0.25">
      <c r="A1175" s="18" t="s">
        <v>611</v>
      </c>
      <c r="C1175" s="3">
        <v>200000</v>
      </c>
      <c r="E1175" s="13" t="s">
        <v>1255</v>
      </c>
      <c r="F1175" s="25">
        <f>F1168-C1170-C1171-C1172-C1173+C1175-C1174</f>
        <v>125247000</v>
      </c>
    </row>
    <row r="1176" spans="1:6" x14ac:dyDescent="0.25">
      <c r="A1176" s="4" t="s">
        <v>1256</v>
      </c>
    </row>
    <row r="1177" spans="1:6" x14ac:dyDescent="0.25">
      <c r="A1177" s="18" t="s">
        <v>1257</v>
      </c>
      <c r="C1177" s="3">
        <v>555000</v>
      </c>
    </row>
    <row r="1178" spans="1:6" x14ac:dyDescent="0.25">
      <c r="A1178" s="18" t="s">
        <v>1258</v>
      </c>
      <c r="C1178" s="3">
        <v>5200000</v>
      </c>
      <c r="E1178" s="13" t="s">
        <v>1259</v>
      </c>
      <c r="F1178" s="25">
        <f>F1175-C1177+C1178</f>
        <v>129892000</v>
      </c>
    </row>
    <row r="1179" spans="1:6" x14ac:dyDescent="0.25">
      <c r="A1179" s="4" t="s">
        <v>1260</v>
      </c>
    </row>
    <row r="1180" spans="1:6" x14ac:dyDescent="0.25">
      <c r="A1180" s="18" t="s">
        <v>611</v>
      </c>
      <c r="C1180" s="3">
        <v>500000</v>
      </c>
      <c r="E1180" s="13" t="s">
        <v>1261</v>
      </c>
      <c r="F1180" s="25">
        <f>F1178+C1180</f>
        <v>130392000</v>
      </c>
    </row>
    <row r="1181" spans="1:6" x14ac:dyDescent="0.25">
      <c r="A1181" s="4" t="s">
        <v>1262</v>
      </c>
    </row>
    <row r="1182" spans="1:6" x14ac:dyDescent="0.25">
      <c r="A1182" s="18" t="s">
        <v>1263</v>
      </c>
      <c r="C1182" s="3">
        <v>2090000</v>
      </c>
    </row>
    <row r="1183" spans="1:6" x14ac:dyDescent="0.25">
      <c r="A1183" s="18" t="s">
        <v>1264</v>
      </c>
      <c r="C1183" s="3">
        <v>550000</v>
      </c>
      <c r="E1183" s="13" t="s">
        <v>1265</v>
      </c>
      <c r="F1183" s="25">
        <f>F1180-C1182-C1183</f>
        <v>127752000</v>
      </c>
    </row>
    <row r="1184" spans="1:6" x14ac:dyDescent="0.25">
      <c r="A1184" s="4" t="s">
        <v>1266</v>
      </c>
    </row>
    <row r="1185" spans="1:6" x14ac:dyDescent="0.25">
      <c r="A1185" s="18" t="s">
        <v>1267</v>
      </c>
      <c r="C1185" s="3">
        <v>474000</v>
      </c>
      <c r="E1185" s="13" t="s">
        <v>1268</v>
      </c>
      <c r="F1185" s="25">
        <f>F1183-C1185</f>
        <v>127278000</v>
      </c>
    </row>
    <row r="1186" spans="1:6" x14ac:dyDescent="0.25">
      <c r="A1186" s="4" t="s">
        <v>1269</v>
      </c>
    </row>
    <row r="1187" spans="1:6" x14ac:dyDescent="0.25">
      <c r="A1187" s="18" t="s">
        <v>1270</v>
      </c>
      <c r="C1187" s="3">
        <v>1950000</v>
      </c>
    </row>
    <row r="1188" spans="1:6" x14ac:dyDescent="0.25">
      <c r="A1188" s="18" t="s">
        <v>690</v>
      </c>
      <c r="C1188" s="3">
        <v>1020000</v>
      </c>
      <c r="E1188" s="13" t="s">
        <v>1271</v>
      </c>
      <c r="F1188" s="25">
        <f>F1185-C1187-C1188</f>
        <v>124308000</v>
      </c>
    </row>
    <row r="1189" spans="1:6" x14ac:dyDescent="0.25">
      <c r="A1189" s="4" t="s">
        <v>1272</v>
      </c>
    </row>
    <row r="1190" spans="1:6" x14ac:dyDescent="0.25">
      <c r="A1190" s="18" t="s">
        <v>1273</v>
      </c>
      <c r="C1190" s="3">
        <v>37000000</v>
      </c>
    </row>
    <row r="1191" spans="1:6" x14ac:dyDescent="0.25">
      <c r="A1191" s="18" t="s">
        <v>1274</v>
      </c>
      <c r="C1191" s="3">
        <v>2067000</v>
      </c>
    </row>
    <row r="1192" spans="1:6" x14ac:dyDescent="0.25">
      <c r="A1192" s="18" t="s">
        <v>205</v>
      </c>
      <c r="C1192" s="3">
        <v>300000</v>
      </c>
      <c r="E1192" s="13" t="s">
        <v>1275</v>
      </c>
      <c r="F1192" s="25">
        <f>F1188+C1190-C1191-C1192</f>
        <v>158941000</v>
      </c>
    </row>
    <row r="1193" spans="1:6" x14ac:dyDescent="0.25">
      <c r="A1193" s="4" t="s">
        <v>1276</v>
      </c>
    </row>
    <row r="1194" spans="1:6" x14ac:dyDescent="0.25">
      <c r="A1194" s="18" t="s">
        <v>1277</v>
      </c>
      <c r="C1194" s="3">
        <v>1000000</v>
      </c>
    </row>
    <row r="1195" spans="1:6" x14ac:dyDescent="0.25">
      <c r="A1195" s="18" t="s">
        <v>1278</v>
      </c>
      <c r="C1195" s="3">
        <v>500000</v>
      </c>
    </row>
    <row r="1196" spans="1:6" x14ac:dyDescent="0.25">
      <c r="A1196" s="18" t="s">
        <v>1279</v>
      </c>
      <c r="C1196" s="3">
        <v>500000</v>
      </c>
    </row>
    <row r="1197" spans="1:6" x14ac:dyDescent="0.25">
      <c r="A1197" s="18" t="s">
        <v>1280</v>
      </c>
      <c r="C1197" s="3">
        <v>192000</v>
      </c>
      <c r="E1197" s="13" t="s">
        <v>1281</v>
      </c>
      <c r="F1197" s="25">
        <f>F1192-C1194-C1195-C1196-C1197</f>
        <v>156749000</v>
      </c>
    </row>
    <row r="1198" spans="1:6" x14ac:dyDescent="0.25">
      <c r="A1198" s="4" t="s">
        <v>1282</v>
      </c>
    </row>
    <row r="1199" spans="1:6" x14ac:dyDescent="0.25">
      <c r="A1199" s="18" t="s">
        <v>1283</v>
      </c>
      <c r="C1199" s="3">
        <v>234000</v>
      </c>
      <c r="E1199" s="13" t="s">
        <v>1284</v>
      </c>
      <c r="F1199" s="25">
        <f>F1197-C1199</f>
        <v>156515000</v>
      </c>
    </row>
    <row r="1200" spans="1:6" x14ac:dyDescent="0.25">
      <c r="A1200" s="4" t="s">
        <v>1285</v>
      </c>
    </row>
    <row r="1201" spans="1:6" x14ac:dyDescent="0.25">
      <c r="A1201" s="18" t="s">
        <v>1288</v>
      </c>
      <c r="C1201" s="3">
        <v>250000</v>
      </c>
    </row>
    <row r="1202" spans="1:6" x14ac:dyDescent="0.25">
      <c r="A1202" s="18" t="s">
        <v>1286</v>
      </c>
      <c r="C1202" s="3">
        <v>23000000</v>
      </c>
      <c r="E1202" s="13" t="s">
        <v>1287</v>
      </c>
      <c r="F1202" s="25">
        <f>F1199+C1202-C1201</f>
        <v>179265000</v>
      </c>
    </row>
    <row r="1203" spans="1:6" x14ac:dyDescent="0.25">
      <c r="A1203" s="4" t="s">
        <v>1289</v>
      </c>
    </row>
    <row r="1204" spans="1:6" x14ac:dyDescent="0.25">
      <c r="A1204" s="18" t="s">
        <v>611</v>
      </c>
      <c r="C1204" s="3">
        <v>500000</v>
      </c>
    </row>
    <row r="1205" spans="1:6" x14ac:dyDescent="0.25">
      <c r="A1205" s="18" t="s">
        <v>1290</v>
      </c>
      <c r="C1205" s="3">
        <v>200000</v>
      </c>
      <c r="E1205" s="13" t="s">
        <v>1291</v>
      </c>
      <c r="F1205" s="25">
        <f>F1202-C1205+C1204</f>
        <v>179565000</v>
      </c>
    </row>
    <row r="1206" spans="1:6" x14ac:dyDescent="0.25">
      <c r="A1206" s="4" t="s">
        <v>1292</v>
      </c>
    </row>
    <row r="1207" spans="1:6" x14ac:dyDescent="0.25">
      <c r="A1207" s="18" t="s">
        <v>611</v>
      </c>
      <c r="C1207" s="3">
        <v>500000</v>
      </c>
      <c r="E1207" s="13" t="s">
        <v>1293</v>
      </c>
      <c r="F1207" s="25">
        <f>F1205+C1207</f>
        <v>180065000</v>
      </c>
    </row>
    <row r="1208" spans="1:6" x14ac:dyDescent="0.25">
      <c r="A1208" s="4" t="s">
        <v>1294</v>
      </c>
    </row>
    <row r="1209" spans="1:6" x14ac:dyDescent="0.25">
      <c r="A1209" s="18" t="s">
        <v>1295</v>
      </c>
      <c r="C1209" s="3">
        <v>350000</v>
      </c>
    </row>
    <row r="1210" spans="1:6" x14ac:dyDescent="0.25">
      <c r="A1210" s="18" t="s">
        <v>1296</v>
      </c>
      <c r="C1210" s="3">
        <v>10668000</v>
      </c>
      <c r="E1210" s="13" t="s">
        <v>1297</v>
      </c>
      <c r="F1210" s="25">
        <f>F1207-C1209-C1210</f>
        <v>169047000</v>
      </c>
    </row>
    <row r="1211" spans="1:6" x14ac:dyDescent="0.25">
      <c r="A1211" s="4" t="s">
        <v>1298</v>
      </c>
    </row>
    <row r="1212" spans="1:6" x14ac:dyDescent="0.25">
      <c r="A1212" s="18" t="s">
        <v>1299</v>
      </c>
      <c r="C1212" s="3">
        <v>200000</v>
      </c>
    </row>
    <row r="1213" spans="1:6" x14ac:dyDescent="0.25">
      <c r="A1213" s="18" t="s">
        <v>1300</v>
      </c>
      <c r="C1213" s="3">
        <v>1700000</v>
      </c>
      <c r="E1213" s="13" t="s">
        <v>1301</v>
      </c>
      <c r="F1213" s="25">
        <f>F1210-C1212+C1213</f>
        <v>170547000</v>
      </c>
    </row>
    <row r="1214" spans="1:6" x14ac:dyDescent="0.25">
      <c r="A1214" s="4" t="s">
        <v>1302</v>
      </c>
    </row>
    <row r="1215" spans="1:6" x14ac:dyDescent="0.25">
      <c r="A1215" s="18" t="s">
        <v>1304</v>
      </c>
      <c r="C1215" s="3">
        <v>10000000</v>
      </c>
    </row>
    <row r="1216" spans="1:6" x14ac:dyDescent="0.25">
      <c r="A1216" s="18" t="s">
        <v>611</v>
      </c>
      <c r="C1216" s="3">
        <v>1000000</v>
      </c>
    </row>
    <row r="1217" spans="1:6" x14ac:dyDescent="0.25">
      <c r="A1217" s="18" t="s">
        <v>1303</v>
      </c>
      <c r="C1217" s="3">
        <v>14000000</v>
      </c>
      <c r="E1217" s="13" t="s">
        <v>1305</v>
      </c>
      <c r="F1217" s="25">
        <f>F1213-C1215+C1216+C1217</f>
        <v>175547000</v>
      </c>
    </row>
    <row r="1218" spans="1:6" x14ac:dyDescent="0.25">
      <c r="A1218" s="4" t="s">
        <v>1306</v>
      </c>
    </row>
    <row r="1219" spans="1:6" x14ac:dyDescent="0.25">
      <c r="A1219" s="18" t="s">
        <v>1307</v>
      </c>
      <c r="C1219" s="3">
        <v>3300000</v>
      </c>
    </row>
    <row r="1220" spans="1:6" x14ac:dyDescent="0.25">
      <c r="A1220" s="18" t="s">
        <v>1309</v>
      </c>
      <c r="C1220" s="3">
        <v>2000000</v>
      </c>
    </row>
    <row r="1221" spans="1:6" x14ac:dyDescent="0.25">
      <c r="A1221" s="18" t="s">
        <v>1310</v>
      </c>
      <c r="C1221" s="3">
        <v>1000000</v>
      </c>
    </row>
    <row r="1222" spans="1:6" x14ac:dyDescent="0.25">
      <c r="A1222" s="18" t="s">
        <v>1311</v>
      </c>
      <c r="C1222" s="3">
        <v>770000</v>
      </c>
    </row>
    <row r="1223" spans="1:6" x14ac:dyDescent="0.25">
      <c r="A1223" s="18" t="s">
        <v>1312</v>
      </c>
      <c r="C1223" s="3">
        <v>7000000</v>
      </c>
    </row>
    <row r="1224" spans="1:6" x14ac:dyDescent="0.25">
      <c r="A1224" s="18" t="s">
        <v>1313</v>
      </c>
      <c r="C1224" s="3">
        <v>1500000</v>
      </c>
    </row>
    <row r="1225" spans="1:6" x14ac:dyDescent="0.25">
      <c r="A1225" s="18" t="s">
        <v>1316</v>
      </c>
      <c r="C1225" s="3">
        <v>1000000</v>
      </c>
    </row>
    <row r="1226" spans="1:6" x14ac:dyDescent="0.25">
      <c r="A1226" s="18" t="s">
        <v>1315</v>
      </c>
      <c r="C1226" s="3">
        <v>500000</v>
      </c>
    </row>
    <row r="1227" spans="1:6" x14ac:dyDescent="0.25">
      <c r="A1227" s="18" t="s">
        <v>1314</v>
      </c>
      <c r="C1227" s="3">
        <v>3000000</v>
      </c>
      <c r="E1227" s="13" t="s">
        <v>1320</v>
      </c>
      <c r="F1227" s="25">
        <f>F1217+C1219+C1220+C1221-C1222-C1223-C1224-C1227-C1226</f>
        <v>169077000</v>
      </c>
    </row>
    <row r="1228" spans="1:6" x14ac:dyDescent="0.25">
      <c r="A1228" s="4" t="s">
        <v>1317</v>
      </c>
    </row>
    <row r="1229" spans="1:6" x14ac:dyDescent="0.25">
      <c r="A1229" s="18" t="s">
        <v>1318</v>
      </c>
      <c r="C1229" s="3">
        <v>11000000</v>
      </c>
    </row>
    <row r="1230" spans="1:6" x14ac:dyDescent="0.25">
      <c r="A1230" s="18" t="s">
        <v>1319</v>
      </c>
      <c r="C1230" s="3">
        <v>450000</v>
      </c>
      <c r="E1230" s="13" t="s">
        <v>1321</v>
      </c>
      <c r="F1230" s="25">
        <f>F1227+C1229-C1230</f>
        <v>179627000</v>
      </c>
    </row>
    <row r="1231" spans="1:6" x14ac:dyDescent="0.25">
      <c r="A1231" s="4" t="s">
        <v>1322</v>
      </c>
    </row>
    <row r="1232" spans="1:6" x14ac:dyDescent="0.25">
      <c r="A1232" s="18" t="s">
        <v>1323</v>
      </c>
      <c r="C1232" s="3">
        <v>130000</v>
      </c>
    </row>
    <row r="1233" spans="1:6" x14ac:dyDescent="0.25">
      <c r="A1233" s="18" t="s">
        <v>1324</v>
      </c>
      <c r="C1233" s="3">
        <v>450000</v>
      </c>
      <c r="E1233" s="13" t="s">
        <v>1325</v>
      </c>
      <c r="F1233" s="25">
        <f>F1230-C1232-C1233</f>
        <v>179047000</v>
      </c>
    </row>
    <row r="1234" spans="1:6" x14ac:dyDescent="0.25">
      <c r="A1234" s="4" t="s">
        <v>1327</v>
      </c>
    </row>
    <row r="1235" spans="1:6" x14ac:dyDescent="0.25">
      <c r="A1235" s="18" t="s">
        <v>611</v>
      </c>
      <c r="C1235" s="3">
        <v>500000</v>
      </c>
    </row>
    <row r="1236" spans="1:6" x14ac:dyDescent="0.25">
      <c r="A1236" s="18" t="s">
        <v>1326</v>
      </c>
      <c r="C1236" s="3">
        <v>2000000</v>
      </c>
    </row>
    <row r="1237" spans="1:6" x14ac:dyDescent="0.25">
      <c r="A1237" s="18" t="s">
        <v>1029</v>
      </c>
      <c r="C1237" s="3">
        <v>1600000</v>
      </c>
      <c r="E1237" s="13" t="s">
        <v>1328</v>
      </c>
      <c r="F1237" s="25">
        <f>F1233+C1235-C1236-C1237</f>
        <v>175947000</v>
      </c>
    </row>
    <row r="1238" spans="1:6" x14ac:dyDescent="0.25">
      <c r="A1238" s="4" t="s">
        <v>1329</v>
      </c>
    </row>
    <row r="1239" spans="1:6" x14ac:dyDescent="0.25">
      <c r="A1239" s="18" t="s">
        <v>817</v>
      </c>
      <c r="C1239" s="3">
        <v>1000000</v>
      </c>
      <c r="E1239" s="13" t="s">
        <v>1330</v>
      </c>
      <c r="F1239" s="25">
        <f>F1237+C1239</f>
        <v>176947000</v>
      </c>
    </row>
    <row r="1240" spans="1:6" x14ac:dyDescent="0.25">
      <c r="A1240" s="4" t="s">
        <v>1331</v>
      </c>
    </row>
    <row r="1241" spans="1:6" x14ac:dyDescent="0.25">
      <c r="A1241" s="18" t="s">
        <v>1332</v>
      </c>
      <c r="C1241" s="3">
        <v>5580000</v>
      </c>
    </row>
    <row r="1242" spans="1:6" x14ac:dyDescent="0.25">
      <c r="A1242" s="18" t="s">
        <v>611</v>
      </c>
      <c r="C1242" s="3">
        <v>1000000</v>
      </c>
      <c r="E1242" s="13" t="s">
        <v>1333</v>
      </c>
      <c r="F1242" s="25">
        <f>F1239-C1241+C1242</f>
        <v>172367000</v>
      </c>
    </row>
    <row r="1243" spans="1:6" x14ac:dyDescent="0.25">
      <c r="A1243" s="4" t="s">
        <v>1334</v>
      </c>
    </row>
    <row r="1244" spans="1:6" x14ac:dyDescent="0.25">
      <c r="A1244" s="18" t="s">
        <v>611</v>
      </c>
      <c r="C1244" s="3">
        <v>500000</v>
      </c>
    </row>
    <row r="1245" spans="1:6" x14ac:dyDescent="0.25">
      <c r="A1245" s="18" t="s">
        <v>1335</v>
      </c>
      <c r="C1245" s="3">
        <v>6700000</v>
      </c>
      <c r="E1245" s="13" t="s">
        <v>1336</v>
      </c>
      <c r="F1245" s="25">
        <f>F1242+C1244-C1245</f>
        <v>166167000</v>
      </c>
    </row>
    <row r="1246" spans="1:6" x14ac:dyDescent="0.25">
      <c r="A1246" s="4" t="s">
        <v>1337</v>
      </c>
    </row>
    <row r="1247" spans="1:6" x14ac:dyDescent="0.25">
      <c r="A1247" s="18" t="s">
        <v>183</v>
      </c>
      <c r="C1247" s="3">
        <v>2500000</v>
      </c>
    </row>
    <row r="1248" spans="1:6" x14ac:dyDescent="0.25">
      <c r="A1248" s="18" t="s">
        <v>1338</v>
      </c>
      <c r="C1248" s="3">
        <v>437000</v>
      </c>
    </row>
    <row r="1249" spans="1:6" x14ac:dyDescent="0.25">
      <c r="A1249" s="18" t="s">
        <v>1339</v>
      </c>
      <c r="C1249" s="3">
        <v>1000000</v>
      </c>
      <c r="E1249" s="13" t="s">
        <v>1341</v>
      </c>
      <c r="F1249" s="25">
        <f>F1245+C1247-C1248-C1249</f>
        <v>167230000</v>
      </c>
    </row>
    <row r="1250" spans="1:6" x14ac:dyDescent="0.25">
      <c r="A1250" s="4" t="s">
        <v>1340</v>
      </c>
    </row>
    <row r="1251" spans="1:6" x14ac:dyDescent="0.25">
      <c r="A1251" s="18" t="s">
        <v>611</v>
      </c>
      <c r="C1251" s="3">
        <v>1000000</v>
      </c>
      <c r="E1251" s="13" t="s">
        <v>1342</v>
      </c>
      <c r="F1251" s="25">
        <f>F1249+C1251</f>
        <v>168230000</v>
      </c>
    </row>
    <row r="1252" spans="1:6" x14ac:dyDescent="0.25">
      <c r="A1252" s="4" t="s">
        <v>1343</v>
      </c>
    </row>
    <row r="1253" spans="1:6" x14ac:dyDescent="0.25">
      <c r="A1253" s="18" t="s">
        <v>1344</v>
      </c>
      <c r="C1253" s="3">
        <v>13600000</v>
      </c>
    </row>
    <row r="1254" spans="1:6" x14ac:dyDescent="0.25">
      <c r="A1254" s="18" t="s">
        <v>1345</v>
      </c>
      <c r="C1254" s="3">
        <v>15500000</v>
      </c>
    </row>
    <row r="1255" spans="1:6" x14ac:dyDescent="0.25">
      <c r="A1255" s="18" t="s">
        <v>1346</v>
      </c>
      <c r="C1255" s="3">
        <v>275000</v>
      </c>
      <c r="E1255" s="13" t="s">
        <v>1347</v>
      </c>
      <c r="F1255" s="25">
        <f>F1251-C1253+C1254-C1255</f>
        <v>169855000</v>
      </c>
    </row>
    <row r="1256" spans="1:6" x14ac:dyDescent="0.25">
      <c r="A1256" s="4" t="s">
        <v>1348</v>
      </c>
    </row>
    <row r="1257" spans="1:6" x14ac:dyDescent="0.25">
      <c r="A1257" s="18" t="s">
        <v>611</v>
      </c>
      <c r="C1257" s="3">
        <v>1500000</v>
      </c>
    </row>
    <row r="1258" spans="1:6" x14ac:dyDescent="0.25">
      <c r="A1258" s="18" t="s">
        <v>1349</v>
      </c>
      <c r="C1258" s="3">
        <v>1000000</v>
      </c>
    </row>
    <row r="1259" spans="1:6" x14ac:dyDescent="0.25">
      <c r="A1259" s="18" t="s">
        <v>1350</v>
      </c>
      <c r="C1259" s="3">
        <v>690000</v>
      </c>
      <c r="E1259" s="13" t="s">
        <v>1351</v>
      </c>
      <c r="F1259" s="25">
        <f>F1255+C1257-C1258-C1259</f>
        <v>169665000</v>
      </c>
    </row>
    <row r="1260" spans="1:6" x14ac:dyDescent="0.25">
      <c r="A1260" s="4" t="s">
        <v>1352</v>
      </c>
    </row>
    <row r="1261" spans="1:6" x14ac:dyDescent="0.25">
      <c r="A1261" s="18" t="s">
        <v>611</v>
      </c>
      <c r="C1261" s="3">
        <v>2000000</v>
      </c>
    </row>
    <row r="1262" spans="1:6" x14ac:dyDescent="0.25">
      <c r="A1262" s="18" t="s">
        <v>1353</v>
      </c>
      <c r="C1262" s="3">
        <v>183000</v>
      </c>
    </row>
    <row r="1263" spans="1:6" x14ac:dyDescent="0.25">
      <c r="A1263" s="18" t="s">
        <v>1354</v>
      </c>
      <c r="C1263" s="3">
        <v>2500000</v>
      </c>
      <c r="E1263" s="13" t="s">
        <v>1355</v>
      </c>
      <c r="F1263" s="25">
        <f>F1259+C1261-C1262-C1263</f>
        <v>168982000</v>
      </c>
    </row>
    <row r="1264" spans="1:6" x14ac:dyDescent="0.25">
      <c r="A1264" s="4" t="s">
        <v>1356</v>
      </c>
    </row>
    <row r="1265" spans="1:6" x14ac:dyDescent="0.25">
      <c r="A1265" s="18" t="s">
        <v>1357</v>
      </c>
      <c r="C1265" s="3">
        <v>330000</v>
      </c>
    </row>
    <row r="1266" spans="1:6" x14ac:dyDescent="0.25">
      <c r="A1266" s="18" t="s">
        <v>1358</v>
      </c>
      <c r="C1266" s="3">
        <v>290000</v>
      </c>
    </row>
    <row r="1267" spans="1:6" x14ac:dyDescent="0.25">
      <c r="A1267" s="18" t="s">
        <v>1359</v>
      </c>
      <c r="C1267" s="3">
        <v>13500000</v>
      </c>
    </row>
    <row r="1268" spans="1:6" x14ac:dyDescent="0.25">
      <c r="A1268" s="18" t="s">
        <v>1360</v>
      </c>
      <c r="C1268" s="3">
        <v>2535000</v>
      </c>
    </row>
    <row r="1269" spans="1:6" x14ac:dyDescent="0.25">
      <c r="A1269" s="18" t="s">
        <v>1361</v>
      </c>
      <c r="C1269" s="3">
        <v>7000000</v>
      </c>
    </row>
    <row r="1270" spans="1:6" x14ac:dyDescent="0.25">
      <c r="A1270" s="18" t="s">
        <v>1362</v>
      </c>
      <c r="C1270" s="3">
        <v>3000000</v>
      </c>
    </row>
    <row r="1271" spans="1:6" x14ac:dyDescent="0.25">
      <c r="A1271" s="18" t="s">
        <v>1014</v>
      </c>
      <c r="C1271" s="3">
        <v>1500000</v>
      </c>
      <c r="E1271" s="13" t="s">
        <v>1363</v>
      </c>
      <c r="F1271" s="25">
        <f>F1263-C1265-C1266+C1267-C1268-C1269-C1270-C1271</f>
        <v>167827000</v>
      </c>
    </row>
    <row r="1272" spans="1:6" x14ac:dyDescent="0.25">
      <c r="A1272" s="4" t="s">
        <v>1364</v>
      </c>
    </row>
    <row r="1273" spans="1:6" x14ac:dyDescent="0.25">
      <c r="A1273" s="18" t="s">
        <v>1003</v>
      </c>
      <c r="C1273" s="3">
        <v>10300000</v>
      </c>
    </row>
    <row r="1274" spans="1:6" x14ac:dyDescent="0.25">
      <c r="A1274" s="18" t="s">
        <v>1365</v>
      </c>
      <c r="C1274" s="3">
        <v>1000000</v>
      </c>
    </row>
    <row r="1275" spans="1:6" x14ac:dyDescent="0.25">
      <c r="A1275" s="18" t="s">
        <v>1366</v>
      </c>
      <c r="C1275" s="3">
        <v>200000</v>
      </c>
    </row>
    <row r="1276" spans="1:6" x14ac:dyDescent="0.25">
      <c r="A1276" s="18" t="s">
        <v>1367</v>
      </c>
      <c r="C1276" s="3">
        <v>700000</v>
      </c>
    </row>
    <row r="1277" spans="1:6" x14ac:dyDescent="0.25">
      <c r="A1277" s="18" t="s">
        <v>1368</v>
      </c>
      <c r="C1277" s="3">
        <v>1500000</v>
      </c>
      <c r="E1277" s="13" t="s">
        <v>1369</v>
      </c>
      <c r="F1277" s="25">
        <f>F1271+C1273+C1274+C1275-C1276+C1277</f>
        <v>180127000</v>
      </c>
    </row>
    <row r="1278" spans="1:6" x14ac:dyDescent="0.25">
      <c r="A1278" s="4" t="s">
        <v>1370</v>
      </c>
    </row>
    <row r="1279" spans="1:6" x14ac:dyDescent="0.25">
      <c r="A1279" s="18" t="s">
        <v>611</v>
      </c>
      <c r="C1279" s="3">
        <v>1000000</v>
      </c>
      <c r="E1279" s="13" t="s">
        <v>1371</v>
      </c>
      <c r="F1279" s="25">
        <f>F1277+C1279</f>
        <v>181127000</v>
      </c>
    </row>
    <row r="1280" spans="1:6" x14ac:dyDescent="0.25">
      <c r="A1280" s="4" t="s">
        <v>1372</v>
      </c>
    </row>
    <row r="1281" spans="1:6" x14ac:dyDescent="0.25">
      <c r="A1281" s="18" t="s">
        <v>1373</v>
      </c>
      <c r="C1281" s="3">
        <v>1960000</v>
      </c>
      <c r="E1281" s="13" t="s">
        <v>1374</v>
      </c>
      <c r="F1281" s="25">
        <f>F1279-C1281</f>
        <v>179167000</v>
      </c>
    </row>
    <row r="1282" spans="1:6" x14ac:dyDescent="0.25">
      <c r="A1282" s="4" t="s">
        <v>1375</v>
      </c>
    </row>
    <row r="1283" spans="1:6" x14ac:dyDescent="0.25">
      <c r="A1283" s="18" t="s">
        <v>1376</v>
      </c>
      <c r="C1283" s="3">
        <v>564000</v>
      </c>
    </row>
    <row r="1284" spans="1:6" x14ac:dyDescent="0.25">
      <c r="A1284" s="18" t="s">
        <v>1377</v>
      </c>
      <c r="C1284" s="3">
        <v>500000</v>
      </c>
    </row>
    <row r="1285" spans="1:6" x14ac:dyDescent="0.25">
      <c r="A1285" s="18" t="s">
        <v>1309</v>
      </c>
      <c r="C1285" s="3">
        <v>2000000</v>
      </c>
    </row>
    <row r="1286" spans="1:6" x14ac:dyDescent="0.25">
      <c r="A1286" s="18" t="s">
        <v>1378</v>
      </c>
      <c r="C1286" s="3">
        <v>3700000</v>
      </c>
      <c r="E1286" s="13" t="s">
        <v>1379</v>
      </c>
      <c r="F1286" s="25">
        <f>F1281-C1283+C1284+C1286+C1285</f>
        <v>184803000</v>
      </c>
    </row>
    <row r="1287" spans="1:6" x14ac:dyDescent="0.25">
      <c r="A1287" s="4" t="s">
        <v>1380</v>
      </c>
    </row>
    <row r="1288" spans="1:6" x14ac:dyDescent="0.25">
      <c r="A1288" s="18" t="s">
        <v>1381</v>
      </c>
      <c r="C1288" s="3">
        <v>30300000</v>
      </c>
    </row>
    <row r="1289" spans="1:6" x14ac:dyDescent="0.25">
      <c r="A1289" s="18" t="s">
        <v>1382</v>
      </c>
      <c r="C1289" s="3">
        <v>2566000</v>
      </c>
      <c r="E1289" s="13" t="s">
        <v>1383</v>
      </c>
      <c r="F1289" s="25">
        <f>F1286+C1288-C1289</f>
        <v>212537000</v>
      </c>
    </row>
    <row r="1290" spans="1:6" x14ac:dyDescent="0.25">
      <c r="A1290" s="4" t="s">
        <v>1384</v>
      </c>
    </row>
    <row r="1291" spans="1:6" x14ac:dyDescent="0.25">
      <c r="A1291" s="18" t="s">
        <v>611</v>
      </c>
      <c r="C1291" s="3">
        <v>1000000</v>
      </c>
    </row>
    <row r="1292" spans="1:6" x14ac:dyDescent="0.25">
      <c r="A1292" s="18" t="s">
        <v>1385</v>
      </c>
      <c r="C1292" s="3">
        <v>3000000</v>
      </c>
      <c r="E1292" s="13" t="s">
        <v>1386</v>
      </c>
      <c r="F1292" s="25">
        <f>F1289+C1291-C1292</f>
        <v>210537000</v>
      </c>
    </row>
    <row r="1293" spans="1:6" x14ac:dyDescent="0.25">
      <c r="A1293" s="4" t="s">
        <v>1387</v>
      </c>
    </row>
    <row r="1294" spans="1:6" x14ac:dyDescent="0.25">
      <c r="A1294" s="18" t="s">
        <v>1388</v>
      </c>
      <c r="C1294" s="3">
        <v>1124000</v>
      </c>
    </row>
    <row r="1295" spans="1:6" x14ac:dyDescent="0.25">
      <c r="A1295" s="18" t="s">
        <v>1389</v>
      </c>
      <c r="C1295" s="3">
        <v>3500000</v>
      </c>
    </row>
    <row r="1296" spans="1:6" x14ac:dyDescent="0.25">
      <c r="A1296" s="18" t="s">
        <v>1390</v>
      </c>
      <c r="C1296" s="3">
        <v>228000</v>
      </c>
    </row>
    <row r="1297" spans="1:6" x14ac:dyDescent="0.25">
      <c r="A1297" s="18" t="s">
        <v>1391</v>
      </c>
      <c r="C1297" s="3">
        <v>4300000</v>
      </c>
      <c r="E1297" s="13" t="s">
        <v>1392</v>
      </c>
      <c r="F1297" s="25">
        <f>F1292-C1294+C1295-C1296-C1297</f>
        <v>208385000</v>
      </c>
    </row>
    <row r="1298" spans="1:6" x14ac:dyDescent="0.25">
      <c r="A1298" s="4" t="s">
        <v>1393</v>
      </c>
    </row>
    <row r="1299" spans="1:6" x14ac:dyDescent="0.25">
      <c r="A1299" s="18" t="s">
        <v>1394</v>
      </c>
      <c r="C1299" s="3">
        <v>700000</v>
      </c>
    </row>
    <row r="1300" spans="1:6" x14ac:dyDescent="0.25">
      <c r="A1300" s="18" t="s">
        <v>1395</v>
      </c>
      <c r="C1300" s="3">
        <v>46150000</v>
      </c>
    </row>
    <row r="1301" spans="1:6" x14ac:dyDescent="0.25">
      <c r="A1301" s="18" t="s">
        <v>1396</v>
      </c>
      <c r="C1301" s="3">
        <v>690000</v>
      </c>
      <c r="E1301" s="13" t="s">
        <v>1397</v>
      </c>
      <c r="F1301" s="25">
        <f>F1297+C1299+C1300-C1301</f>
        <v>254545000</v>
      </c>
    </row>
    <row r="1302" spans="1:6" x14ac:dyDescent="0.25">
      <c r="A1302" s="4" t="s">
        <v>1402</v>
      </c>
    </row>
    <row r="1303" spans="1:6" x14ac:dyDescent="0.25">
      <c r="A1303" s="18" t="s">
        <v>1403</v>
      </c>
      <c r="C1303" s="3">
        <v>5000000</v>
      </c>
    </row>
    <row r="1304" spans="1:6" x14ac:dyDescent="0.25">
      <c r="A1304" s="18" t="s">
        <v>1404</v>
      </c>
      <c r="C1304" s="3">
        <v>152000000</v>
      </c>
    </row>
    <row r="1305" spans="1:6" x14ac:dyDescent="0.25">
      <c r="A1305" s="18" t="s">
        <v>1283</v>
      </c>
      <c r="C1305" s="3">
        <v>128000</v>
      </c>
      <c r="E1305" s="13" t="s">
        <v>1405</v>
      </c>
      <c r="F1305" s="25">
        <f>F1301-C1303-C1304-C1305</f>
        <v>97417000</v>
      </c>
    </row>
    <row r="1306" spans="1:6" x14ac:dyDescent="0.25">
      <c r="A1306" s="4" t="s">
        <v>1406</v>
      </c>
    </row>
    <row r="1307" spans="1:6" x14ac:dyDescent="0.25">
      <c r="A1307" s="18" t="s">
        <v>1407</v>
      </c>
      <c r="C1307" s="3">
        <v>115000</v>
      </c>
      <c r="E1307" s="13" t="s">
        <v>1408</v>
      </c>
      <c r="F1307" s="25">
        <f>F1305-C1307</f>
        <v>97302000</v>
      </c>
    </row>
    <row r="1308" spans="1:6" x14ac:dyDescent="0.25">
      <c r="A1308" s="4" t="s">
        <v>1409</v>
      </c>
    </row>
    <row r="1309" spans="1:6" x14ac:dyDescent="0.25">
      <c r="A1309" s="18" t="s">
        <v>1410</v>
      </c>
      <c r="C1309" s="3">
        <v>20000000</v>
      </c>
    </row>
    <row r="1310" spans="1:6" x14ac:dyDescent="0.25">
      <c r="A1310" s="18" t="s">
        <v>1411</v>
      </c>
      <c r="C1310" s="3">
        <v>972000</v>
      </c>
      <c r="E1310" s="13" t="s">
        <v>1412</v>
      </c>
      <c r="F1310" s="25">
        <f>F1307-C1309-C1310</f>
        <v>76330000</v>
      </c>
    </row>
    <row r="1311" spans="1:6" x14ac:dyDescent="0.25">
      <c r="A1311" s="4" t="s">
        <v>1413</v>
      </c>
    </row>
    <row r="1312" spans="1:6" x14ac:dyDescent="0.25">
      <c r="A1312" s="18" t="s">
        <v>1414</v>
      </c>
      <c r="C1312" s="3">
        <v>400000</v>
      </c>
    </row>
    <row r="1313" spans="1:6" x14ac:dyDescent="0.25">
      <c r="A1313" s="18" t="s">
        <v>1090</v>
      </c>
      <c r="C1313" s="3">
        <v>105000</v>
      </c>
    </row>
    <row r="1314" spans="1:6" x14ac:dyDescent="0.25">
      <c r="A1314" s="18" t="s">
        <v>1415</v>
      </c>
      <c r="C1314" s="3">
        <v>3550000</v>
      </c>
      <c r="E1314" s="13" t="s">
        <v>1421</v>
      </c>
      <c r="F1314" s="25">
        <f>F1310-C1312-C1313+C1314</f>
        <v>79375000</v>
      </c>
    </row>
    <row r="1315" spans="1:6" x14ac:dyDescent="0.25">
      <c r="A1315" s="4" t="s">
        <v>1416</v>
      </c>
    </row>
    <row r="1316" spans="1:6" x14ac:dyDescent="0.25">
      <c r="A1316" s="18" t="s">
        <v>1417</v>
      </c>
      <c r="C1316" s="3">
        <v>1900000</v>
      </c>
    </row>
    <row r="1317" spans="1:6" x14ac:dyDescent="0.25">
      <c r="A1317" s="18" t="s">
        <v>790</v>
      </c>
      <c r="C1317" s="3">
        <v>141000</v>
      </c>
    </row>
    <row r="1318" spans="1:6" x14ac:dyDescent="0.25">
      <c r="A1318" s="18" t="s">
        <v>1418</v>
      </c>
      <c r="C1318" s="3">
        <v>320000</v>
      </c>
    </row>
    <row r="1319" spans="1:6" x14ac:dyDescent="0.25">
      <c r="A1319" s="18" t="s">
        <v>1419</v>
      </c>
      <c r="C1319" s="3">
        <v>1061000</v>
      </c>
    </row>
    <row r="1320" spans="1:6" x14ac:dyDescent="0.25">
      <c r="A1320" s="18" t="s">
        <v>1420</v>
      </c>
      <c r="C1320" s="3">
        <v>5200000</v>
      </c>
      <c r="E1320" s="13" t="s">
        <v>1436</v>
      </c>
      <c r="F1320" s="25">
        <f>F1314+C1316-C1317-C1318-C1319-C1320</f>
        <v>74553000</v>
      </c>
    </row>
    <row r="1321" spans="1:6" x14ac:dyDescent="0.25">
      <c r="A1321" s="18" t="s">
        <v>1429</v>
      </c>
      <c r="C1321" s="3">
        <v>5400000</v>
      </c>
      <c r="E1321" s="13" t="s">
        <v>1436</v>
      </c>
      <c r="F1321" s="25">
        <f>F1320-C1321</f>
        <v>69153000</v>
      </c>
    </row>
    <row r="1322" spans="1:6" x14ac:dyDescent="0.25">
      <c r="A1322" s="4" t="s">
        <v>1437</v>
      </c>
    </row>
    <row r="1323" spans="1:6" x14ac:dyDescent="0.25">
      <c r="A1323" s="18" t="s">
        <v>611</v>
      </c>
      <c r="C1323" s="3">
        <v>500000</v>
      </c>
    </row>
    <row r="1324" spans="1:6" x14ac:dyDescent="0.25">
      <c r="A1324" s="18" t="s">
        <v>1438</v>
      </c>
      <c r="C1324" s="3">
        <v>350000</v>
      </c>
      <c r="E1324" s="13" t="s">
        <v>1439</v>
      </c>
      <c r="F1324" s="25">
        <f>F1321-C1324-C1323</f>
        <v>68303000</v>
      </c>
    </row>
    <row r="1325" spans="1:6" x14ac:dyDescent="0.25">
      <c r="A1325" s="4" t="s">
        <v>1440</v>
      </c>
    </row>
    <row r="1326" spans="1:6" x14ac:dyDescent="0.25">
      <c r="A1326" s="18" t="s">
        <v>1441</v>
      </c>
      <c r="C1326" s="3">
        <v>13500000</v>
      </c>
    </row>
    <row r="1327" spans="1:6" x14ac:dyDescent="0.25">
      <c r="A1327" s="18" t="s">
        <v>1442</v>
      </c>
      <c r="C1327" s="3">
        <v>2464000</v>
      </c>
    </row>
    <row r="1328" spans="1:6" x14ac:dyDescent="0.25">
      <c r="A1328" s="18" t="s">
        <v>625</v>
      </c>
      <c r="C1328" s="3">
        <v>7000000</v>
      </c>
    </row>
    <row r="1329" spans="1:6" x14ac:dyDescent="0.25">
      <c r="A1329" s="18" t="s">
        <v>1014</v>
      </c>
      <c r="C1329" s="3">
        <v>1500000</v>
      </c>
      <c r="D1329" s="7"/>
      <c r="E1329" s="13" t="s">
        <v>1443</v>
      </c>
      <c r="F1329" s="25">
        <f>F1324+C1326-C1327-C1328-C1329</f>
        <v>70839000</v>
      </c>
    </row>
    <row r="1330" spans="1:6" x14ac:dyDescent="0.25">
      <c r="A1330" s="4" t="s">
        <v>1444</v>
      </c>
    </row>
    <row r="1331" spans="1:6" x14ac:dyDescent="0.25">
      <c r="A1331" s="18" t="s">
        <v>611</v>
      </c>
      <c r="C1331" s="3">
        <v>1780000</v>
      </c>
    </row>
    <row r="1332" spans="1:6" x14ac:dyDescent="0.25">
      <c r="A1332" s="18" t="s">
        <v>1445</v>
      </c>
      <c r="C1332" s="3">
        <v>600000</v>
      </c>
      <c r="E1332" s="13" t="s">
        <v>1446</v>
      </c>
      <c r="F1332" s="25">
        <f>F1329+C1331-C1332</f>
        <v>72019000</v>
      </c>
    </row>
    <row r="1333" spans="1:6" x14ac:dyDescent="0.25">
      <c r="A1333" s="4" t="s">
        <v>1447</v>
      </c>
    </row>
    <row r="1334" spans="1:6" x14ac:dyDescent="0.25">
      <c r="A1334" s="18" t="s">
        <v>1448</v>
      </c>
      <c r="C1334" s="3">
        <v>5400000</v>
      </c>
    </row>
    <row r="1335" spans="1:6" x14ac:dyDescent="0.25">
      <c r="A1335" s="18" t="s">
        <v>611</v>
      </c>
      <c r="C1335" s="3">
        <v>700000</v>
      </c>
    </row>
    <row r="1336" spans="1:6" x14ac:dyDescent="0.25">
      <c r="A1336" s="18" t="s">
        <v>1445</v>
      </c>
      <c r="C1336" s="3">
        <v>778000</v>
      </c>
      <c r="E1336" s="13" t="s">
        <v>1449</v>
      </c>
      <c r="F1336" s="25">
        <f>F1332+C1334+C1335-C1336</f>
        <v>77341000</v>
      </c>
    </row>
    <row r="1337" spans="1:6" x14ac:dyDescent="0.25">
      <c r="A1337" s="4" t="s">
        <v>1450</v>
      </c>
    </row>
    <row r="1338" spans="1:6" x14ac:dyDescent="0.25">
      <c r="A1338" s="18" t="s">
        <v>1451</v>
      </c>
      <c r="C1338" s="3">
        <v>2000000</v>
      </c>
    </row>
    <row r="1339" spans="1:6" x14ac:dyDescent="0.25">
      <c r="A1339" s="18" t="s">
        <v>1452</v>
      </c>
      <c r="C1339" s="3">
        <v>349000</v>
      </c>
    </row>
    <row r="1340" spans="1:6" x14ac:dyDescent="0.25">
      <c r="A1340" s="18" t="s">
        <v>1453</v>
      </c>
      <c r="C1340" s="3">
        <v>116000</v>
      </c>
    </row>
    <row r="1341" spans="1:6" x14ac:dyDescent="0.25">
      <c r="A1341" s="18" t="s">
        <v>1445</v>
      </c>
      <c r="C1341" s="3">
        <v>2051000</v>
      </c>
      <c r="E1341" s="13" t="s">
        <v>1454</v>
      </c>
      <c r="F1341" s="25">
        <f>F1336-C1338-C1339-C1340-C1341</f>
        <v>72825000</v>
      </c>
    </row>
    <row r="1342" spans="1:6" x14ac:dyDescent="0.25">
      <c r="A1342" s="4" t="s">
        <v>1460</v>
      </c>
    </row>
    <row r="1343" spans="1:6" x14ac:dyDescent="0.25">
      <c r="A1343" s="18" t="s">
        <v>1445</v>
      </c>
      <c r="C1343" s="3">
        <v>1250000</v>
      </c>
      <c r="D1343" s="103"/>
    </row>
    <row r="1344" spans="1:6" x14ac:dyDescent="0.25">
      <c r="A1344" s="18" t="s">
        <v>1456</v>
      </c>
      <c r="C1344" s="3">
        <v>380000</v>
      </c>
    </row>
    <row r="1345" spans="1:6" x14ac:dyDescent="0.25">
      <c r="A1345" s="18" t="s">
        <v>1455</v>
      </c>
      <c r="C1345" s="3">
        <v>161000</v>
      </c>
    </row>
    <row r="1346" spans="1:6" x14ac:dyDescent="0.25">
      <c r="A1346" s="18" t="s">
        <v>1457</v>
      </c>
      <c r="C1346" s="3">
        <v>355000</v>
      </c>
    </row>
    <row r="1347" spans="1:6" x14ac:dyDescent="0.25">
      <c r="A1347" s="18" t="s">
        <v>1458</v>
      </c>
      <c r="C1347" s="3">
        <v>2900000</v>
      </c>
      <c r="E1347" s="13" t="s">
        <v>1459</v>
      </c>
      <c r="F1347" s="25">
        <f>F1341-C1343-C1344-C1345-C1346+C1347</f>
        <v>73579000</v>
      </c>
    </row>
    <row r="1348" spans="1:6" x14ac:dyDescent="0.25">
      <c r="A1348" s="4" t="s">
        <v>1461</v>
      </c>
    </row>
    <row r="1349" spans="1:6" x14ac:dyDescent="0.25">
      <c r="A1349" s="18" t="s">
        <v>1462</v>
      </c>
      <c r="C1349" s="3">
        <v>2265000</v>
      </c>
    </row>
    <row r="1350" spans="1:6" x14ac:dyDescent="0.25">
      <c r="A1350" s="18" t="s">
        <v>1090</v>
      </c>
      <c r="C1350" s="3">
        <v>1019000</v>
      </c>
    </row>
    <row r="1351" spans="1:6" x14ac:dyDescent="0.25">
      <c r="A1351" s="18" t="s">
        <v>611</v>
      </c>
      <c r="C1351" s="3">
        <v>2900000</v>
      </c>
      <c r="E1351" s="13" t="s">
        <v>1463</v>
      </c>
      <c r="F1351" s="25">
        <f>F1347-C1349-C1350+C1351</f>
        <v>73195000</v>
      </c>
    </row>
    <row r="1352" spans="1:6" x14ac:dyDescent="0.25">
      <c r="A1352" s="4" t="s">
        <v>1464</v>
      </c>
    </row>
    <row r="1353" spans="1:6" x14ac:dyDescent="0.25">
      <c r="A1353" s="18" t="s">
        <v>1465</v>
      </c>
      <c r="C1353" s="3">
        <v>243000</v>
      </c>
    </row>
    <row r="1354" spans="1:6" x14ac:dyDescent="0.25">
      <c r="A1354" s="18" t="s">
        <v>1466</v>
      </c>
      <c r="C1354" s="3">
        <v>1176000</v>
      </c>
      <c r="E1354" s="13" t="s">
        <v>1467</v>
      </c>
      <c r="F1354" s="25">
        <f>F1351-C1353-C1354</f>
        <v>71776000</v>
      </c>
    </row>
    <row r="1355" spans="1:6" x14ac:dyDescent="0.25">
      <c r="A1355" s="4" t="s">
        <v>1468</v>
      </c>
    </row>
    <row r="1356" spans="1:6" x14ac:dyDescent="0.25">
      <c r="A1356" s="18" t="s">
        <v>1466</v>
      </c>
      <c r="C1356" s="3">
        <v>775000</v>
      </c>
      <c r="E1356" s="13" t="s">
        <v>1474</v>
      </c>
      <c r="F1356" s="25">
        <f>F1354-C1356</f>
        <v>71001000</v>
      </c>
    </row>
    <row r="1357" spans="1:6" x14ac:dyDescent="0.25">
      <c r="A1357" s="4" t="s">
        <v>1469</v>
      </c>
    </row>
    <row r="1358" spans="1:6" x14ac:dyDescent="0.25">
      <c r="A1358" s="18" t="s">
        <v>1466</v>
      </c>
      <c r="C1358" s="3">
        <v>1166000</v>
      </c>
    </row>
    <row r="1359" spans="1:6" x14ac:dyDescent="0.25">
      <c r="A1359" s="18" t="s">
        <v>1470</v>
      </c>
      <c r="C1359" s="3">
        <v>487000</v>
      </c>
    </row>
    <row r="1360" spans="1:6" x14ac:dyDescent="0.25">
      <c r="A1360" s="18" t="s">
        <v>1471</v>
      </c>
      <c r="C1360" s="3">
        <v>77000</v>
      </c>
      <c r="E1360" s="13" t="s">
        <v>1473</v>
      </c>
      <c r="F1360" s="25">
        <f>F1356-C1358-C1359-C1360</f>
        <v>69271000</v>
      </c>
    </row>
    <row r="1361" spans="1:6" x14ac:dyDescent="0.25">
      <c r="A1361" s="4" t="s">
        <v>1472</v>
      </c>
    </row>
    <row r="1362" spans="1:6" x14ac:dyDescent="0.25">
      <c r="A1362" s="18" t="s">
        <v>1476</v>
      </c>
      <c r="C1362" s="3">
        <v>758000</v>
      </c>
    </row>
    <row r="1363" spans="1:6" x14ac:dyDescent="0.25">
      <c r="A1363" s="18" t="s">
        <v>1466</v>
      </c>
      <c r="C1363" s="3">
        <v>637000</v>
      </c>
      <c r="E1363" s="13" t="s">
        <v>1475</v>
      </c>
      <c r="F1363" s="25">
        <f>F1360-C1363-C1362</f>
        <v>67876000</v>
      </c>
    </row>
    <row r="1364" spans="1:6" x14ac:dyDescent="0.25">
      <c r="A1364" s="4" t="s">
        <v>1477</v>
      </c>
    </row>
    <row r="1365" spans="1:6" x14ac:dyDescent="0.25">
      <c r="A1365" s="18" t="s">
        <v>1478</v>
      </c>
      <c r="C1365" s="3">
        <v>200000</v>
      </c>
      <c r="E1365" s="13" t="s">
        <v>1479</v>
      </c>
      <c r="F1365" s="25">
        <f>F1363-C1365</f>
        <v>67676000</v>
      </c>
    </row>
    <row r="1366" spans="1:6" x14ac:dyDescent="0.25">
      <c r="A1366" s="4" t="s">
        <v>1480</v>
      </c>
      <c r="C1366" s="104"/>
    </row>
    <row r="1367" spans="1:6" x14ac:dyDescent="0.25">
      <c r="A1367" s="18" t="s">
        <v>1466</v>
      </c>
      <c r="C1367" s="3">
        <v>1404000</v>
      </c>
      <c r="E1367" s="13" t="s">
        <v>1481</v>
      </c>
      <c r="F1367" s="25">
        <f>F1365-C1367</f>
        <v>66272000</v>
      </c>
    </row>
    <row r="1368" spans="1:6" x14ac:dyDescent="0.25">
      <c r="A1368" s="4" t="s">
        <v>1482</v>
      </c>
    </row>
    <row r="1369" spans="1:6" x14ac:dyDescent="0.25">
      <c r="A1369" s="18" t="s">
        <v>978</v>
      </c>
      <c r="C1369" s="3">
        <v>1174000</v>
      </c>
    </row>
    <row r="1370" spans="1:6" x14ac:dyDescent="0.25">
      <c r="A1370" s="18" t="s">
        <v>1466</v>
      </c>
      <c r="C1370" s="3">
        <v>2248000</v>
      </c>
    </row>
    <row r="1371" spans="1:6" x14ac:dyDescent="0.25">
      <c r="A1371" s="18" t="s">
        <v>1483</v>
      </c>
      <c r="C1371" s="3">
        <v>850000</v>
      </c>
    </row>
    <row r="1372" spans="1:6" x14ac:dyDescent="0.25">
      <c r="A1372" s="18" t="s">
        <v>1484</v>
      </c>
      <c r="C1372" s="3">
        <v>30000000</v>
      </c>
    </row>
    <row r="1373" spans="1:6" x14ac:dyDescent="0.25">
      <c r="A1373" s="18" t="s">
        <v>1485</v>
      </c>
      <c r="C1373" s="3">
        <v>15000000</v>
      </c>
      <c r="E1373" s="13" t="s">
        <v>1486</v>
      </c>
      <c r="F1373" s="25">
        <f>F1367-C1369-C1370-C1371+C1372-C1373</f>
        <v>77000000</v>
      </c>
    </row>
    <row r="1374" spans="1:6" x14ac:dyDescent="0.25">
      <c r="A1374" s="4" t="s">
        <v>1487</v>
      </c>
    </row>
    <row r="1375" spans="1:6" x14ac:dyDescent="0.25">
      <c r="A1375" s="18" t="s">
        <v>1488</v>
      </c>
      <c r="C1375" s="3">
        <v>6500000</v>
      </c>
    </row>
    <row r="1376" spans="1:6" x14ac:dyDescent="0.25">
      <c r="A1376" s="18" t="s">
        <v>1489</v>
      </c>
      <c r="C1376" s="3">
        <v>1200000</v>
      </c>
    </row>
    <row r="1377" spans="1:6" x14ac:dyDescent="0.25">
      <c r="A1377" s="18" t="s">
        <v>1466</v>
      </c>
      <c r="C1377" s="3">
        <v>6914000</v>
      </c>
      <c r="E1377" s="13" t="s">
        <v>1490</v>
      </c>
      <c r="F1377" s="25">
        <f>F1373+C1375-C1376-C1377</f>
        <v>75386000</v>
      </c>
    </row>
    <row r="1378" spans="1:6" x14ac:dyDescent="0.25">
      <c r="A1378" s="4" t="s">
        <v>1491</v>
      </c>
    </row>
    <row r="1379" spans="1:6" x14ac:dyDescent="0.25">
      <c r="A1379" s="18" t="s">
        <v>1466</v>
      </c>
      <c r="C1379" s="3">
        <v>3045000</v>
      </c>
    </row>
    <row r="1380" spans="1:6" x14ac:dyDescent="0.25">
      <c r="A1380" s="18" t="s">
        <v>1280</v>
      </c>
      <c r="C1380" s="3">
        <v>5200000</v>
      </c>
      <c r="E1380" s="13" t="s">
        <v>1496</v>
      </c>
      <c r="F1380" s="25">
        <f>F1377-C1379-C1380</f>
        <v>67141000</v>
      </c>
    </row>
    <row r="1381" spans="1:6" x14ac:dyDescent="0.25">
      <c r="A1381" s="4" t="s">
        <v>1493</v>
      </c>
      <c r="F1381" s="28"/>
    </row>
    <row r="1382" spans="1:6" x14ac:dyDescent="0.25">
      <c r="A1382" s="18" t="s">
        <v>1466</v>
      </c>
      <c r="C1382" s="3">
        <v>5304000</v>
      </c>
    </row>
    <row r="1383" spans="1:6" ht="31.5" x14ac:dyDescent="0.25">
      <c r="A1383" s="81" t="s">
        <v>1494</v>
      </c>
      <c r="C1383" s="3">
        <v>10000000</v>
      </c>
      <c r="E1383" s="13" t="s">
        <v>1495</v>
      </c>
      <c r="F1383" s="25">
        <f>F1380-C1382+C1383</f>
        <v>71837000</v>
      </c>
    </row>
    <row r="1384" spans="1:6" x14ac:dyDescent="0.25">
      <c r="A1384" s="4" t="s">
        <v>1497</v>
      </c>
    </row>
    <row r="1385" spans="1:6" x14ac:dyDescent="0.25">
      <c r="A1385" t="s">
        <v>1498</v>
      </c>
      <c r="C1385" s="3">
        <v>4022000</v>
      </c>
    </row>
    <row r="1386" spans="1:6" x14ac:dyDescent="0.25">
      <c r="A1386" s="18" t="s">
        <v>1466</v>
      </c>
      <c r="C1386" s="3">
        <v>1035000</v>
      </c>
      <c r="D1386" s="7"/>
    </row>
    <row r="1387" spans="1:6" x14ac:dyDescent="0.25">
      <c r="A1387" s="18" t="s">
        <v>1499</v>
      </c>
      <c r="C1387" s="3">
        <v>2533000</v>
      </c>
    </row>
    <row r="1388" spans="1:6" x14ac:dyDescent="0.25">
      <c r="A1388" s="18" t="s">
        <v>666</v>
      </c>
      <c r="C1388" s="3">
        <v>8000000</v>
      </c>
    </row>
    <row r="1389" spans="1:6" x14ac:dyDescent="0.25">
      <c r="A1389" s="18" t="s">
        <v>1500</v>
      </c>
      <c r="C1389" s="105">
        <v>20000000</v>
      </c>
      <c r="E1389" s="13" t="s">
        <v>1502</v>
      </c>
      <c r="F1389" s="25">
        <f>F1383-C1385-C1386-C1387-C1388+C1389</f>
        <v>76247000</v>
      </c>
    </row>
    <row r="1390" spans="1:6" x14ac:dyDescent="0.25">
      <c r="A1390" s="4" t="s">
        <v>1504</v>
      </c>
      <c r="C1390" s="105"/>
    </row>
    <row r="1391" spans="1:6" x14ac:dyDescent="0.25">
      <c r="A1391" s="18" t="s">
        <v>1501</v>
      </c>
      <c r="C1391" s="3">
        <v>650000</v>
      </c>
    </row>
    <row r="1392" spans="1:6" x14ac:dyDescent="0.25">
      <c r="A1392" s="18" t="s">
        <v>1505</v>
      </c>
      <c r="C1392" s="3">
        <v>500000</v>
      </c>
    </row>
    <row r="1393" spans="1:6" x14ac:dyDescent="0.25">
      <c r="A1393" s="18" t="s">
        <v>1466</v>
      </c>
      <c r="C1393" s="3">
        <v>8799000</v>
      </c>
      <c r="E1393" s="13" t="s">
        <v>1503</v>
      </c>
      <c r="F1393" s="25">
        <f>F1389-C1391-C1393-C1392</f>
        <v>66298000</v>
      </c>
    </row>
    <row r="1394" spans="1:6" x14ac:dyDescent="0.25">
      <c r="A1394" s="4" t="s">
        <v>1506</v>
      </c>
    </row>
    <row r="1395" spans="1:6" x14ac:dyDescent="0.25">
      <c r="A1395" s="18" t="s">
        <v>1466</v>
      </c>
      <c r="C1395" s="3">
        <v>1967000</v>
      </c>
    </row>
    <row r="1396" spans="1:6" x14ac:dyDescent="0.25">
      <c r="A1396" s="18" t="s">
        <v>924</v>
      </c>
      <c r="C1396" s="3">
        <v>2037000</v>
      </c>
    </row>
    <row r="1397" spans="1:6" x14ac:dyDescent="0.25">
      <c r="A1397" s="18" t="s">
        <v>1507</v>
      </c>
      <c r="C1397" s="3">
        <v>432000</v>
      </c>
      <c r="D1397" s="19"/>
      <c r="E1397" s="13" t="s">
        <v>1508</v>
      </c>
      <c r="F1397" s="25">
        <f>F1393-C1395-C1396-C1397</f>
        <v>61862000</v>
      </c>
    </row>
    <row r="1398" spans="1:6" x14ac:dyDescent="0.25">
      <c r="A1398" s="4" t="s">
        <v>1509</v>
      </c>
    </row>
    <row r="1399" spans="1:6" x14ac:dyDescent="0.25">
      <c r="A1399" s="18" t="s">
        <v>611</v>
      </c>
      <c r="C1399" s="3">
        <v>300000</v>
      </c>
    </row>
    <row r="1400" spans="1:6" x14ac:dyDescent="0.25">
      <c r="A1400" s="18" t="s">
        <v>1510</v>
      </c>
      <c r="C1400" s="3">
        <v>14700000</v>
      </c>
    </row>
    <row r="1401" spans="1:6" x14ac:dyDescent="0.25">
      <c r="A1401" s="18" t="s">
        <v>1466</v>
      </c>
      <c r="C1401" s="3">
        <v>240000</v>
      </c>
      <c r="E1401" s="13" t="s">
        <v>1511</v>
      </c>
      <c r="F1401" s="25">
        <f>F1397+C1399-C1400-C1401</f>
        <v>47222000</v>
      </c>
    </row>
    <row r="1402" spans="1:6" x14ac:dyDescent="0.25">
      <c r="A1402" s="4" t="s">
        <v>1512</v>
      </c>
    </row>
    <row r="1403" spans="1:6" x14ac:dyDescent="0.25">
      <c r="A1403" s="18" t="s">
        <v>1513</v>
      </c>
      <c r="C1403" s="3">
        <v>1000000</v>
      </c>
    </row>
    <row r="1404" spans="1:6" x14ac:dyDescent="0.25">
      <c r="A1404" s="18" t="s">
        <v>1466</v>
      </c>
      <c r="C1404" s="3">
        <v>484000</v>
      </c>
    </row>
    <row r="1405" spans="1:6" x14ac:dyDescent="0.25">
      <c r="A1405" s="18" t="s">
        <v>1514</v>
      </c>
      <c r="C1405" s="3">
        <v>216000</v>
      </c>
      <c r="E1405" s="13" t="s">
        <v>1515</v>
      </c>
      <c r="F1405" s="25">
        <f>F1401+C1403-C1405-C1404</f>
        <v>47522000</v>
      </c>
    </row>
    <row r="1406" spans="1:6" x14ac:dyDescent="0.25">
      <c r="A1406" s="4" t="s">
        <v>1519</v>
      </c>
    </row>
    <row r="1407" spans="1:6" x14ac:dyDescent="0.25">
      <c r="A1407" s="18" t="s">
        <v>924</v>
      </c>
      <c r="C1407" s="3">
        <v>1722000</v>
      </c>
    </row>
    <row r="1408" spans="1:6" x14ac:dyDescent="0.25">
      <c r="A1408" s="18" t="s">
        <v>1516</v>
      </c>
      <c r="C1408" s="3">
        <v>10000000</v>
      </c>
    </row>
    <row r="1409" spans="1:6" x14ac:dyDescent="0.25">
      <c r="A1409" s="18" t="s">
        <v>1517</v>
      </c>
      <c r="C1409" s="3">
        <v>700000</v>
      </c>
    </row>
    <row r="1410" spans="1:6" x14ac:dyDescent="0.25">
      <c r="A1410" s="18" t="s">
        <v>1518</v>
      </c>
      <c r="C1410" s="3">
        <v>115000</v>
      </c>
    </row>
    <row r="1411" spans="1:6" x14ac:dyDescent="0.25">
      <c r="A1411" s="18" t="s">
        <v>1466</v>
      </c>
      <c r="C1411" s="3">
        <v>663000</v>
      </c>
    </row>
    <row r="1412" spans="1:6" x14ac:dyDescent="0.25">
      <c r="A1412" s="18" t="s">
        <v>1520</v>
      </c>
      <c r="C1412" s="3">
        <v>1000000</v>
      </c>
      <c r="E1412" s="13" t="s">
        <v>1521</v>
      </c>
      <c r="F1412" s="25">
        <f>F1405-C1407+C1408-C1409-C1410-C1411+C1412</f>
        <v>55322000</v>
      </c>
    </row>
    <row r="1413" spans="1:6" x14ac:dyDescent="0.25">
      <c r="A1413" s="4" t="s">
        <v>1522</v>
      </c>
    </row>
    <row r="1414" spans="1:6" x14ac:dyDescent="0.25">
      <c r="A1414" s="18" t="s">
        <v>1523</v>
      </c>
      <c r="C1414" s="3">
        <v>370000</v>
      </c>
    </row>
    <row r="1415" spans="1:6" x14ac:dyDescent="0.25">
      <c r="A1415" s="18" t="s">
        <v>1466</v>
      </c>
      <c r="C1415" s="3">
        <v>1076000</v>
      </c>
    </row>
    <row r="1416" spans="1:6" x14ac:dyDescent="0.25">
      <c r="A1416" s="18" t="s">
        <v>924</v>
      </c>
      <c r="C1416" s="3">
        <v>5315000</v>
      </c>
      <c r="E1416" s="13" t="s">
        <v>1524</v>
      </c>
      <c r="F1416" s="25">
        <f>F1412-C1414-C1415-C1416</f>
        <v>48561000</v>
      </c>
    </row>
    <row r="1417" spans="1:6" x14ac:dyDescent="0.25">
      <c r="A1417" s="4" t="s">
        <v>1525</v>
      </c>
    </row>
    <row r="1418" spans="1:6" x14ac:dyDescent="0.25">
      <c r="A1418" s="18" t="s">
        <v>1526</v>
      </c>
      <c r="C1418" s="3">
        <v>1090000</v>
      </c>
      <c r="D1418" s="19"/>
    </row>
    <row r="1419" spans="1:6" x14ac:dyDescent="0.25">
      <c r="A1419" s="18" t="s">
        <v>1527</v>
      </c>
      <c r="C1419" s="3">
        <v>90000</v>
      </c>
    </row>
    <row r="1420" spans="1:6" x14ac:dyDescent="0.25">
      <c r="A1420" s="18" t="s">
        <v>1534</v>
      </c>
      <c r="C1420" s="3">
        <v>500000</v>
      </c>
    </row>
    <row r="1421" spans="1:6" x14ac:dyDescent="0.25">
      <c r="A1421" s="18" t="s">
        <v>1528</v>
      </c>
      <c r="C1421" s="3">
        <v>123000</v>
      </c>
      <c r="E1421" s="13" t="s">
        <v>1529</v>
      </c>
      <c r="F1421" s="25">
        <f>F1416-C1418-C1419-C1421-C1420</f>
        <v>46758000</v>
      </c>
    </row>
    <row r="1422" spans="1:6" x14ac:dyDescent="0.25">
      <c r="A1422" s="4" t="s">
        <v>1530</v>
      </c>
    </row>
    <row r="1423" spans="1:6" x14ac:dyDescent="0.25">
      <c r="A1423" s="18" t="s">
        <v>924</v>
      </c>
      <c r="C1423" s="3">
        <v>422000</v>
      </c>
    </row>
    <row r="1424" spans="1:6" x14ac:dyDescent="0.25">
      <c r="A1424" s="18" t="s">
        <v>1466</v>
      </c>
      <c r="C1424" s="3">
        <v>2399000</v>
      </c>
    </row>
    <row r="1425" spans="1:6" x14ac:dyDescent="0.25">
      <c r="A1425" s="18" t="s">
        <v>1544</v>
      </c>
      <c r="C1425" s="3">
        <v>1100000</v>
      </c>
      <c r="E1425" s="13" t="s">
        <v>1531</v>
      </c>
      <c r="F1425" s="25">
        <f>F1421-C1423-C1424-C1425</f>
        <v>42837000</v>
      </c>
    </row>
    <row r="1426" spans="1:6" x14ac:dyDescent="0.25">
      <c r="A1426" s="4" t="s">
        <v>1532</v>
      </c>
    </row>
    <row r="1427" spans="1:6" x14ac:dyDescent="0.25">
      <c r="A1427" s="18" t="s">
        <v>1533</v>
      </c>
      <c r="C1427" s="3">
        <v>6500000</v>
      </c>
    </row>
    <row r="1428" spans="1:6" x14ac:dyDescent="0.25">
      <c r="A1428" s="18" t="s">
        <v>1466</v>
      </c>
      <c r="C1428" s="3">
        <v>959000</v>
      </c>
      <c r="E1428" s="13" t="s">
        <v>1535</v>
      </c>
      <c r="F1428" s="25">
        <f>F1425+C1427-C1428</f>
        <v>48378000</v>
      </c>
    </row>
    <row r="1429" spans="1:6" x14ac:dyDescent="0.25">
      <c r="A1429" s="4" t="s">
        <v>1536</v>
      </c>
    </row>
    <row r="1430" spans="1:6" x14ac:dyDescent="0.25">
      <c r="A1430" s="18" t="s">
        <v>1429</v>
      </c>
      <c r="C1430" s="3">
        <v>2643000</v>
      </c>
    </row>
    <row r="1431" spans="1:6" x14ac:dyDescent="0.25">
      <c r="A1431" s="18" t="s">
        <v>1537</v>
      </c>
      <c r="C1431" s="3">
        <v>112000</v>
      </c>
    </row>
    <row r="1432" spans="1:6" x14ac:dyDescent="0.25">
      <c r="A1432" s="18" t="s">
        <v>1538</v>
      </c>
      <c r="C1432" s="3">
        <v>45000</v>
      </c>
    </row>
    <row r="1433" spans="1:6" x14ac:dyDescent="0.25">
      <c r="A1433" s="18" t="s">
        <v>1539</v>
      </c>
      <c r="C1433" s="3">
        <v>220000</v>
      </c>
    </row>
    <row r="1434" spans="1:6" x14ac:dyDescent="0.25">
      <c r="A1434" s="18" t="s">
        <v>1540</v>
      </c>
      <c r="C1434" s="3">
        <v>1500000</v>
      </c>
    </row>
    <row r="1435" spans="1:6" x14ac:dyDescent="0.25">
      <c r="A1435" s="18" t="s">
        <v>1466</v>
      </c>
      <c r="B1435" s="1" t="s">
        <v>1128</v>
      </c>
      <c r="C1435" s="3">
        <v>1715000</v>
      </c>
      <c r="E1435" s="13" t="s">
        <v>1541</v>
      </c>
      <c r="F1435" s="25">
        <f>F1428-C1430-C1431-C1432-C1433-C1434-C1435</f>
        <v>42143000</v>
      </c>
    </row>
    <row r="1436" spans="1:6" x14ac:dyDescent="0.25">
      <c r="A1436" s="4" t="s">
        <v>1542</v>
      </c>
    </row>
    <row r="1437" spans="1:6" x14ac:dyDescent="0.25">
      <c r="A1437" s="18" t="s">
        <v>1543</v>
      </c>
      <c r="C1437" s="3">
        <v>500000</v>
      </c>
    </row>
    <row r="1438" spans="1:6" x14ac:dyDescent="0.25">
      <c r="A1438" s="18" t="s">
        <v>1545</v>
      </c>
      <c r="C1438" s="3">
        <v>942000</v>
      </c>
    </row>
    <row r="1439" spans="1:6" x14ac:dyDescent="0.25">
      <c r="A1439" s="18" t="s">
        <v>1546</v>
      </c>
      <c r="C1439" s="3">
        <v>8000000</v>
      </c>
    </row>
    <row r="1440" spans="1:6" x14ac:dyDescent="0.25">
      <c r="A1440" s="18" t="s">
        <v>1547</v>
      </c>
      <c r="C1440" s="3">
        <v>1500000</v>
      </c>
      <c r="E1440" s="13" t="s">
        <v>1548</v>
      </c>
      <c r="F1440" s="25">
        <f>F1435-C1437-C1438-C1439-C1440</f>
        <v>31201000</v>
      </c>
    </row>
    <row r="1441" spans="1:6" x14ac:dyDescent="0.25">
      <c r="A1441" s="4" t="s">
        <v>1549</v>
      </c>
    </row>
    <row r="1442" spans="1:6" x14ac:dyDescent="0.25">
      <c r="A1442" s="18" t="s">
        <v>1550</v>
      </c>
      <c r="C1442" s="3">
        <v>1600000</v>
      </c>
      <c r="E1442" s="13" t="s">
        <v>1551</v>
      </c>
      <c r="F1442" s="25">
        <f>F1440-C1442-C1443</f>
        <v>27501000</v>
      </c>
    </row>
    <row r="1443" spans="1:6" x14ac:dyDescent="0.25">
      <c r="A1443" s="18" t="s">
        <v>1552</v>
      </c>
      <c r="C1443" s="3">
        <v>2100000</v>
      </c>
    </row>
    <row r="1444" spans="1:6" x14ac:dyDescent="0.25">
      <c r="A1444" s="4" t="s">
        <v>1554</v>
      </c>
    </row>
    <row r="1445" spans="1:6" x14ac:dyDescent="0.25">
      <c r="A1445" s="18" t="s">
        <v>1557</v>
      </c>
      <c r="C1445" s="3">
        <v>933000</v>
      </c>
    </row>
    <row r="1446" spans="1:6" x14ac:dyDescent="0.25">
      <c r="A1446" s="18" t="s">
        <v>1555</v>
      </c>
      <c r="C1446" s="3">
        <v>10420000</v>
      </c>
    </row>
    <row r="1447" spans="1:6" x14ac:dyDescent="0.25">
      <c r="A1447" s="18" t="s">
        <v>826</v>
      </c>
      <c r="C1447" s="3">
        <v>614000</v>
      </c>
    </row>
    <row r="1448" spans="1:6" x14ac:dyDescent="0.25">
      <c r="A1448" s="18" t="s">
        <v>1558</v>
      </c>
      <c r="C1448" s="3">
        <v>710000</v>
      </c>
      <c r="E1448" s="13" t="s">
        <v>1556</v>
      </c>
      <c r="F1448" s="25">
        <f>F1442-C1445-C1446-C1447-C1448</f>
        <v>14824000</v>
      </c>
    </row>
    <row r="1449" spans="1:6" x14ac:dyDescent="0.25">
      <c r="A1449" s="4" t="s">
        <v>1559</v>
      </c>
    </row>
    <row r="1450" spans="1:6" x14ac:dyDescent="0.25">
      <c r="A1450" t="s">
        <v>924</v>
      </c>
      <c r="C1450" s="3">
        <v>2097000</v>
      </c>
    </row>
    <row r="1451" spans="1:6" x14ac:dyDescent="0.25">
      <c r="A1451" t="s">
        <v>1560</v>
      </c>
      <c r="C1451" s="3">
        <v>10000000</v>
      </c>
      <c r="E1451" s="13" t="s">
        <v>1561</v>
      </c>
      <c r="F1451" s="25">
        <f>F1448-C1450+C1451</f>
        <v>22727000</v>
      </c>
    </row>
    <row r="1452" spans="1:6" x14ac:dyDescent="0.25">
      <c r="A1452" s="4" t="s">
        <v>1562</v>
      </c>
    </row>
    <row r="1453" spans="1:6" x14ac:dyDescent="0.25">
      <c r="A1453" t="s">
        <v>1563</v>
      </c>
      <c r="C1453" s="3">
        <v>1000000</v>
      </c>
    </row>
    <row r="1454" spans="1:6" x14ac:dyDescent="0.25">
      <c r="A1454" t="s">
        <v>1564</v>
      </c>
      <c r="C1454" s="3">
        <v>500000</v>
      </c>
    </row>
    <row r="1455" spans="1:6" x14ac:dyDescent="0.25">
      <c r="A1455" t="s">
        <v>1565</v>
      </c>
      <c r="C1455" s="3">
        <v>550000</v>
      </c>
    </row>
    <row r="1456" spans="1:6" x14ac:dyDescent="0.25">
      <c r="A1456" s="4" t="s">
        <v>1566</v>
      </c>
    </row>
    <row r="1457" spans="1:6" x14ac:dyDescent="0.25">
      <c r="A1457" t="s">
        <v>1567</v>
      </c>
      <c r="C1457" s="3">
        <v>470000</v>
      </c>
    </row>
    <row r="1458" spans="1:6" x14ac:dyDescent="0.25">
      <c r="A1458" t="s">
        <v>1568</v>
      </c>
      <c r="C1458" s="3">
        <v>300000</v>
      </c>
    </row>
    <row r="1459" spans="1:6" x14ac:dyDescent="0.25">
      <c r="A1459" t="s">
        <v>1488</v>
      </c>
      <c r="C1459" s="3">
        <v>6500000</v>
      </c>
    </row>
    <row r="1460" spans="1:6" x14ac:dyDescent="0.25">
      <c r="A1460" t="s">
        <v>1569</v>
      </c>
      <c r="C1460" s="3">
        <v>1022000</v>
      </c>
      <c r="E1460" s="13" t="s">
        <v>1570</v>
      </c>
      <c r="F1460" s="25">
        <f>F1451-C1454-C1455-C1457-C1458+C1459-C1460+C1453</f>
        <v>27385000</v>
      </c>
    </row>
    <row r="1461" spans="1:6" x14ac:dyDescent="0.25">
      <c r="A1461" s="4" t="s">
        <v>1571</v>
      </c>
    </row>
    <row r="1462" spans="1:6" x14ac:dyDescent="0.25">
      <c r="A1462" t="s">
        <v>1572</v>
      </c>
      <c r="C1462" s="3">
        <v>740000</v>
      </c>
      <c r="E1462" s="13" t="s">
        <v>1573</v>
      </c>
      <c r="F1462" s="25">
        <f>F1460-C1462</f>
        <v>26645000</v>
      </c>
    </row>
    <row r="1463" spans="1:6" x14ac:dyDescent="0.25">
      <c r="A1463" s="4" t="s">
        <v>1577</v>
      </c>
    </row>
    <row r="1464" spans="1:6" x14ac:dyDescent="0.25">
      <c r="A1464" t="s">
        <v>1574</v>
      </c>
      <c r="C1464" s="3">
        <v>360000</v>
      </c>
    </row>
    <row r="1465" spans="1:6" x14ac:dyDescent="0.25">
      <c r="A1465" s="18" t="s">
        <v>1575</v>
      </c>
      <c r="C1465" s="3">
        <v>200000</v>
      </c>
    </row>
    <row r="1466" spans="1:6" x14ac:dyDescent="0.25">
      <c r="A1466" s="18" t="s">
        <v>1579</v>
      </c>
      <c r="C1466" s="3">
        <v>1500000</v>
      </c>
    </row>
    <row r="1467" spans="1:6" x14ac:dyDescent="0.25">
      <c r="A1467" s="18" t="s">
        <v>1580</v>
      </c>
      <c r="C1467" s="3">
        <v>14000000</v>
      </c>
    </row>
    <row r="1468" spans="1:6" x14ac:dyDescent="0.25">
      <c r="A1468" s="18" t="s">
        <v>1581</v>
      </c>
      <c r="C1468" s="3">
        <v>500000</v>
      </c>
    </row>
    <row r="1469" spans="1:6" x14ac:dyDescent="0.25">
      <c r="A1469" s="18" t="s">
        <v>1582</v>
      </c>
      <c r="C1469" s="3">
        <v>7303000</v>
      </c>
    </row>
    <row r="1470" spans="1:6" x14ac:dyDescent="0.25">
      <c r="A1470" s="18" t="s">
        <v>804</v>
      </c>
      <c r="C1470" s="3">
        <v>8000000</v>
      </c>
    </row>
    <row r="1471" spans="1:6" x14ac:dyDescent="0.25">
      <c r="A1471" s="18" t="s">
        <v>1583</v>
      </c>
      <c r="C1471" s="3">
        <v>110000</v>
      </c>
    </row>
    <row r="1472" spans="1:6" x14ac:dyDescent="0.25">
      <c r="A1472" s="18" t="s">
        <v>1576</v>
      </c>
      <c r="C1472" s="3">
        <v>800000</v>
      </c>
      <c r="E1472" s="13" t="s">
        <v>1578</v>
      </c>
      <c r="F1472" s="25">
        <f>F1462-C1464-C1465-C1472+C1466+C1467-C1468-C1469-C1470-C1471</f>
        <v>24872000</v>
      </c>
    </row>
    <row r="1474" spans="1:6" x14ac:dyDescent="0.25">
      <c r="A1474" s="18" t="s">
        <v>1584</v>
      </c>
      <c r="C1474" s="3">
        <v>1500000</v>
      </c>
    </row>
    <row r="1475" spans="1:6" x14ac:dyDescent="0.25">
      <c r="A1475" s="18" t="s">
        <v>820</v>
      </c>
      <c r="C1475" s="3">
        <v>500000</v>
      </c>
    </row>
    <row r="1476" spans="1:6" x14ac:dyDescent="0.25">
      <c r="A1476" s="18" t="s">
        <v>1585</v>
      </c>
      <c r="C1476" s="3">
        <v>954000</v>
      </c>
    </row>
    <row r="1477" spans="1:6" x14ac:dyDescent="0.25">
      <c r="A1477" s="18" t="s">
        <v>1586</v>
      </c>
      <c r="C1477" s="3">
        <v>1552000</v>
      </c>
      <c r="E1477" s="13" t="s">
        <v>1587</v>
      </c>
      <c r="F1477" s="25">
        <f>F1472-C1474-C1475-C1476-C1477</f>
        <v>20366000</v>
      </c>
    </row>
    <row r="1478" spans="1:6" x14ac:dyDescent="0.25">
      <c r="A1478" s="4" t="s">
        <v>1588</v>
      </c>
    </row>
    <row r="1479" spans="1:6" x14ac:dyDescent="0.25">
      <c r="A1479" s="18" t="s">
        <v>1589</v>
      </c>
      <c r="C1479" s="3">
        <v>106000</v>
      </c>
    </row>
    <row r="1480" spans="1:6" x14ac:dyDescent="0.25">
      <c r="A1480" s="18" t="s">
        <v>1590</v>
      </c>
      <c r="C1480" s="3">
        <v>1476000</v>
      </c>
    </row>
    <row r="1481" spans="1:6" x14ac:dyDescent="0.25">
      <c r="A1481" s="18" t="s">
        <v>1591</v>
      </c>
      <c r="C1481" s="3">
        <v>1307000</v>
      </c>
    </row>
    <row r="1482" spans="1:6" x14ac:dyDescent="0.25">
      <c r="A1482" s="18" t="s">
        <v>1592</v>
      </c>
      <c r="C1482" s="3">
        <v>729000</v>
      </c>
    </row>
    <row r="1483" spans="1:6" x14ac:dyDescent="0.25">
      <c r="A1483" s="29" t="s">
        <v>1593</v>
      </c>
      <c r="B1483" s="30"/>
      <c r="C1483" s="31">
        <v>2000000</v>
      </c>
    </row>
    <row r="1484" spans="1:6" x14ac:dyDescent="0.25">
      <c r="A1484" s="18" t="s">
        <v>1594</v>
      </c>
      <c r="C1484" s="3">
        <v>1000000</v>
      </c>
      <c r="E1484" s="13" t="s">
        <v>1595</v>
      </c>
      <c r="F1484" s="25">
        <f>F1477-C1479-C1480-C1481-C1482-C1483+C1484</f>
        <v>15748000</v>
      </c>
    </row>
    <row r="1485" spans="1:6" x14ac:dyDescent="0.25">
      <c r="A1485" s="4" t="s">
        <v>1596</v>
      </c>
    </row>
    <row r="1486" spans="1:6" x14ac:dyDescent="0.25">
      <c r="A1486" s="18" t="s">
        <v>1597</v>
      </c>
      <c r="C1486" s="3">
        <v>2000000</v>
      </c>
    </row>
    <row r="1487" spans="1:6" x14ac:dyDescent="0.25">
      <c r="A1487" s="18" t="s">
        <v>1598</v>
      </c>
      <c r="C1487" s="3">
        <v>188000</v>
      </c>
    </row>
    <row r="1488" spans="1:6" x14ac:dyDescent="0.25">
      <c r="A1488" s="18" t="s">
        <v>1599</v>
      </c>
      <c r="C1488" s="3">
        <v>830000</v>
      </c>
    </row>
    <row r="1489" spans="1:6" x14ac:dyDescent="0.25">
      <c r="A1489" s="18" t="s">
        <v>1600</v>
      </c>
      <c r="C1489" s="3">
        <v>147000</v>
      </c>
    </row>
    <row r="1490" spans="1:6" x14ac:dyDescent="0.25">
      <c r="A1490" s="18" t="s">
        <v>1601</v>
      </c>
      <c r="C1490" s="3">
        <v>500000</v>
      </c>
      <c r="E1490" s="13" t="s">
        <v>1602</v>
      </c>
      <c r="F1490" s="25">
        <f>F1484+C1486-C1487-C1488-C1489-C1490</f>
        <v>16083000</v>
      </c>
    </row>
    <row r="1491" spans="1:6" x14ac:dyDescent="0.25">
      <c r="A1491" s="4" t="s">
        <v>1603</v>
      </c>
    </row>
    <row r="1492" spans="1:6" x14ac:dyDescent="0.25">
      <c r="A1492" s="18" t="s">
        <v>1604</v>
      </c>
      <c r="C1492" s="3">
        <v>443000</v>
      </c>
    </row>
    <row r="1493" spans="1:6" x14ac:dyDescent="0.25">
      <c r="A1493" s="18" t="s">
        <v>1605</v>
      </c>
      <c r="C1493" s="3">
        <v>1000000</v>
      </c>
      <c r="E1493" s="13" t="s">
        <v>1606</v>
      </c>
      <c r="F1493" s="25">
        <f>F1490-C1492-C1493</f>
        <v>14640000</v>
      </c>
    </row>
    <row r="1494" spans="1:6" x14ac:dyDescent="0.25">
      <c r="A1494" s="4" t="s">
        <v>1607</v>
      </c>
    </row>
    <row r="1495" spans="1:6" x14ac:dyDescent="0.25">
      <c r="A1495" s="18" t="s">
        <v>1604</v>
      </c>
      <c r="C1495" s="3">
        <v>750000</v>
      </c>
      <c r="E1495" s="13" t="s">
        <v>1608</v>
      </c>
      <c r="F1495" s="25">
        <f>F1493-C1495</f>
        <v>13890000</v>
      </c>
    </row>
    <row r="1496" spans="1:6" x14ac:dyDescent="0.25">
      <c r="A1496" s="4" t="s">
        <v>1609</v>
      </c>
    </row>
    <row r="1497" spans="1:6" x14ac:dyDescent="0.25">
      <c r="A1497" s="18" t="s">
        <v>1488</v>
      </c>
      <c r="C1497" s="3">
        <v>6500000</v>
      </c>
    </row>
    <row r="1498" spans="1:6" x14ac:dyDescent="0.25">
      <c r="A1498" s="18" t="s">
        <v>1610</v>
      </c>
      <c r="C1498" s="3">
        <v>1950000</v>
      </c>
    </row>
    <row r="1499" spans="1:6" x14ac:dyDescent="0.25">
      <c r="A1499" s="18" t="s">
        <v>1613</v>
      </c>
      <c r="C1499" s="3">
        <v>500000</v>
      </c>
    </row>
    <row r="1500" spans="1:6" x14ac:dyDescent="0.25">
      <c r="A1500" s="18" t="s">
        <v>1611</v>
      </c>
      <c r="C1500" s="3">
        <v>70000</v>
      </c>
      <c r="E1500" s="13" t="s">
        <v>1612</v>
      </c>
      <c r="F1500" s="25">
        <f>F1495+C1497-C1498-C1500-C1499</f>
        <v>17870000</v>
      </c>
    </row>
    <row r="1501" spans="1:6" x14ac:dyDescent="0.25">
      <c r="A1501" s="4" t="s">
        <v>1614</v>
      </c>
    </row>
    <row r="1502" spans="1:6" x14ac:dyDescent="0.25">
      <c r="A1502" s="18" t="s">
        <v>1615</v>
      </c>
      <c r="C1502" s="3">
        <v>1000000</v>
      </c>
    </row>
    <row r="1503" spans="1:6" x14ac:dyDescent="0.25">
      <c r="A1503" s="18" t="s">
        <v>1616</v>
      </c>
      <c r="C1503" s="3">
        <v>230000</v>
      </c>
      <c r="E1503" s="13" t="s">
        <v>1617</v>
      </c>
      <c r="F1503" s="25">
        <f>F1500-C1502-C1503</f>
        <v>16640000</v>
      </c>
    </row>
    <row r="1504" spans="1:6" x14ac:dyDescent="0.25">
      <c r="A1504" s="4" t="s">
        <v>1618</v>
      </c>
    </row>
    <row r="1505" spans="1:6" x14ac:dyDescent="0.25">
      <c r="A1505" s="18" t="s">
        <v>1619</v>
      </c>
      <c r="C1505" s="3">
        <v>105000</v>
      </c>
    </row>
    <row r="1506" spans="1:6" x14ac:dyDescent="0.25">
      <c r="A1506" s="18" t="s">
        <v>344</v>
      </c>
      <c r="C1506" s="3">
        <v>355000</v>
      </c>
    </row>
    <row r="1507" spans="1:6" x14ac:dyDescent="0.25">
      <c r="A1507" s="18" t="s">
        <v>1620</v>
      </c>
      <c r="C1507" s="3">
        <v>2000000</v>
      </c>
    </row>
    <row r="1508" spans="1:6" x14ac:dyDescent="0.25">
      <c r="A1508" s="18" t="s">
        <v>1621</v>
      </c>
      <c r="C1508" s="3">
        <v>500000</v>
      </c>
      <c r="E1508" s="13" t="s">
        <v>1622</v>
      </c>
      <c r="F1508" s="25">
        <f>F1503-C1505-C1506-C1507-C1508</f>
        <v>13680000</v>
      </c>
    </row>
    <row r="1509" spans="1:6" x14ac:dyDescent="0.25">
      <c r="A1509" s="4" t="s">
        <v>1628</v>
      </c>
    </row>
    <row r="1510" spans="1:6" x14ac:dyDescent="0.25">
      <c r="A1510" t="s">
        <v>1623</v>
      </c>
      <c r="C1510" s="3">
        <v>2339000</v>
      </c>
    </row>
    <row r="1511" spans="1:6" x14ac:dyDescent="0.25">
      <c r="A1511" t="s">
        <v>874</v>
      </c>
      <c r="C1511" s="3">
        <v>8000000</v>
      </c>
    </row>
    <row r="1512" spans="1:6" x14ac:dyDescent="0.25">
      <c r="A1512" t="s">
        <v>1624</v>
      </c>
      <c r="C1512" s="3">
        <v>12500000</v>
      </c>
    </row>
    <row r="1513" spans="1:6" x14ac:dyDescent="0.25">
      <c r="A1513" t="s">
        <v>1625</v>
      </c>
      <c r="C1513" s="3">
        <v>1000000</v>
      </c>
    </row>
    <row r="1514" spans="1:6" x14ac:dyDescent="0.25">
      <c r="A1514" t="s">
        <v>1626</v>
      </c>
      <c r="C1514" s="3">
        <v>750000</v>
      </c>
      <c r="E1514" s="13" t="s">
        <v>1627</v>
      </c>
      <c r="F1514" s="25">
        <f>F1508-C1510-C1511+C1512+C1513-C1514</f>
        <v>16091000</v>
      </c>
    </row>
    <row r="1515" spans="1:6" x14ac:dyDescent="0.25">
      <c r="A1515" s="4" t="s">
        <v>1629</v>
      </c>
    </row>
    <row r="1516" spans="1:6" x14ac:dyDescent="0.25">
      <c r="A1516" t="s">
        <v>891</v>
      </c>
      <c r="C1516" s="3">
        <v>500000</v>
      </c>
    </row>
    <row r="1517" spans="1:6" x14ac:dyDescent="0.25">
      <c r="A1517" t="s">
        <v>1630</v>
      </c>
      <c r="C1517" s="3">
        <v>100000</v>
      </c>
    </row>
    <row r="1518" spans="1:6" x14ac:dyDescent="0.25">
      <c r="A1518" t="s">
        <v>1631</v>
      </c>
      <c r="C1518" s="3">
        <v>510000</v>
      </c>
    </row>
    <row r="1519" spans="1:6" x14ac:dyDescent="0.25">
      <c r="A1519" t="s">
        <v>1632</v>
      </c>
      <c r="C1519" s="3">
        <v>200000</v>
      </c>
      <c r="E1519" s="13" t="s">
        <v>1633</v>
      </c>
      <c r="F1519" s="25">
        <f>F1514-C1516-C1517-C1518-C1519</f>
        <v>14781000</v>
      </c>
    </row>
    <row r="1520" spans="1:6" x14ac:dyDescent="0.25">
      <c r="A1520" s="4" t="s">
        <v>1634</v>
      </c>
    </row>
    <row r="1521" spans="1:6" x14ac:dyDescent="0.25">
      <c r="A1521" t="s">
        <v>1635</v>
      </c>
      <c r="C1521" s="3">
        <v>160000</v>
      </c>
    </row>
    <row r="1522" spans="1:6" x14ac:dyDescent="0.25">
      <c r="A1522" t="s">
        <v>1636</v>
      </c>
      <c r="C1522" s="3">
        <v>350000</v>
      </c>
    </row>
    <row r="1523" spans="1:6" x14ac:dyDescent="0.25">
      <c r="A1523" t="s">
        <v>1637</v>
      </c>
      <c r="C1523" s="3">
        <v>100000</v>
      </c>
      <c r="E1523" s="13" t="s">
        <v>1641</v>
      </c>
      <c r="F1523" s="25">
        <f>F1519-C1521-C1522-C1523</f>
        <v>14171000</v>
      </c>
    </row>
    <row r="1524" spans="1:6" x14ac:dyDescent="0.25">
      <c r="A1524" s="4" t="s">
        <v>1638</v>
      </c>
    </row>
    <row r="1525" spans="1:6" x14ac:dyDescent="0.25">
      <c r="A1525" t="s">
        <v>1332</v>
      </c>
      <c r="C1525" s="3">
        <v>7476000</v>
      </c>
    </row>
    <row r="1526" spans="1:6" x14ac:dyDescent="0.25">
      <c r="A1526" t="s">
        <v>1591</v>
      </c>
      <c r="C1526" s="3">
        <v>480000</v>
      </c>
    </row>
    <row r="1527" spans="1:6" x14ac:dyDescent="0.25">
      <c r="A1527" t="s">
        <v>1639</v>
      </c>
      <c r="C1527" s="3">
        <v>1000000</v>
      </c>
    </row>
    <row r="1528" spans="1:6" x14ac:dyDescent="0.25">
      <c r="A1528" t="s">
        <v>1640</v>
      </c>
      <c r="C1528" s="3">
        <v>1300000</v>
      </c>
      <c r="E1528" s="13" t="s">
        <v>1642</v>
      </c>
      <c r="F1528" s="25">
        <f>F1523-C1525-C1526-C1527-C1528</f>
        <v>3915000</v>
      </c>
    </row>
    <row r="1529" spans="1:6" x14ac:dyDescent="0.25">
      <c r="A1529" s="4" t="s">
        <v>1643</v>
      </c>
    </row>
    <row r="1530" spans="1:6" x14ac:dyDescent="0.25">
      <c r="A1530" t="s">
        <v>1644</v>
      </c>
      <c r="C1530" s="3">
        <v>430000</v>
      </c>
    </row>
    <row r="1531" spans="1:6" x14ac:dyDescent="0.25">
      <c r="A1531" t="s">
        <v>907</v>
      </c>
      <c r="C1531" s="3">
        <v>500000</v>
      </c>
    </row>
    <row r="1532" spans="1:6" x14ac:dyDescent="0.25">
      <c r="A1532" t="s">
        <v>1645</v>
      </c>
      <c r="C1532" s="3">
        <v>500000</v>
      </c>
      <c r="E1532" s="13" t="s">
        <v>1646</v>
      </c>
      <c r="F1532" s="25">
        <f>F1528-C1530-C1531-C1532</f>
        <v>2485000</v>
      </c>
    </row>
    <row r="1533" spans="1:6" x14ac:dyDescent="0.25">
      <c r="A1533" s="4" t="s">
        <v>1647</v>
      </c>
    </row>
    <row r="1534" spans="1:6" x14ac:dyDescent="0.25">
      <c r="A1534" t="s">
        <v>1648</v>
      </c>
      <c r="C1534" s="3">
        <v>75000</v>
      </c>
    </row>
    <row r="1535" spans="1:6" x14ac:dyDescent="0.25">
      <c r="A1535" t="s">
        <v>1649</v>
      </c>
      <c r="C1535" s="3">
        <v>200000</v>
      </c>
    </row>
    <row r="1536" spans="1:6" x14ac:dyDescent="0.25">
      <c r="A1536" t="s">
        <v>1650</v>
      </c>
      <c r="C1536" s="3">
        <v>200000</v>
      </c>
    </row>
    <row r="1537" spans="1:6" x14ac:dyDescent="0.25">
      <c r="A1537" t="s">
        <v>1651</v>
      </c>
      <c r="C1537" s="3">
        <v>6500000</v>
      </c>
      <c r="E1537" s="13" t="s">
        <v>1652</v>
      </c>
      <c r="F1537" s="25">
        <f>F1532-C1534-C1535-C1536+C1537</f>
        <v>8510000</v>
      </c>
    </row>
    <row r="1538" spans="1:6" x14ac:dyDescent="0.25">
      <c r="A1538" s="4" t="s">
        <v>1654</v>
      </c>
    </row>
    <row r="1539" spans="1:6" x14ac:dyDescent="0.25">
      <c r="A1539" t="s">
        <v>1653</v>
      </c>
      <c r="C1539" s="3">
        <v>346000</v>
      </c>
    </row>
    <row r="1540" spans="1:6" x14ac:dyDescent="0.25">
      <c r="A1540" t="s">
        <v>1604</v>
      </c>
      <c r="C1540" s="3">
        <v>415000</v>
      </c>
    </row>
    <row r="1541" spans="1:6" x14ac:dyDescent="0.25">
      <c r="A1541" t="s">
        <v>1655</v>
      </c>
      <c r="C1541" s="3">
        <v>14000000</v>
      </c>
    </row>
    <row r="1542" spans="1:6" x14ac:dyDescent="0.25">
      <c r="A1542" t="s">
        <v>1656</v>
      </c>
      <c r="C1542" s="3">
        <v>2000000</v>
      </c>
      <c r="E1542" s="13" t="s">
        <v>1657</v>
      </c>
      <c r="F1542" s="25">
        <f>F1537-C1539-C1540+C1541-C1542</f>
        <v>19749000</v>
      </c>
    </row>
    <row r="1543" spans="1:6" x14ac:dyDescent="0.25">
      <c r="A1543" s="4" t="s">
        <v>1658</v>
      </c>
    </row>
    <row r="1544" spans="1:6" x14ac:dyDescent="0.25">
      <c r="A1544" t="s">
        <v>1560</v>
      </c>
      <c r="C1544" s="3">
        <v>13800000</v>
      </c>
    </row>
    <row r="1545" spans="1:6" x14ac:dyDescent="0.25">
      <c r="A1545" t="s">
        <v>1659</v>
      </c>
      <c r="C1545" s="3">
        <f>1180000</f>
        <v>1180000</v>
      </c>
    </row>
    <row r="1546" spans="1:6" x14ac:dyDescent="0.25">
      <c r="A1546" t="s">
        <v>1660</v>
      </c>
      <c r="C1546" s="3">
        <v>160000</v>
      </c>
    </row>
    <row r="1547" spans="1:6" x14ac:dyDescent="0.25">
      <c r="A1547" t="s">
        <v>1661</v>
      </c>
      <c r="C1547" s="3">
        <v>500000</v>
      </c>
    </row>
    <row r="1548" spans="1:6" x14ac:dyDescent="0.25">
      <c r="A1548" t="s">
        <v>1662</v>
      </c>
      <c r="C1548" s="3">
        <v>454000</v>
      </c>
    </row>
    <row r="1549" spans="1:6" x14ac:dyDescent="0.25">
      <c r="A1549" t="s">
        <v>1663</v>
      </c>
      <c r="C1549" s="3">
        <v>10000000</v>
      </c>
    </row>
    <row r="1550" spans="1:6" x14ac:dyDescent="0.25">
      <c r="A1550" t="s">
        <v>1664</v>
      </c>
      <c r="C1550" s="3">
        <v>146000</v>
      </c>
    </row>
    <row r="1551" spans="1:6" x14ac:dyDescent="0.25">
      <c r="A1551" t="s">
        <v>1667</v>
      </c>
      <c r="C1551" s="3">
        <v>5120000</v>
      </c>
    </row>
    <row r="1552" spans="1:6" x14ac:dyDescent="0.25">
      <c r="A1552" t="s">
        <v>1665</v>
      </c>
      <c r="C1552" s="3">
        <v>8000000</v>
      </c>
      <c r="E1552" s="13" t="s">
        <v>1666</v>
      </c>
      <c r="F1552" s="25">
        <f>F1542+C1544-C1545-C1546-C1547-C1548-C1549+C1550-C1552-C1551</f>
        <v>8281000</v>
      </c>
    </row>
    <row r="1553" spans="1:6" x14ac:dyDescent="0.25">
      <c r="A1553" s="4" t="s">
        <v>1668</v>
      </c>
    </row>
    <row r="1554" spans="1:6" x14ac:dyDescent="0.25">
      <c r="A1554" t="s">
        <v>1669</v>
      </c>
      <c r="C1554" s="3">
        <v>1300000</v>
      </c>
    </row>
    <row r="1555" spans="1:6" x14ac:dyDescent="0.25">
      <c r="A1555" t="s">
        <v>1670</v>
      </c>
      <c r="C1555" s="3">
        <v>500000</v>
      </c>
    </row>
    <row r="1556" spans="1:6" x14ac:dyDescent="0.25">
      <c r="A1556" t="s">
        <v>1671</v>
      </c>
      <c r="C1556" s="3">
        <v>345000</v>
      </c>
    </row>
    <row r="1557" spans="1:6" x14ac:dyDescent="0.25">
      <c r="A1557" t="s">
        <v>1332</v>
      </c>
      <c r="C1557" s="3">
        <v>1960000</v>
      </c>
    </row>
    <row r="1558" spans="1:6" x14ac:dyDescent="0.25">
      <c r="A1558" t="s">
        <v>1672</v>
      </c>
      <c r="C1558" s="3">
        <v>800000</v>
      </c>
    </row>
    <row r="1559" spans="1:6" x14ac:dyDescent="0.25">
      <c r="A1559" t="s">
        <v>1673</v>
      </c>
      <c r="C1559" s="3">
        <v>500000</v>
      </c>
    </row>
    <row r="1560" spans="1:6" x14ac:dyDescent="0.25">
      <c r="A1560" t="s">
        <v>1583</v>
      </c>
      <c r="C1560" s="3">
        <v>105000</v>
      </c>
    </row>
    <row r="1561" spans="1:6" x14ac:dyDescent="0.25">
      <c r="A1561" t="s">
        <v>1674</v>
      </c>
      <c r="C1561" s="3">
        <v>400000</v>
      </c>
      <c r="E1561" s="13" t="s">
        <v>1675</v>
      </c>
      <c r="F1561" s="25">
        <f>F1552-C1554-C1555-C1556-C1557-C1558-C1559-C1560-C1561</f>
        <v>2371000</v>
      </c>
    </row>
    <row r="1562" spans="1:6" x14ac:dyDescent="0.25">
      <c r="A1562" s="4" t="s">
        <v>1676</v>
      </c>
    </row>
    <row r="1563" spans="1:6" x14ac:dyDescent="0.25">
      <c r="A1563" t="s">
        <v>1740</v>
      </c>
      <c r="C1563" s="3">
        <v>0</v>
      </c>
    </row>
    <row r="1564" spans="1:6" x14ac:dyDescent="0.25">
      <c r="A1564" t="s">
        <v>1677</v>
      </c>
      <c r="C1564" s="3">
        <v>6000000</v>
      </c>
    </row>
    <row r="1565" spans="1:6" x14ac:dyDescent="0.25">
      <c r="A1565" t="s">
        <v>1678</v>
      </c>
      <c r="C1565" s="3">
        <v>1000000</v>
      </c>
      <c r="E1565" s="13" t="s">
        <v>1679</v>
      </c>
      <c r="F1565" s="25">
        <f>F1561+C1563+C1564-C1565</f>
        <v>7371000</v>
      </c>
    </row>
    <row r="1566" spans="1:6" x14ac:dyDescent="0.25">
      <c r="A1566" s="4" t="s">
        <v>1680</v>
      </c>
    </row>
    <row r="1567" spans="1:6" x14ac:dyDescent="0.25">
      <c r="A1567" t="s">
        <v>1681</v>
      </c>
      <c r="C1567" s="3">
        <v>900000</v>
      </c>
    </row>
    <row r="1568" spans="1:6" x14ac:dyDescent="0.25">
      <c r="A1568" t="s">
        <v>1682</v>
      </c>
      <c r="C1568" s="3">
        <v>10000000</v>
      </c>
    </row>
    <row r="1569" spans="1:6" x14ac:dyDescent="0.25">
      <c r="A1569" t="s">
        <v>1683</v>
      </c>
      <c r="C1569" s="3">
        <v>300000</v>
      </c>
      <c r="E1569" s="13" t="s">
        <v>1687</v>
      </c>
      <c r="F1569" s="25">
        <f>F1565-C1567-C1568-C1569</f>
        <v>-3829000</v>
      </c>
    </row>
    <row r="1570" spans="1:6" x14ac:dyDescent="0.25">
      <c r="A1570" s="4" t="s">
        <v>1684</v>
      </c>
    </row>
    <row r="1571" spans="1:6" x14ac:dyDescent="0.25">
      <c r="A1571" t="s">
        <v>1533</v>
      </c>
      <c r="C1571" s="3">
        <v>6300000</v>
      </c>
    </row>
    <row r="1572" spans="1:6" x14ac:dyDescent="0.25">
      <c r="A1572" t="s">
        <v>1685</v>
      </c>
      <c r="C1572" s="3">
        <v>900000</v>
      </c>
    </row>
    <row r="1573" spans="1:6" x14ac:dyDescent="0.25">
      <c r="A1573" t="s">
        <v>1686</v>
      </c>
      <c r="C1573" s="3">
        <v>2000000</v>
      </c>
      <c r="E1573" s="13" t="s">
        <v>1688</v>
      </c>
      <c r="F1573" s="25">
        <f>F1569+C1571-C1572-C1573</f>
        <v>-429000</v>
      </c>
    </row>
    <row r="1574" spans="1:6" x14ac:dyDescent="0.25">
      <c r="A1574" s="4" t="s">
        <v>1689</v>
      </c>
    </row>
    <row r="1575" spans="1:6" x14ac:dyDescent="0.25">
      <c r="A1575" t="s">
        <v>1690</v>
      </c>
      <c r="C1575" s="3">
        <v>300000</v>
      </c>
    </row>
    <row r="1576" spans="1:6" x14ac:dyDescent="0.25">
      <c r="A1576" t="s">
        <v>1691</v>
      </c>
      <c r="C1576" s="3">
        <v>13000000</v>
      </c>
    </row>
    <row r="1577" spans="1:6" x14ac:dyDescent="0.25">
      <c r="A1577" t="s">
        <v>1692</v>
      </c>
      <c r="C1577" s="3">
        <v>800000</v>
      </c>
      <c r="E1577" s="13" t="s">
        <v>1693</v>
      </c>
      <c r="F1577" s="25">
        <f>F1573-C1575+C1576-C1577</f>
        <v>11471000</v>
      </c>
    </row>
    <row r="1578" spans="1:6" x14ac:dyDescent="0.25">
      <c r="A1578" s="4" t="s">
        <v>1694</v>
      </c>
    </row>
    <row r="1579" spans="1:6" x14ac:dyDescent="0.25">
      <c r="A1579" t="s">
        <v>1695</v>
      </c>
      <c r="C1579" s="3">
        <v>1800000</v>
      </c>
    </row>
    <row r="1580" spans="1:6" x14ac:dyDescent="0.25">
      <c r="A1580" t="s">
        <v>1696</v>
      </c>
      <c r="C1580" s="3">
        <v>2881000</v>
      </c>
    </row>
    <row r="1581" spans="1:6" x14ac:dyDescent="0.25">
      <c r="A1581" t="s">
        <v>1697</v>
      </c>
      <c r="C1581" s="3">
        <v>8000000</v>
      </c>
      <c r="E1581" s="13" t="s">
        <v>1698</v>
      </c>
      <c r="F1581" s="25">
        <f>F1577-C1580-C1581+C1579</f>
        <v>2390000</v>
      </c>
    </row>
    <row r="1582" spans="1:6" x14ac:dyDescent="0.25">
      <c r="A1582" s="4" t="s">
        <v>1700</v>
      </c>
    </row>
    <row r="1583" spans="1:6" x14ac:dyDescent="0.25">
      <c r="A1583" t="s">
        <v>1699</v>
      </c>
      <c r="C1583" s="3">
        <v>410000</v>
      </c>
    </row>
    <row r="1584" spans="1:6" x14ac:dyDescent="0.25">
      <c r="A1584" t="s">
        <v>1701</v>
      </c>
      <c r="C1584" s="3">
        <v>2500000</v>
      </c>
    </row>
    <row r="1585" spans="1:6" x14ac:dyDescent="0.25">
      <c r="A1585" t="s">
        <v>1702</v>
      </c>
      <c r="C1585" s="3">
        <v>840000</v>
      </c>
    </row>
    <row r="1586" spans="1:6" x14ac:dyDescent="0.25">
      <c r="A1586" t="s">
        <v>1703</v>
      </c>
      <c r="C1586" s="3">
        <v>9750000</v>
      </c>
    </row>
    <row r="1587" spans="1:6" x14ac:dyDescent="0.25">
      <c r="A1587" t="s">
        <v>1704</v>
      </c>
      <c r="C1587" s="3">
        <v>1000000</v>
      </c>
      <c r="E1587" s="13" t="s">
        <v>1705</v>
      </c>
      <c r="F1587" s="25">
        <f>F1581-C1583-C1584-C1585+C1586+C1587</f>
        <v>9390000</v>
      </c>
    </row>
    <row r="1588" spans="1:6" x14ac:dyDescent="0.25">
      <c r="A1588" s="4" t="s">
        <v>1706</v>
      </c>
    </row>
    <row r="1589" spans="1:6" x14ac:dyDescent="0.25">
      <c r="A1589" t="s">
        <v>1707</v>
      </c>
      <c r="C1589" s="3">
        <v>1100000</v>
      </c>
    </row>
    <row r="1590" spans="1:6" x14ac:dyDescent="0.25">
      <c r="A1590" t="s">
        <v>1710</v>
      </c>
      <c r="C1590" s="3">
        <v>300000</v>
      </c>
    </row>
    <row r="1591" spans="1:6" x14ac:dyDescent="0.25">
      <c r="A1591" t="s">
        <v>1685</v>
      </c>
      <c r="C1591" s="3">
        <v>270000</v>
      </c>
    </row>
    <row r="1592" spans="1:6" x14ac:dyDescent="0.25">
      <c r="A1592" t="s">
        <v>1708</v>
      </c>
      <c r="C1592" s="3">
        <v>1000000</v>
      </c>
      <c r="E1592" s="13" t="s">
        <v>1709</v>
      </c>
      <c r="F1592" s="25">
        <f>F1587+C1589-C1592-C1590-C1591</f>
        <v>8920000</v>
      </c>
    </row>
    <row r="1593" spans="1:6" x14ac:dyDescent="0.25">
      <c r="A1593" s="4" t="s">
        <v>1711</v>
      </c>
    </row>
    <row r="1594" spans="1:6" x14ac:dyDescent="0.25">
      <c r="A1594" t="s">
        <v>1712</v>
      </c>
      <c r="C1594" s="3">
        <v>1000000</v>
      </c>
      <c r="E1594" s="13" t="s">
        <v>1713</v>
      </c>
      <c r="F1594" s="25">
        <f>F1592-C1594</f>
        <v>7920000</v>
      </c>
    </row>
    <row r="1595" spans="1:6" x14ac:dyDescent="0.25">
      <c r="A1595" s="4" t="s">
        <v>1714</v>
      </c>
    </row>
    <row r="1596" spans="1:6" x14ac:dyDescent="0.25">
      <c r="A1596" t="s">
        <v>1715</v>
      </c>
      <c r="C1596" s="3">
        <v>760000</v>
      </c>
    </row>
    <row r="1597" spans="1:6" x14ac:dyDescent="0.25">
      <c r="A1597" s="18" t="s">
        <v>1716</v>
      </c>
      <c r="C1597" s="3">
        <v>400000</v>
      </c>
    </row>
    <row r="1598" spans="1:6" x14ac:dyDescent="0.25">
      <c r="A1598" t="s">
        <v>1717</v>
      </c>
      <c r="C1598" s="3">
        <v>500000</v>
      </c>
    </row>
    <row r="1599" spans="1:6" x14ac:dyDescent="0.25">
      <c r="A1599" t="s">
        <v>1718</v>
      </c>
      <c r="C1599" s="3">
        <v>170000</v>
      </c>
    </row>
    <row r="1600" spans="1:6" x14ac:dyDescent="0.25">
      <c r="A1600" t="s">
        <v>1719</v>
      </c>
      <c r="C1600" s="3">
        <v>1000000</v>
      </c>
    </row>
    <row r="1601" spans="1:6" x14ac:dyDescent="0.25">
      <c r="A1601" t="s">
        <v>1583</v>
      </c>
      <c r="C1601" s="3">
        <v>70000</v>
      </c>
    </row>
    <row r="1602" spans="1:6" x14ac:dyDescent="0.25">
      <c r="A1602" t="s">
        <v>1720</v>
      </c>
      <c r="C1602" s="3">
        <v>300000</v>
      </c>
    </row>
    <row r="1603" spans="1:6" x14ac:dyDescent="0.25">
      <c r="A1603" t="s">
        <v>1724</v>
      </c>
      <c r="C1603" s="3">
        <v>1000000</v>
      </c>
    </row>
    <row r="1604" spans="1:6" x14ac:dyDescent="0.25">
      <c r="A1604" t="s">
        <v>1721</v>
      </c>
      <c r="C1604" s="3">
        <v>387000</v>
      </c>
    </row>
    <row r="1605" spans="1:6" x14ac:dyDescent="0.25">
      <c r="A1605" t="s">
        <v>1685</v>
      </c>
      <c r="C1605" s="3">
        <v>740000</v>
      </c>
    </row>
    <row r="1606" spans="1:6" x14ac:dyDescent="0.25">
      <c r="A1606" t="s">
        <v>1726</v>
      </c>
      <c r="C1606" s="3">
        <v>2600000</v>
      </c>
    </row>
    <row r="1607" spans="1:6" x14ac:dyDescent="0.25">
      <c r="A1607" t="s">
        <v>1722</v>
      </c>
      <c r="C1607" s="3">
        <v>2000000</v>
      </c>
    </row>
    <row r="1608" spans="1:6" x14ac:dyDescent="0.25">
      <c r="A1608" t="s">
        <v>1488</v>
      </c>
      <c r="C1608" s="3">
        <v>6500000</v>
      </c>
    </row>
    <row r="1609" spans="1:6" x14ac:dyDescent="0.25">
      <c r="A1609" t="s">
        <v>1723</v>
      </c>
      <c r="C1609" s="3">
        <v>20000000</v>
      </c>
      <c r="E1609" s="13" t="s">
        <v>1725</v>
      </c>
      <c r="F1609" s="25">
        <f>F1594-C1596-C1597-C1598-C1599-C1600-C1601-C1602-C1603-C1604-C1605-C1607+C1608+C1609-C1606</f>
        <v>24493000</v>
      </c>
    </row>
    <row r="1610" spans="1:6" x14ac:dyDescent="0.25">
      <c r="A1610" s="4" t="s">
        <v>1727</v>
      </c>
    </row>
    <row r="1611" spans="1:6" x14ac:dyDescent="0.25">
      <c r="A1611" t="s">
        <v>1728</v>
      </c>
      <c r="C1611" s="3">
        <v>100000</v>
      </c>
    </row>
    <row r="1612" spans="1:6" x14ac:dyDescent="0.25">
      <c r="A1612" t="s">
        <v>1729</v>
      </c>
      <c r="C1612" s="3">
        <v>771000</v>
      </c>
    </row>
    <row r="1613" spans="1:6" x14ac:dyDescent="0.25">
      <c r="A1613" t="s">
        <v>1730</v>
      </c>
      <c r="C1613" s="3">
        <v>1000000</v>
      </c>
    </row>
    <row r="1614" spans="1:6" x14ac:dyDescent="0.25">
      <c r="A1614" t="s">
        <v>1731</v>
      </c>
      <c r="C1614" s="3">
        <v>15400000</v>
      </c>
    </row>
    <row r="1615" spans="1:6" x14ac:dyDescent="0.25">
      <c r="A1615" t="s">
        <v>1732</v>
      </c>
      <c r="C1615" s="3">
        <v>907000</v>
      </c>
    </row>
    <row r="1616" spans="1:6" x14ac:dyDescent="0.25">
      <c r="A1616" t="s">
        <v>1733</v>
      </c>
      <c r="C1616" s="3">
        <v>8000000</v>
      </c>
      <c r="E1616" s="13" t="s">
        <v>1734</v>
      </c>
      <c r="F1616" s="25">
        <f>F1609-C1611-C1612-C1613+C1614-C1616-C1615</f>
        <v>29115000</v>
      </c>
    </row>
    <row r="1617" spans="1:6" x14ac:dyDescent="0.25">
      <c r="A1617" s="4" t="s">
        <v>1736</v>
      </c>
    </row>
    <row r="1618" spans="1:6" x14ac:dyDescent="0.25">
      <c r="A1618" t="s">
        <v>1514</v>
      </c>
      <c r="C1618" s="3">
        <v>997000</v>
      </c>
    </row>
    <row r="1619" spans="1:6" x14ac:dyDescent="0.25">
      <c r="A1619" t="s">
        <v>205</v>
      </c>
      <c r="C1619" s="3">
        <v>542000</v>
      </c>
      <c r="E1619" s="13" t="s">
        <v>1737</v>
      </c>
      <c r="F1619" s="25">
        <f>F1616-C1618-C1619</f>
        <v>27576000</v>
      </c>
    </row>
    <row r="1620" spans="1:6" x14ac:dyDescent="0.25">
      <c r="A1620" s="4" t="s">
        <v>1735</v>
      </c>
    </row>
    <row r="1621" spans="1:6" x14ac:dyDescent="0.25">
      <c r="A1621" t="s">
        <v>611</v>
      </c>
      <c r="C1621" s="3">
        <v>5000000</v>
      </c>
    </row>
    <row r="1622" spans="1:6" x14ac:dyDescent="0.25">
      <c r="A1622" t="s">
        <v>1738</v>
      </c>
      <c r="C1622" s="3">
        <v>215000</v>
      </c>
    </row>
    <row r="1623" spans="1:6" x14ac:dyDescent="0.25">
      <c r="A1623" t="s">
        <v>1739</v>
      </c>
      <c r="C1623" s="3">
        <v>1000000</v>
      </c>
      <c r="E1623" s="13" t="s">
        <v>1737</v>
      </c>
      <c r="F1623" s="25">
        <f>F1619+C1621-C1622+C1623</f>
        <v>33361000</v>
      </c>
    </row>
    <row r="1624" spans="1:6" x14ac:dyDescent="0.25">
      <c r="A1624" s="4" t="s">
        <v>1741</v>
      </c>
    </row>
    <row r="1625" spans="1:6" x14ac:dyDescent="0.25">
      <c r="A1625" t="s">
        <v>1662</v>
      </c>
      <c r="C1625" s="3">
        <v>340000</v>
      </c>
    </row>
    <row r="1626" spans="1:6" x14ac:dyDescent="0.25">
      <c r="A1626" t="s">
        <v>1742</v>
      </c>
      <c r="C1626" s="3">
        <v>1500000</v>
      </c>
    </row>
    <row r="1627" spans="1:6" x14ac:dyDescent="0.25">
      <c r="A1627" t="s">
        <v>1743</v>
      </c>
      <c r="C1627" s="3">
        <v>500000</v>
      </c>
    </row>
    <row r="1628" spans="1:6" x14ac:dyDescent="0.25">
      <c r="A1628" t="s">
        <v>1744</v>
      </c>
      <c r="C1628" s="3">
        <v>200000</v>
      </c>
    </row>
    <row r="1629" spans="1:6" x14ac:dyDescent="0.25">
      <c r="A1629" t="s">
        <v>1745</v>
      </c>
      <c r="C1629" s="3">
        <v>300000</v>
      </c>
    </row>
    <row r="1630" spans="1:6" x14ac:dyDescent="0.25">
      <c r="A1630" t="s">
        <v>1746</v>
      </c>
      <c r="C1630" s="3">
        <v>2000000</v>
      </c>
      <c r="E1630" s="13" t="s">
        <v>1747</v>
      </c>
      <c r="F1630" s="25">
        <f>F1623-C1625+C1626-C1627+C1628-C1629+C1630</f>
        <v>35921000</v>
      </c>
    </row>
    <row r="1631" spans="1:6" x14ac:dyDescent="0.25">
      <c r="A1631" s="4" t="s">
        <v>1748</v>
      </c>
    </row>
    <row r="1632" spans="1:6" x14ac:dyDescent="0.25">
      <c r="A1632" t="s">
        <v>1749</v>
      </c>
      <c r="C1632" s="3">
        <v>900000</v>
      </c>
    </row>
    <row r="1633" spans="1:6" x14ac:dyDescent="0.25">
      <c r="A1633" t="s">
        <v>1750</v>
      </c>
      <c r="C1633" s="3">
        <v>5600000</v>
      </c>
    </row>
    <row r="1634" spans="1:6" x14ac:dyDescent="0.25">
      <c r="A1634" t="s">
        <v>1751</v>
      </c>
      <c r="C1634" s="3">
        <v>3500000</v>
      </c>
    </row>
    <row r="1635" spans="1:6" x14ac:dyDescent="0.25">
      <c r="A1635" t="s">
        <v>1752</v>
      </c>
      <c r="C1635" s="3">
        <v>10612000</v>
      </c>
      <c r="E1635" s="13" t="s">
        <v>1753</v>
      </c>
      <c r="F1635" s="25">
        <f>F1630+C1632-C1633+C1634-C1635</f>
        <v>24109000</v>
      </c>
    </row>
    <row r="1636" spans="1:6" x14ac:dyDescent="0.25">
      <c r="A1636" s="4" t="s">
        <v>1754</v>
      </c>
    </row>
    <row r="1637" spans="1:6" x14ac:dyDescent="0.25">
      <c r="A1637" t="s">
        <v>1755</v>
      </c>
      <c r="C1637" s="3">
        <v>2300000</v>
      </c>
    </row>
    <row r="1638" spans="1:6" x14ac:dyDescent="0.25">
      <c r="A1638" t="s">
        <v>1756</v>
      </c>
      <c r="C1638" s="3">
        <v>270000</v>
      </c>
    </row>
    <row r="1639" spans="1:6" x14ac:dyDescent="0.25">
      <c r="A1639" t="s">
        <v>1757</v>
      </c>
      <c r="C1639" s="3">
        <v>300000</v>
      </c>
      <c r="E1639" s="13" t="s">
        <v>1758</v>
      </c>
      <c r="F1639" s="25">
        <f>F1635-C1637-C1638-C1639</f>
        <v>21239000</v>
      </c>
    </row>
    <row r="1640" spans="1:6" x14ac:dyDescent="0.25">
      <c r="A1640" s="4" t="s">
        <v>1759</v>
      </c>
    </row>
    <row r="1641" spans="1:6" x14ac:dyDescent="0.25">
      <c r="A1641" t="s">
        <v>1760</v>
      </c>
      <c r="C1641" s="3">
        <v>2500000</v>
      </c>
    </row>
    <row r="1642" spans="1:6" x14ac:dyDescent="0.25">
      <c r="A1642" t="s">
        <v>1761</v>
      </c>
      <c r="C1642" s="3">
        <v>1000000</v>
      </c>
    </row>
    <row r="1643" spans="1:6" x14ac:dyDescent="0.25">
      <c r="A1643" t="s">
        <v>1762</v>
      </c>
      <c r="C1643" s="3">
        <v>500000</v>
      </c>
    </row>
    <row r="1644" spans="1:6" x14ac:dyDescent="0.25">
      <c r="A1644" t="s">
        <v>1763</v>
      </c>
      <c r="C1644" s="3">
        <v>3000000</v>
      </c>
    </row>
    <row r="1645" spans="1:6" x14ac:dyDescent="0.25">
      <c r="A1645" t="s">
        <v>1764</v>
      </c>
      <c r="C1645" s="3">
        <v>1660000</v>
      </c>
    </row>
    <row r="1646" spans="1:6" x14ac:dyDescent="0.25">
      <c r="A1646" t="s">
        <v>1767</v>
      </c>
      <c r="C1646" s="3">
        <v>300000</v>
      </c>
    </row>
    <row r="1647" spans="1:6" x14ac:dyDescent="0.25">
      <c r="A1647" t="s">
        <v>1768</v>
      </c>
      <c r="C1647" s="3">
        <v>250000</v>
      </c>
    </row>
    <row r="1648" spans="1:6" x14ac:dyDescent="0.25">
      <c r="A1648" t="s">
        <v>1765</v>
      </c>
      <c r="C1648" s="3">
        <v>1000000</v>
      </c>
      <c r="E1648" s="13" t="s">
        <v>1766</v>
      </c>
      <c r="F1648" s="25">
        <f>F1639-C1641+C1642-C1643+C1644-C1645-C1648-C1646-C1647</f>
        <v>19029000</v>
      </c>
    </row>
    <row r="1649" spans="1:6" x14ac:dyDescent="0.25">
      <c r="A1649" s="4" t="s">
        <v>1769</v>
      </c>
    </row>
    <row r="1650" spans="1:6" x14ac:dyDescent="0.25">
      <c r="A1650" t="s">
        <v>1770</v>
      </c>
      <c r="C1650" s="3">
        <v>2000000</v>
      </c>
    </row>
    <row r="1651" spans="1:6" x14ac:dyDescent="0.25">
      <c r="A1651" t="s">
        <v>1771</v>
      </c>
      <c r="C1651" s="3">
        <v>365000</v>
      </c>
    </row>
    <row r="1652" spans="1:6" x14ac:dyDescent="0.25">
      <c r="A1652" t="s">
        <v>1772</v>
      </c>
      <c r="C1652" s="3">
        <v>720000</v>
      </c>
    </row>
    <row r="1653" spans="1:6" x14ac:dyDescent="0.25">
      <c r="A1653" t="s">
        <v>1560</v>
      </c>
      <c r="C1653" s="3">
        <v>14400000</v>
      </c>
    </row>
    <row r="1654" spans="1:6" x14ac:dyDescent="0.25">
      <c r="A1654" t="s">
        <v>1773</v>
      </c>
      <c r="C1654" s="3">
        <v>86000</v>
      </c>
    </row>
    <row r="1655" spans="1:6" x14ac:dyDescent="0.25">
      <c r="A1655" t="s">
        <v>1774</v>
      </c>
      <c r="C1655" s="3">
        <v>138000</v>
      </c>
    </row>
    <row r="1656" spans="1:6" x14ac:dyDescent="0.25">
      <c r="A1656" t="s">
        <v>1162</v>
      </c>
      <c r="C1656" s="3">
        <v>8000000</v>
      </c>
      <c r="E1656" s="13" t="s">
        <v>1775</v>
      </c>
      <c r="F1656" s="25">
        <f>F1648-C1650-C1651-C1652+C1653-C1654+C1655-C1656</f>
        <v>22396000</v>
      </c>
    </row>
    <row r="1657" spans="1:6" x14ac:dyDescent="0.25">
      <c r="A1657" s="4" t="s">
        <v>1776</v>
      </c>
    </row>
    <row r="1658" spans="1:6" x14ac:dyDescent="0.25">
      <c r="A1658" t="s">
        <v>1777</v>
      </c>
      <c r="C1658" s="3">
        <v>3860000</v>
      </c>
    </row>
    <row r="1659" spans="1:6" x14ac:dyDescent="0.25">
      <c r="A1659" t="s">
        <v>1778</v>
      </c>
      <c r="C1659" s="3">
        <v>500000</v>
      </c>
    </row>
    <row r="1660" spans="1:6" x14ac:dyDescent="0.25">
      <c r="A1660" t="s">
        <v>1779</v>
      </c>
      <c r="C1660" s="3">
        <v>988000</v>
      </c>
      <c r="E1660" s="13" t="s">
        <v>1780</v>
      </c>
      <c r="F1660" s="25">
        <f>F1656+C1658-C1659-C1660</f>
        <v>24768000</v>
      </c>
    </row>
    <row r="1661" spans="1:6" x14ac:dyDescent="0.25">
      <c r="A1661" s="4" t="s">
        <v>1781</v>
      </c>
    </row>
    <row r="1662" spans="1:6" x14ac:dyDescent="0.25">
      <c r="A1662" t="s">
        <v>1782</v>
      </c>
      <c r="C1662" s="3">
        <v>1150000</v>
      </c>
    </row>
    <row r="1663" spans="1:6" x14ac:dyDescent="0.25">
      <c r="A1663" t="s">
        <v>1783</v>
      </c>
      <c r="C1663" s="3">
        <v>711000</v>
      </c>
    </row>
    <row r="1664" spans="1:6" x14ac:dyDescent="0.25">
      <c r="A1664" t="s">
        <v>1784</v>
      </c>
      <c r="C1664" s="3">
        <v>500000</v>
      </c>
    </row>
    <row r="1665" spans="1:6" x14ac:dyDescent="0.25">
      <c r="A1665" t="s">
        <v>1785</v>
      </c>
      <c r="C1665" s="3">
        <v>9360000</v>
      </c>
      <c r="E1665" s="13" t="s">
        <v>1786</v>
      </c>
      <c r="F1665" s="25">
        <f>F1660-C1662-C1663-C1664-C1665</f>
        <v>13047000</v>
      </c>
    </row>
    <row r="1666" spans="1:6" x14ac:dyDescent="0.25">
      <c r="A1666" s="4" t="s">
        <v>1787</v>
      </c>
    </row>
    <row r="1667" spans="1:6" x14ac:dyDescent="0.25">
      <c r="A1667" t="s">
        <v>1788</v>
      </c>
      <c r="C1667" s="3">
        <v>300000</v>
      </c>
    </row>
    <row r="1668" spans="1:6" x14ac:dyDescent="0.25">
      <c r="A1668" t="s">
        <v>1789</v>
      </c>
      <c r="C1668" s="3">
        <v>1000000</v>
      </c>
    </row>
    <row r="1669" spans="1:6" x14ac:dyDescent="0.25">
      <c r="A1669" t="s">
        <v>1793</v>
      </c>
      <c r="C1669" s="3">
        <v>300000</v>
      </c>
    </row>
    <row r="1670" spans="1:6" x14ac:dyDescent="0.25">
      <c r="A1670" t="s">
        <v>1794</v>
      </c>
      <c r="C1670" s="3">
        <v>144000</v>
      </c>
    </row>
    <row r="1671" spans="1:6" x14ac:dyDescent="0.25">
      <c r="A1671" t="s">
        <v>1795</v>
      </c>
      <c r="C1671" s="3">
        <v>330000</v>
      </c>
      <c r="E1671" s="13" t="s">
        <v>1796</v>
      </c>
      <c r="F1671" s="25">
        <f>F1665+C1667-C1668-C1669-C1670-C1671</f>
        <v>11573000</v>
      </c>
    </row>
    <row r="1672" spans="1:6" x14ac:dyDescent="0.25">
      <c r="A1672" s="4" t="s">
        <v>1804</v>
      </c>
    </row>
    <row r="1673" spans="1:6" x14ac:dyDescent="0.25">
      <c r="A1673" t="s">
        <v>1797</v>
      </c>
      <c r="C1673" s="3">
        <v>890000</v>
      </c>
    </row>
    <row r="1674" spans="1:6" x14ac:dyDescent="0.25">
      <c r="A1674" t="s">
        <v>1798</v>
      </c>
      <c r="C1674" s="3">
        <v>542000</v>
      </c>
    </row>
    <row r="1675" spans="1:6" x14ac:dyDescent="0.25">
      <c r="A1675" t="s">
        <v>1799</v>
      </c>
      <c r="C1675" s="3">
        <v>460000</v>
      </c>
    </row>
    <row r="1676" spans="1:6" x14ac:dyDescent="0.25">
      <c r="A1676" t="s">
        <v>1800</v>
      </c>
      <c r="C1676" s="3">
        <v>425000</v>
      </c>
    </row>
    <row r="1677" spans="1:6" x14ac:dyDescent="0.25">
      <c r="A1677" t="s">
        <v>1801</v>
      </c>
      <c r="C1677" s="3">
        <v>445000</v>
      </c>
    </row>
    <row r="1678" spans="1:6" x14ac:dyDescent="0.25">
      <c r="A1678" t="s">
        <v>1802</v>
      </c>
      <c r="C1678" s="3">
        <v>1040000</v>
      </c>
    </row>
    <row r="1679" spans="1:6" x14ac:dyDescent="0.25">
      <c r="A1679" t="s">
        <v>1812</v>
      </c>
      <c r="C1679" s="3">
        <v>1290000</v>
      </c>
    </row>
    <row r="1680" spans="1:6" x14ac:dyDescent="0.25">
      <c r="A1680" t="s">
        <v>1803</v>
      </c>
      <c r="C1680" s="3">
        <v>687000</v>
      </c>
    </row>
    <row r="1681" spans="1:6" x14ac:dyDescent="0.25">
      <c r="A1681" t="s">
        <v>1805</v>
      </c>
      <c r="C1681" s="3">
        <v>847000</v>
      </c>
    </row>
    <row r="1682" spans="1:6" x14ac:dyDescent="0.25">
      <c r="A1682" t="s">
        <v>1806</v>
      </c>
      <c r="C1682" s="3">
        <v>1935000</v>
      </c>
    </row>
    <row r="1683" spans="1:6" x14ac:dyDescent="0.25">
      <c r="A1683" t="s">
        <v>1807</v>
      </c>
      <c r="C1683" s="3">
        <v>300000</v>
      </c>
    </row>
    <row r="1684" spans="1:6" x14ac:dyDescent="0.25">
      <c r="A1684" t="s">
        <v>1808</v>
      </c>
      <c r="C1684" s="3">
        <v>2000000</v>
      </c>
      <c r="E1684" s="13" t="s">
        <v>1809</v>
      </c>
      <c r="F1684" s="25">
        <f>F1671-C1673-C1675-C1676-C1677-C1678-C1680-C1681-C1682-C1683-C1684-C1674-C1679</f>
        <v>712000</v>
      </c>
    </row>
    <row r="1685" spans="1:6" x14ac:dyDescent="0.25">
      <c r="A1685" s="4" t="s">
        <v>1810</v>
      </c>
    </row>
    <row r="1686" spans="1:6" x14ac:dyDescent="0.25">
      <c r="A1686" t="s">
        <v>1811</v>
      </c>
      <c r="C1686" s="3">
        <v>500000</v>
      </c>
      <c r="E1686" s="13" t="s">
        <v>1813</v>
      </c>
      <c r="F1686" s="25">
        <f>F1684-C1686</f>
        <v>212000</v>
      </c>
    </row>
    <row r="1687" spans="1:6" x14ac:dyDescent="0.25">
      <c r="A1687" s="4" t="s">
        <v>1814</v>
      </c>
    </row>
    <row r="1688" spans="1:6" x14ac:dyDescent="0.25">
      <c r="A1688" t="s">
        <v>1815</v>
      </c>
      <c r="C1688" s="3">
        <v>800000</v>
      </c>
    </row>
    <row r="1689" spans="1:6" x14ac:dyDescent="0.25">
      <c r="A1689" s="18" t="s">
        <v>1816</v>
      </c>
      <c r="C1689" s="3">
        <v>2235000</v>
      </c>
    </row>
    <row r="1690" spans="1:6" x14ac:dyDescent="0.25">
      <c r="A1690" s="18" t="s">
        <v>1817</v>
      </c>
      <c r="C1690" s="3">
        <v>470000</v>
      </c>
    </row>
    <row r="1691" spans="1:6" x14ac:dyDescent="0.25">
      <c r="A1691" s="18" t="s">
        <v>1818</v>
      </c>
      <c r="C1691" s="3">
        <v>400000</v>
      </c>
    </row>
    <row r="1692" spans="1:6" x14ac:dyDescent="0.25">
      <c r="A1692" s="18" t="s">
        <v>1819</v>
      </c>
      <c r="C1692" s="3">
        <v>556000</v>
      </c>
    </row>
    <row r="1693" spans="1:6" x14ac:dyDescent="0.25">
      <c r="A1693" s="18" t="s">
        <v>1820</v>
      </c>
      <c r="C1693" s="3">
        <v>1230000</v>
      </c>
    </row>
    <row r="1694" spans="1:6" x14ac:dyDescent="0.25">
      <c r="A1694" s="18" t="s">
        <v>1821</v>
      </c>
      <c r="C1694" s="3">
        <v>2685000</v>
      </c>
    </row>
    <row r="1695" spans="1:6" x14ac:dyDescent="0.25">
      <c r="A1695" s="18" t="s">
        <v>1822</v>
      </c>
      <c r="C1695" s="3">
        <v>1000000</v>
      </c>
    </row>
    <row r="1696" spans="1:6" x14ac:dyDescent="0.25">
      <c r="A1696" s="18" t="s">
        <v>1823</v>
      </c>
      <c r="C1696" s="3">
        <v>2348000</v>
      </c>
    </row>
    <row r="1697" spans="1:6" x14ac:dyDescent="0.25">
      <c r="A1697" s="18" t="s">
        <v>1824</v>
      </c>
      <c r="C1697" s="3">
        <v>8000000</v>
      </c>
    </row>
    <row r="1698" spans="1:6" x14ac:dyDescent="0.25">
      <c r="A1698" s="18" t="s">
        <v>1826</v>
      </c>
      <c r="C1698" s="3">
        <v>20000000</v>
      </c>
    </row>
    <row r="1699" spans="1:6" x14ac:dyDescent="0.25">
      <c r="A1699" s="18" t="s">
        <v>1827</v>
      </c>
      <c r="C1699" s="3">
        <v>1200000</v>
      </c>
    </row>
    <row r="1700" spans="1:6" x14ac:dyDescent="0.25">
      <c r="A1700" s="18" t="s">
        <v>1691</v>
      </c>
      <c r="C1700" s="3">
        <v>14400000</v>
      </c>
      <c r="E1700" s="13" t="s">
        <v>1825</v>
      </c>
      <c r="F1700" s="25">
        <f>F1686-C1688-C1689-C1690-C1691-C1692-C1693-C1694-C1695-C1696-C1697+C1700+C1698-C1699</f>
        <v>13688000</v>
      </c>
    </row>
    <row r="1701" spans="1:6" x14ac:dyDescent="0.25">
      <c r="A1701" s="4" t="s">
        <v>1830</v>
      </c>
    </row>
    <row r="1702" spans="1:6" x14ac:dyDescent="0.25">
      <c r="A1702" s="18" t="s">
        <v>1828</v>
      </c>
      <c r="C1702" s="3">
        <v>473000</v>
      </c>
    </row>
    <row r="1703" spans="1:6" x14ac:dyDescent="0.25">
      <c r="A1703" s="18" t="s">
        <v>1829</v>
      </c>
      <c r="C1703" s="3">
        <v>270000</v>
      </c>
    </row>
    <row r="1704" spans="1:6" x14ac:dyDescent="0.25">
      <c r="A1704" s="18" t="s">
        <v>1831</v>
      </c>
      <c r="C1704" s="3">
        <v>749000</v>
      </c>
    </row>
    <row r="1705" spans="1:6" x14ac:dyDescent="0.25">
      <c r="A1705" s="18" t="s">
        <v>1832</v>
      </c>
      <c r="C1705" s="3">
        <v>55000</v>
      </c>
    </row>
    <row r="1706" spans="1:6" x14ac:dyDescent="0.25">
      <c r="A1706" s="18" t="s">
        <v>1833</v>
      </c>
      <c r="C1706" s="3">
        <v>116000</v>
      </c>
      <c r="E1706" s="13" t="s">
        <v>1834</v>
      </c>
      <c r="F1706" s="25">
        <f>F1700-C1702-C1703-C1704-C1705-C1706</f>
        <v>12025000</v>
      </c>
    </row>
    <row r="1707" spans="1:6" x14ac:dyDescent="0.25">
      <c r="A1707" s="4" t="s">
        <v>1840</v>
      </c>
    </row>
    <row r="1708" spans="1:6" x14ac:dyDescent="0.25">
      <c r="A1708" s="18" t="s">
        <v>1835</v>
      </c>
      <c r="C1708" s="3">
        <v>1000000</v>
      </c>
    </row>
    <row r="1709" spans="1:6" x14ac:dyDescent="0.25">
      <c r="A1709" s="18" t="s">
        <v>1332</v>
      </c>
      <c r="C1709" s="3">
        <v>537000</v>
      </c>
    </row>
    <row r="1710" spans="1:6" x14ac:dyDescent="0.25">
      <c r="A1710" s="18" t="s">
        <v>1836</v>
      </c>
      <c r="C1710" s="3">
        <v>1369000</v>
      </c>
    </row>
    <row r="1711" spans="1:6" x14ac:dyDescent="0.25">
      <c r="A1711" s="18" t="s">
        <v>1837</v>
      </c>
      <c r="C1711" s="3">
        <v>1160000</v>
      </c>
    </row>
    <row r="1712" spans="1:6" x14ac:dyDescent="0.25">
      <c r="A1712" s="18" t="s">
        <v>1838</v>
      </c>
      <c r="C1712" s="3">
        <v>224000</v>
      </c>
    </row>
    <row r="1713" spans="1:6" x14ac:dyDescent="0.25">
      <c r="A1713" s="18" t="s">
        <v>1839</v>
      </c>
      <c r="C1713" s="3">
        <v>140000</v>
      </c>
      <c r="E1713" s="13" t="s">
        <v>1841</v>
      </c>
      <c r="F1713" s="25">
        <f>F1706-C1708-C1709-C1710-C1711-C1712-C1713</f>
        <v>7595000</v>
      </c>
    </row>
    <row r="1714" spans="1:6" x14ac:dyDescent="0.25">
      <c r="A1714" s="4" t="s">
        <v>1842</v>
      </c>
    </row>
    <row r="1715" spans="1:6" x14ac:dyDescent="0.25">
      <c r="A1715" s="18" t="s">
        <v>1843</v>
      </c>
      <c r="C1715" s="3">
        <v>260000</v>
      </c>
    </row>
    <row r="1716" spans="1:6" x14ac:dyDescent="0.25">
      <c r="A1716" s="18" t="s">
        <v>1844</v>
      </c>
      <c r="C1716" s="3">
        <v>150000</v>
      </c>
    </row>
    <row r="1717" spans="1:6" x14ac:dyDescent="0.25">
      <c r="A1717" s="18" t="s">
        <v>1845</v>
      </c>
      <c r="C1717" s="3">
        <v>1000000</v>
      </c>
    </row>
    <row r="1718" spans="1:6" x14ac:dyDescent="0.25">
      <c r="A1718" s="18" t="s">
        <v>1848</v>
      </c>
      <c r="C1718" s="3">
        <v>500000</v>
      </c>
    </row>
    <row r="1719" spans="1:6" x14ac:dyDescent="0.25">
      <c r="A1719" s="18" t="s">
        <v>1846</v>
      </c>
      <c r="C1719" s="3">
        <v>13600000</v>
      </c>
    </row>
    <row r="1720" spans="1:6" x14ac:dyDescent="0.25">
      <c r="A1720" s="18" t="s">
        <v>1847</v>
      </c>
      <c r="C1720" s="3">
        <v>1500000</v>
      </c>
    </row>
    <row r="1721" spans="1:6" x14ac:dyDescent="0.25">
      <c r="A1721" s="18" t="s">
        <v>1849</v>
      </c>
      <c r="C1721" s="3">
        <v>2000000</v>
      </c>
    </row>
    <row r="1722" spans="1:6" x14ac:dyDescent="0.25">
      <c r="A1722" s="18" t="s">
        <v>1850</v>
      </c>
      <c r="C1722" s="3">
        <v>888000</v>
      </c>
    </row>
    <row r="1723" spans="1:6" x14ac:dyDescent="0.25">
      <c r="A1723" s="18" t="s">
        <v>1851</v>
      </c>
      <c r="C1723" s="3">
        <v>2218000</v>
      </c>
    </row>
    <row r="1724" spans="1:6" x14ac:dyDescent="0.25">
      <c r="A1724" s="18" t="s">
        <v>451</v>
      </c>
      <c r="C1724" s="3">
        <v>8000000</v>
      </c>
      <c r="E1724" s="13" t="s">
        <v>1852</v>
      </c>
      <c r="F1724" s="25">
        <f>F1713-C1715-C1716-C1717-C1718+C1719-C1720-C1721-C1722+C1723-C1724</f>
        <v>9115000</v>
      </c>
    </row>
    <row r="1725" spans="1:6" x14ac:dyDescent="0.25">
      <c r="A1725" s="4" t="s">
        <v>1853</v>
      </c>
    </row>
    <row r="1726" spans="1:6" x14ac:dyDescent="0.25">
      <c r="A1726" s="18" t="s">
        <v>1854</v>
      </c>
      <c r="C1726" s="3">
        <v>2300000</v>
      </c>
      <c r="E1726" s="27"/>
      <c r="F1726" s="28"/>
    </row>
    <row r="1727" spans="1:6" x14ac:dyDescent="0.25">
      <c r="A1727" s="18" t="s">
        <v>1855</v>
      </c>
      <c r="C1727" s="3">
        <v>1500000</v>
      </c>
      <c r="E1727" s="13" t="s">
        <v>1852</v>
      </c>
      <c r="F1727" s="25">
        <f>F1724-C1726-C1727</f>
        <v>5315000</v>
      </c>
    </row>
    <row r="1728" spans="1:6" x14ac:dyDescent="0.25">
      <c r="A1728" s="4" t="s">
        <v>1858</v>
      </c>
    </row>
    <row r="1729" spans="1:6" x14ac:dyDescent="0.25">
      <c r="A1729" s="18" t="s">
        <v>1859</v>
      </c>
      <c r="C1729" s="3">
        <v>1957000</v>
      </c>
    </row>
    <row r="1730" spans="1:6" x14ac:dyDescent="0.25">
      <c r="A1730" s="18" t="s">
        <v>1860</v>
      </c>
      <c r="C1730" s="3">
        <v>3538000</v>
      </c>
      <c r="E1730" s="13" t="s">
        <v>1861</v>
      </c>
      <c r="F1730" s="25">
        <f>F1727-C1729-C1730</f>
        <v>-180000</v>
      </c>
    </row>
    <row r="1731" spans="1:6" x14ac:dyDescent="0.25">
      <c r="A1731" s="4" t="s">
        <v>1862</v>
      </c>
    </row>
    <row r="1732" spans="1:6" x14ac:dyDescent="0.25">
      <c r="A1732" s="18" t="s">
        <v>817</v>
      </c>
      <c r="C1732" s="3">
        <v>4500000</v>
      </c>
    </row>
    <row r="1733" spans="1:6" x14ac:dyDescent="0.25">
      <c r="A1733" s="18" t="s">
        <v>1863</v>
      </c>
      <c r="C1733" s="3">
        <v>500000</v>
      </c>
    </row>
    <row r="1734" spans="1:6" x14ac:dyDescent="0.25">
      <c r="A1734" s="18" t="s">
        <v>1864</v>
      </c>
      <c r="C1734" s="3">
        <v>760000</v>
      </c>
    </row>
    <row r="1735" spans="1:6" x14ac:dyDescent="0.25">
      <c r="A1735" s="18" t="s">
        <v>1514</v>
      </c>
      <c r="C1735" s="3">
        <v>1095000</v>
      </c>
      <c r="E1735" s="13" t="s">
        <v>1865</v>
      </c>
      <c r="F1735" s="25">
        <f>F1730+C1732-C1733-C1734-C1735</f>
        <v>1965000</v>
      </c>
    </row>
    <row r="1736" spans="1:6" x14ac:dyDescent="0.25">
      <c r="A1736" s="4" t="s">
        <v>1866</v>
      </c>
    </row>
    <row r="1737" spans="1:6" x14ac:dyDescent="0.25">
      <c r="A1737" s="18" t="s">
        <v>1867</v>
      </c>
      <c r="C1737" s="3">
        <v>4100000</v>
      </c>
    </row>
    <row r="1738" spans="1:6" x14ac:dyDescent="0.25">
      <c r="A1738" s="18" t="s">
        <v>1848</v>
      </c>
      <c r="C1738" s="3">
        <v>500000</v>
      </c>
    </row>
    <row r="1739" spans="1:6" x14ac:dyDescent="0.25">
      <c r="A1739" s="18" t="s">
        <v>1868</v>
      </c>
      <c r="C1739" s="3">
        <v>900000</v>
      </c>
      <c r="E1739" s="13" t="s">
        <v>1869</v>
      </c>
      <c r="F1739" s="25">
        <f>F1735-C1737-C1738-C1739</f>
        <v>-3535000</v>
      </c>
    </row>
    <row r="1740" spans="1:6" x14ac:dyDescent="0.25">
      <c r="A1740" s="4" t="s">
        <v>1870</v>
      </c>
    </row>
    <row r="1741" spans="1:6" x14ac:dyDescent="0.25">
      <c r="A1741" s="18" t="s">
        <v>1871</v>
      </c>
      <c r="C1741" s="3">
        <v>1000000</v>
      </c>
    </row>
    <row r="1742" spans="1:6" x14ac:dyDescent="0.25">
      <c r="A1742" s="18" t="s">
        <v>1872</v>
      </c>
      <c r="C1742" s="3">
        <v>400000</v>
      </c>
    </row>
    <row r="1743" spans="1:6" x14ac:dyDescent="0.25">
      <c r="A1743" s="18" t="s">
        <v>1560</v>
      </c>
      <c r="C1743" s="3">
        <v>13290000</v>
      </c>
    </row>
    <row r="1744" spans="1:6" x14ac:dyDescent="0.25">
      <c r="A1744" s="18" t="s">
        <v>1360</v>
      </c>
      <c r="C1744" s="3">
        <v>1346000</v>
      </c>
    </row>
    <row r="1745" spans="1:6" x14ac:dyDescent="0.25">
      <c r="A1745" s="18" t="s">
        <v>537</v>
      </c>
      <c r="C1745" s="3">
        <v>8000000</v>
      </c>
      <c r="E1745" s="13" t="s">
        <v>1873</v>
      </c>
      <c r="F1745" s="25">
        <f>F1739+C1741-C1742+C1743-C1744-C1745</f>
        <v>1009000</v>
      </c>
    </row>
    <row r="1746" spans="1:6" x14ac:dyDescent="0.25">
      <c r="A1746" s="4" t="s">
        <v>1874</v>
      </c>
    </row>
    <row r="1747" spans="1:6" x14ac:dyDescent="0.25">
      <c r="A1747" s="18" t="s">
        <v>1875</v>
      </c>
      <c r="C1747" s="3">
        <v>1000000</v>
      </c>
    </row>
    <row r="1748" spans="1:6" x14ac:dyDescent="0.25">
      <c r="A1748" s="18" t="s">
        <v>1876</v>
      </c>
      <c r="C1748" s="3">
        <v>250000</v>
      </c>
    </row>
    <row r="1749" spans="1:6" x14ac:dyDescent="0.25">
      <c r="A1749" s="18" t="s">
        <v>1877</v>
      </c>
      <c r="C1749" s="3">
        <v>3625000</v>
      </c>
    </row>
    <row r="1750" spans="1:6" x14ac:dyDescent="0.25">
      <c r="A1750" s="18" t="s">
        <v>1878</v>
      </c>
      <c r="C1750" s="3">
        <v>4000000</v>
      </c>
    </row>
    <row r="1751" spans="1:6" x14ac:dyDescent="0.25">
      <c r="A1751" s="18" t="s">
        <v>711</v>
      </c>
      <c r="C1751" s="3">
        <v>560000</v>
      </c>
    </row>
    <row r="1752" spans="1:6" x14ac:dyDescent="0.25">
      <c r="A1752" s="18" t="s">
        <v>1879</v>
      </c>
      <c r="C1752" s="3">
        <v>575000</v>
      </c>
    </row>
    <row r="1753" spans="1:6" x14ac:dyDescent="0.25">
      <c r="A1753" s="18" t="s">
        <v>447</v>
      </c>
      <c r="C1753" s="3">
        <v>7200000</v>
      </c>
    </row>
    <row r="1754" spans="1:6" x14ac:dyDescent="0.25">
      <c r="A1754" s="18" t="s">
        <v>1880</v>
      </c>
      <c r="C1754" s="3">
        <v>1500000</v>
      </c>
      <c r="E1754" s="13" t="s">
        <v>1883</v>
      </c>
      <c r="F1754" s="25">
        <f>F1745-C1747-C1748-C1749-C1750-C1751-C1752+C1753-C1754</f>
        <v>-3301000</v>
      </c>
    </row>
    <row r="1755" spans="1:6" x14ac:dyDescent="0.25">
      <c r="A1755" s="4" t="s">
        <v>1881</v>
      </c>
    </row>
    <row r="1756" spans="1:6" x14ac:dyDescent="0.25">
      <c r="A1756" s="18" t="s">
        <v>1332</v>
      </c>
      <c r="C1756" s="3">
        <v>950000</v>
      </c>
    </row>
    <row r="1757" spans="1:6" x14ac:dyDescent="0.25">
      <c r="A1757" s="18" t="s">
        <v>1882</v>
      </c>
      <c r="C1757" s="3">
        <v>5000000</v>
      </c>
      <c r="E1757" s="13" t="s">
        <v>1884</v>
      </c>
      <c r="F1757" s="25">
        <f>F1754-C1756+C1757</f>
        <v>749000</v>
      </c>
    </row>
    <row r="1758" spans="1:6" x14ac:dyDescent="0.25">
      <c r="A1758" s="4" t="s">
        <v>1885</v>
      </c>
    </row>
    <row r="1759" spans="1:6" x14ac:dyDescent="0.25">
      <c r="A1759" s="18" t="s">
        <v>1886</v>
      </c>
      <c r="C1759" s="3">
        <v>250000</v>
      </c>
    </row>
    <row r="1760" spans="1:6" x14ac:dyDescent="0.25">
      <c r="A1760" s="18" t="s">
        <v>1887</v>
      </c>
      <c r="C1760" s="3">
        <v>769000</v>
      </c>
    </row>
    <row r="1761" spans="1:6" x14ac:dyDescent="0.25">
      <c r="A1761" s="18" t="s">
        <v>1888</v>
      </c>
      <c r="C1761" s="3">
        <v>1000000</v>
      </c>
    </row>
    <row r="1762" spans="1:6" x14ac:dyDescent="0.25">
      <c r="A1762" s="18" t="s">
        <v>1819</v>
      </c>
      <c r="C1762" s="3">
        <v>729000</v>
      </c>
    </row>
    <row r="1763" spans="1:6" x14ac:dyDescent="0.25">
      <c r="A1763" s="18" t="s">
        <v>1889</v>
      </c>
      <c r="C1763" s="3">
        <v>343000</v>
      </c>
    </row>
    <row r="1764" spans="1:6" x14ac:dyDescent="0.25">
      <c r="A1764" s="18" t="s">
        <v>1890</v>
      </c>
      <c r="C1764" s="3">
        <v>148000</v>
      </c>
      <c r="E1764" s="13" t="s">
        <v>1891</v>
      </c>
      <c r="F1764" s="25">
        <f>F1757-C1759-C1760-C1761-C1762-C1763-C1764</f>
        <v>-2490000</v>
      </c>
    </row>
    <row r="1765" spans="1:6" x14ac:dyDescent="0.25">
      <c r="A1765" s="4" t="s">
        <v>1892</v>
      </c>
    </row>
    <row r="1766" spans="1:6" x14ac:dyDescent="0.25">
      <c r="A1766" s="18" t="s">
        <v>1893</v>
      </c>
      <c r="C1766" s="3">
        <v>1000000</v>
      </c>
    </row>
    <row r="1767" spans="1:6" x14ac:dyDescent="0.25">
      <c r="A1767" s="18" t="s">
        <v>1894</v>
      </c>
      <c r="C1767" s="3">
        <v>500000</v>
      </c>
    </row>
    <row r="1768" spans="1:6" x14ac:dyDescent="0.25">
      <c r="A1768" s="18" t="s">
        <v>1895</v>
      </c>
      <c r="C1768" s="3">
        <v>500000</v>
      </c>
    </row>
    <row r="1769" spans="1:6" x14ac:dyDescent="0.25">
      <c r="A1769" s="18" t="s">
        <v>1896</v>
      </c>
      <c r="C1769" s="3">
        <v>170000</v>
      </c>
      <c r="E1769" s="13" t="s">
        <v>1897</v>
      </c>
      <c r="F1769" s="25">
        <f>F1764-C1766-C1767-C1768-C1769</f>
        <v>-4660000</v>
      </c>
    </row>
    <row r="1770" spans="1:6" x14ac:dyDescent="0.25">
      <c r="A1770" s="4" t="s">
        <v>1899</v>
      </c>
    </row>
    <row r="1771" spans="1:6" x14ac:dyDescent="0.25">
      <c r="A1771" s="18" t="s">
        <v>1900</v>
      </c>
      <c r="C1771" s="3">
        <v>70000</v>
      </c>
    </row>
    <row r="1772" spans="1:6" x14ac:dyDescent="0.25">
      <c r="A1772" s="18" t="s">
        <v>1898</v>
      </c>
      <c r="C1772" s="3">
        <v>600000</v>
      </c>
    </row>
    <row r="1773" spans="1:6" x14ac:dyDescent="0.25">
      <c r="A1773" s="18" t="s">
        <v>1901</v>
      </c>
      <c r="C1773" s="3">
        <v>500000</v>
      </c>
    </row>
    <row r="1774" spans="1:6" x14ac:dyDescent="0.25">
      <c r="A1774" s="18" t="s">
        <v>1902</v>
      </c>
      <c r="C1774" s="3">
        <v>15000000</v>
      </c>
    </row>
    <row r="1775" spans="1:6" x14ac:dyDescent="0.25">
      <c r="A1775" s="18" t="s">
        <v>1903</v>
      </c>
      <c r="C1775" s="3">
        <v>2520000</v>
      </c>
    </row>
    <row r="1776" spans="1:6" x14ac:dyDescent="0.25">
      <c r="A1776" s="18" t="s">
        <v>1442</v>
      </c>
      <c r="C1776" s="3">
        <v>1649000</v>
      </c>
    </row>
    <row r="1777" spans="1:6" x14ac:dyDescent="0.25">
      <c r="A1777" s="18" t="s">
        <v>625</v>
      </c>
      <c r="C1777" s="3">
        <v>8000000</v>
      </c>
      <c r="E1777" s="13" t="s">
        <v>1904</v>
      </c>
      <c r="F1777" s="25">
        <f>F1769-C1771-C1772-C1773+C1774-C1775-C1776-C1777</f>
        <v>-2999000</v>
      </c>
    </row>
    <row r="1778" spans="1:6" x14ac:dyDescent="0.25">
      <c r="A1778" s="4" t="s">
        <v>1905</v>
      </c>
    </row>
    <row r="1779" spans="1:6" x14ac:dyDescent="0.25">
      <c r="A1779" s="18" t="s">
        <v>1906</v>
      </c>
      <c r="C1779" s="3">
        <v>2000000</v>
      </c>
    </row>
    <row r="1780" spans="1:6" x14ac:dyDescent="0.25">
      <c r="A1780" s="18" t="s">
        <v>1907</v>
      </c>
      <c r="C1780" s="3">
        <v>900000</v>
      </c>
    </row>
    <row r="1781" spans="1:6" x14ac:dyDescent="0.25">
      <c r="A1781" s="18" t="s">
        <v>1908</v>
      </c>
      <c r="C1781" s="3">
        <v>803000</v>
      </c>
    </row>
    <row r="1782" spans="1:6" x14ac:dyDescent="0.25">
      <c r="A1782" s="4" t="s">
        <v>1909</v>
      </c>
    </row>
    <row r="1783" spans="1:6" x14ac:dyDescent="0.25">
      <c r="A1783" s="18" t="s">
        <v>1429</v>
      </c>
      <c r="C1783" s="3">
        <v>3570000</v>
      </c>
    </row>
    <row r="1784" spans="1:6" x14ac:dyDescent="0.25">
      <c r="A1784" s="18" t="s">
        <v>1910</v>
      </c>
      <c r="C1784" s="3">
        <f>61000+312000</f>
        <v>373000</v>
      </c>
      <c r="E1784" s="13" t="s">
        <v>1904</v>
      </c>
      <c r="F1784" s="25">
        <f>F1777-C1783-C1784+C1779-C1781-C1780</f>
        <v>-6645000</v>
      </c>
    </row>
    <row r="1785" spans="1:6" x14ac:dyDescent="0.25">
      <c r="A1785" s="4" t="s">
        <v>1911</v>
      </c>
    </row>
    <row r="1786" spans="1:6" x14ac:dyDescent="0.25">
      <c r="A1786" s="18" t="s">
        <v>1488</v>
      </c>
      <c r="C1786" s="3">
        <v>7800000</v>
      </c>
    </row>
    <row r="1787" spans="1:6" x14ac:dyDescent="0.25">
      <c r="A1787" s="18" t="s">
        <v>1912</v>
      </c>
      <c r="C1787" s="3">
        <v>1500000</v>
      </c>
    </row>
    <row r="1788" spans="1:6" x14ac:dyDescent="0.25">
      <c r="A1788" s="18" t="s">
        <v>1913</v>
      </c>
      <c r="C1788" s="3">
        <v>3000000</v>
      </c>
    </row>
    <row r="1789" spans="1:6" x14ac:dyDescent="0.25">
      <c r="A1789" s="18" t="s">
        <v>1914</v>
      </c>
      <c r="C1789" s="3">
        <v>570000</v>
      </c>
    </row>
    <row r="1790" spans="1:6" x14ac:dyDescent="0.25">
      <c r="A1790" s="18" t="s">
        <v>1844</v>
      </c>
      <c r="C1790" s="3">
        <v>150000</v>
      </c>
      <c r="E1790" s="13" t="s">
        <v>1915</v>
      </c>
      <c r="F1790" s="25">
        <f>F1784+C1786-C1787+C1788-C1789-C1790</f>
        <v>1935000</v>
      </c>
    </row>
    <row r="1791" spans="1:6" x14ac:dyDescent="0.25">
      <c r="A1791" s="4" t="s">
        <v>1916</v>
      </c>
    </row>
    <row r="1792" spans="1:6" x14ac:dyDescent="0.25">
      <c r="A1792" s="18" t="s">
        <v>1917</v>
      </c>
      <c r="C1792" s="3">
        <v>1000000</v>
      </c>
    </row>
    <row r="1793" spans="1:6" x14ac:dyDescent="0.25">
      <c r="A1793" s="18" t="s">
        <v>1918</v>
      </c>
      <c r="C1793" s="3">
        <v>2000000</v>
      </c>
    </row>
    <row r="1794" spans="1:6" x14ac:dyDescent="0.25">
      <c r="A1794" s="18" t="s">
        <v>1919</v>
      </c>
      <c r="C1794" s="3">
        <v>384000</v>
      </c>
    </row>
    <row r="1795" spans="1:6" x14ac:dyDescent="0.25">
      <c r="A1795" s="18" t="s">
        <v>1920</v>
      </c>
      <c r="C1795" s="3">
        <v>88000</v>
      </c>
    </row>
    <row r="1796" spans="1:6" x14ac:dyDescent="0.25">
      <c r="A1796" s="18" t="s">
        <v>1921</v>
      </c>
      <c r="C1796" s="3">
        <v>2086000</v>
      </c>
    </row>
    <row r="1797" spans="1:6" x14ac:dyDescent="0.25">
      <c r="A1797" s="18" t="s">
        <v>1583</v>
      </c>
      <c r="C1797" s="3">
        <v>210000</v>
      </c>
    </row>
    <row r="1798" spans="1:6" x14ac:dyDescent="0.25">
      <c r="A1798" s="18" t="s">
        <v>1922</v>
      </c>
      <c r="C1798" s="3">
        <v>119000</v>
      </c>
      <c r="E1798" s="13" t="s">
        <v>1923</v>
      </c>
      <c r="F1798" s="25">
        <f>F1790-C1792-C1793-C1794-C1795-C1796-C1797-C1798</f>
        <v>-3952000</v>
      </c>
    </row>
    <row r="1799" spans="1:6" x14ac:dyDescent="0.25">
      <c r="A1799" s="4" t="s">
        <v>1924</v>
      </c>
    </row>
    <row r="1800" spans="1:6" x14ac:dyDescent="0.25">
      <c r="A1800" s="18" t="s">
        <v>1925</v>
      </c>
      <c r="C1800" s="3">
        <v>2000000</v>
      </c>
    </row>
    <row r="1801" spans="1:6" x14ac:dyDescent="0.25">
      <c r="A1801" s="18" t="s">
        <v>1926</v>
      </c>
      <c r="C1801" s="3">
        <v>2500000</v>
      </c>
    </row>
    <row r="1802" spans="1:6" x14ac:dyDescent="0.25">
      <c r="A1802" s="18" t="s">
        <v>1685</v>
      </c>
      <c r="C1802" s="3">
        <v>660000</v>
      </c>
    </row>
    <row r="1803" spans="1:6" x14ac:dyDescent="0.25">
      <c r="A1803" s="18" t="s">
        <v>1927</v>
      </c>
      <c r="C1803" s="3">
        <v>256000</v>
      </c>
      <c r="E1803" s="13" t="s">
        <v>1928</v>
      </c>
      <c r="F1803" s="25">
        <f>F1798+C1800-C1801-C1802-C1803</f>
        <v>-5368000</v>
      </c>
    </row>
    <row r="1804" spans="1:6" x14ac:dyDescent="0.25">
      <c r="A1804" s="4" t="s">
        <v>1929</v>
      </c>
    </row>
    <row r="1805" spans="1:6" x14ac:dyDescent="0.25">
      <c r="A1805" s="18" t="s">
        <v>1930</v>
      </c>
      <c r="C1805" s="3">
        <v>440000</v>
      </c>
    </row>
    <row r="1806" spans="1:6" x14ac:dyDescent="0.25">
      <c r="A1806" s="18" t="s">
        <v>1931</v>
      </c>
      <c r="C1806" s="3">
        <v>600000</v>
      </c>
    </row>
    <row r="1807" spans="1:6" x14ac:dyDescent="0.25">
      <c r="A1807" s="18" t="s">
        <v>1624</v>
      </c>
      <c r="C1807" s="3">
        <v>13600000</v>
      </c>
    </row>
    <row r="1808" spans="1:6" x14ac:dyDescent="0.25">
      <c r="A1808" s="18" t="s">
        <v>1932</v>
      </c>
      <c r="C1808" s="3">
        <v>1096000</v>
      </c>
    </row>
    <row r="1809" spans="1:6" x14ac:dyDescent="0.25">
      <c r="A1809" s="18" t="s">
        <v>1933</v>
      </c>
      <c r="C1809" s="3">
        <v>1739000</v>
      </c>
    </row>
    <row r="1810" spans="1:6" x14ac:dyDescent="0.25">
      <c r="A1810" s="18" t="s">
        <v>666</v>
      </c>
      <c r="C1810" s="3">
        <v>8000000</v>
      </c>
      <c r="E1810" s="13" t="s">
        <v>1934</v>
      </c>
      <c r="F1810" s="25">
        <f>F1803-C1805-C1806+C1807-C1808+C1809-C1810</f>
        <v>-165000</v>
      </c>
    </row>
    <row r="1811" spans="1:6" x14ac:dyDescent="0.25">
      <c r="A1811" s="4" t="s">
        <v>1935</v>
      </c>
    </row>
    <row r="1812" spans="1:6" x14ac:dyDescent="0.25">
      <c r="A1812" s="18" t="s">
        <v>1936</v>
      </c>
      <c r="C1812" s="3">
        <v>220000</v>
      </c>
    </row>
    <row r="1813" spans="1:6" x14ac:dyDescent="0.25">
      <c r="A1813" s="18" t="s">
        <v>1937</v>
      </c>
      <c r="C1813" s="3">
        <v>500000</v>
      </c>
    </row>
    <row r="1814" spans="1:6" x14ac:dyDescent="0.25">
      <c r="A1814" s="18" t="s">
        <v>636</v>
      </c>
      <c r="C1814" s="3">
        <v>129000</v>
      </c>
    </row>
    <row r="1815" spans="1:6" x14ac:dyDescent="0.25">
      <c r="A1815" s="18" t="s">
        <v>1938</v>
      </c>
      <c r="C1815" s="3">
        <v>500000</v>
      </c>
      <c r="E1815" s="13" t="s">
        <v>1939</v>
      </c>
      <c r="F1815" s="25">
        <f>F1810-C1812-C1813-C1814-C1815</f>
        <v>-1514000</v>
      </c>
    </row>
    <row r="1816" spans="1:6" x14ac:dyDescent="0.25">
      <c r="A1816" s="4" t="s">
        <v>1940</v>
      </c>
    </row>
    <row r="1817" spans="1:6" x14ac:dyDescent="0.25">
      <c r="A1817" s="18" t="s">
        <v>1941</v>
      </c>
      <c r="C1817" s="3">
        <v>250000</v>
      </c>
    </row>
    <row r="1818" spans="1:6" x14ac:dyDescent="0.25">
      <c r="A1818" s="18" t="s">
        <v>817</v>
      </c>
      <c r="C1818" s="3">
        <v>1000000</v>
      </c>
    </row>
    <row r="1819" spans="1:6" x14ac:dyDescent="0.25">
      <c r="A1819" s="18" t="s">
        <v>1942</v>
      </c>
      <c r="C1819" s="3">
        <v>3680000</v>
      </c>
    </row>
    <row r="1820" spans="1:6" x14ac:dyDescent="0.25">
      <c r="A1820" s="18" t="s">
        <v>1943</v>
      </c>
      <c r="C1820" s="3">
        <v>472000</v>
      </c>
    </row>
    <row r="1821" spans="1:6" x14ac:dyDescent="0.25">
      <c r="A1821" s="18" t="s">
        <v>1965</v>
      </c>
      <c r="C1821" s="3">
        <v>6000000</v>
      </c>
    </row>
    <row r="1822" spans="1:6" x14ac:dyDescent="0.25">
      <c r="A1822" s="18" t="s">
        <v>1193</v>
      </c>
      <c r="C1822" s="3">
        <v>300000</v>
      </c>
    </row>
    <row r="1823" spans="1:6" x14ac:dyDescent="0.25">
      <c r="A1823" s="18" t="s">
        <v>1944</v>
      </c>
      <c r="C1823" s="3">
        <v>6500000</v>
      </c>
      <c r="E1823" s="13" t="s">
        <v>1945</v>
      </c>
      <c r="F1823" s="25">
        <f>F1815-C1817+C1818-C1819-C1820-C1821-C1822+C1823</f>
        <v>-4716000</v>
      </c>
    </row>
    <row r="1824" spans="1:6" x14ac:dyDescent="0.25">
      <c r="A1824" s="4" t="s">
        <v>1946</v>
      </c>
    </row>
    <row r="1825" spans="1:6" x14ac:dyDescent="0.25">
      <c r="A1825" s="18" t="s">
        <v>1947</v>
      </c>
      <c r="C1825" s="3">
        <v>260000</v>
      </c>
    </row>
    <row r="1826" spans="1:6" x14ac:dyDescent="0.25">
      <c r="A1826" s="18" t="s">
        <v>1948</v>
      </c>
      <c r="C1826" s="3">
        <v>538000</v>
      </c>
      <c r="D1826" s="3"/>
    </row>
    <row r="1827" spans="1:6" x14ac:dyDescent="0.25">
      <c r="A1827" s="18" t="s">
        <v>1949</v>
      </c>
      <c r="C1827" s="3">
        <v>665000</v>
      </c>
      <c r="D1827" s="3"/>
      <c r="E1827" s="13" t="s">
        <v>1952</v>
      </c>
      <c r="F1827" s="25">
        <f>F1823-C1825-C1826-C1827</f>
        <v>-6179000</v>
      </c>
    </row>
    <row r="1828" spans="1:6" x14ac:dyDescent="0.25">
      <c r="A1828" s="4" t="s">
        <v>1950</v>
      </c>
      <c r="D1828" s="3"/>
    </row>
    <row r="1829" spans="1:6" x14ac:dyDescent="0.25">
      <c r="A1829" s="18" t="s">
        <v>1951</v>
      </c>
      <c r="C1829" s="3">
        <v>500000</v>
      </c>
      <c r="D1829" s="3"/>
    </row>
    <row r="1830" spans="1:6" x14ac:dyDescent="0.25">
      <c r="A1830" s="18" t="s">
        <v>1953</v>
      </c>
      <c r="C1830" s="3">
        <v>980000</v>
      </c>
      <c r="D1830" s="3"/>
    </row>
    <row r="1831" spans="1:6" x14ac:dyDescent="0.25">
      <c r="A1831" s="18" t="s">
        <v>1954</v>
      </c>
      <c r="C1831" s="3">
        <v>500000</v>
      </c>
      <c r="D1831" s="3"/>
      <c r="E1831" s="13" t="s">
        <v>1955</v>
      </c>
      <c r="F1831" s="25">
        <f>F1827-C1829-C1830-C1831</f>
        <v>-8159000</v>
      </c>
    </row>
    <row r="1832" spans="1:6" x14ac:dyDescent="0.25">
      <c r="A1832" s="4" t="s">
        <v>1956</v>
      </c>
    </row>
    <row r="1833" spans="1:6" x14ac:dyDescent="0.25">
      <c r="A1833" s="18" t="s">
        <v>1957</v>
      </c>
      <c r="C1833" s="3">
        <v>2000000</v>
      </c>
    </row>
    <row r="1834" spans="1:6" x14ac:dyDescent="0.25">
      <c r="A1834" s="18" t="s">
        <v>1624</v>
      </c>
      <c r="C1834" s="3">
        <v>13600000</v>
      </c>
    </row>
    <row r="1835" spans="1:6" x14ac:dyDescent="0.25">
      <c r="A1835" s="18" t="s">
        <v>1958</v>
      </c>
      <c r="C1835" s="3">
        <v>415000</v>
      </c>
    </row>
    <row r="1836" spans="1:6" x14ac:dyDescent="0.25">
      <c r="A1836" s="18" t="s">
        <v>1546</v>
      </c>
      <c r="C1836" s="3">
        <v>8000000</v>
      </c>
    </row>
    <row r="1837" spans="1:6" x14ac:dyDescent="0.25">
      <c r="A1837" s="18" t="s">
        <v>1959</v>
      </c>
      <c r="C1837" s="3">
        <v>180000</v>
      </c>
      <c r="E1837" s="13" t="s">
        <v>1960</v>
      </c>
      <c r="F1837" s="25">
        <f>F1831-C1833+C1834+C1835-C1836-C1837</f>
        <v>-4324000</v>
      </c>
    </row>
    <row r="1838" spans="1:6" x14ac:dyDescent="0.25">
      <c r="A1838" s="4" t="s">
        <v>1961</v>
      </c>
    </row>
    <row r="1839" spans="1:6" x14ac:dyDescent="0.25">
      <c r="A1839" s="18" t="s">
        <v>1514</v>
      </c>
      <c r="C1839" s="3">
        <v>800000</v>
      </c>
    </row>
    <row r="1840" spans="1:6" x14ac:dyDescent="0.25">
      <c r="A1840" s="18" t="s">
        <v>1962</v>
      </c>
      <c r="C1840" s="3">
        <v>200000</v>
      </c>
    </row>
    <row r="1841" spans="1:6" x14ac:dyDescent="0.25">
      <c r="A1841" s="18" t="s">
        <v>1963</v>
      </c>
      <c r="C1841" s="3">
        <v>495000</v>
      </c>
    </row>
    <row r="1842" spans="1:6" x14ac:dyDescent="0.25">
      <c r="A1842" s="18" t="s">
        <v>1964</v>
      </c>
      <c r="C1842" s="3">
        <v>3500000</v>
      </c>
    </row>
    <row r="1843" spans="1:6" x14ac:dyDescent="0.25">
      <c r="A1843" s="18" t="s">
        <v>1966</v>
      </c>
      <c r="C1843" s="3">
        <v>3100000</v>
      </c>
    </row>
    <row r="1844" spans="1:6" x14ac:dyDescent="0.25">
      <c r="A1844" s="18" t="s">
        <v>1488</v>
      </c>
      <c r="C1844" s="3">
        <v>6200000</v>
      </c>
      <c r="E1844" s="13" t="s">
        <v>1967</v>
      </c>
      <c r="F1844" s="25">
        <f>F1837-C1839-C1840-C1841-C1842-C1843+C1844</f>
        <v>-6219000</v>
      </c>
    </row>
    <row r="1845" spans="1:6" x14ac:dyDescent="0.25">
      <c r="A1845" s="4" t="s">
        <v>1968</v>
      </c>
    </row>
    <row r="1846" spans="1:6" x14ac:dyDescent="0.25">
      <c r="A1846" s="18" t="s">
        <v>1969</v>
      </c>
      <c r="C1846" s="3">
        <v>2520000</v>
      </c>
    </row>
    <row r="1847" spans="1:6" x14ac:dyDescent="0.25">
      <c r="A1847" s="18" t="s">
        <v>1970</v>
      </c>
      <c r="C1847" s="3">
        <v>1200000</v>
      </c>
    </row>
    <row r="1848" spans="1:6" x14ac:dyDescent="0.25">
      <c r="A1848" s="18" t="s">
        <v>1971</v>
      </c>
      <c r="C1848" s="3">
        <v>1200000</v>
      </c>
    </row>
    <row r="1849" spans="1:6" x14ac:dyDescent="0.25">
      <c r="A1849" s="18" t="s">
        <v>1972</v>
      </c>
      <c r="C1849" s="3">
        <v>300000</v>
      </c>
      <c r="E1849" s="13" t="s">
        <v>1977</v>
      </c>
      <c r="F1849" s="25">
        <f>F1844-C1846-C1847+C1848-C1849</f>
        <v>-9039000</v>
      </c>
    </row>
    <row r="1850" spans="1:6" x14ac:dyDescent="0.25">
      <c r="A1850" s="4" t="s">
        <v>1975</v>
      </c>
    </row>
    <row r="1851" spans="1:6" x14ac:dyDescent="0.25">
      <c r="A1851" s="18" t="s">
        <v>1973</v>
      </c>
      <c r="C1851" s="3">
        <v>1200000</v>
      </c>
    </row>
    <row r="1852" spans="1:6" x14ac:dyDescent="0.25">
      <c r="A1852" s="18" t="s">
        <v>1974</v>
      </c>
      <c r="C1852" s="3">
        <v>303000</v>
      </c>
    </row>
    <row r="1853" spans="1:6" x14ac:dyDescent="0.25">
      <c r="A1853" s="18" t="s">
        <v>1976</v>
      </c>
      <c r="C1853" s="3">
        <v>5000000</v>
      </c>
      <c r="E1853" s="13" t="s">
        <v>1978</v>
      </c>
      <c r="F1853" s="25">
        <f>F1849-C1851-C1852+C1853</f>
        <v>-5542000</v>
      </c>
    </row>
    <row r="1854" spans="1:6" x14ac:dyDescent="0.25">
      <c r="A1854" s="4" t="s">
        <v>1979</v>
      </c>
    </row>
    <row r="1855" spans="1:6" x14ac:dyDescent="0.25">
      <c r="A1855" s="18" t="s">
        <v>1980</v>
      </c>
      <c r="C1855" s="3">
        <v>2200000</v>
      </c>
    </row>
    <row r="1856" spans="1:6" x14ac:dyDescent="0.25">
      <c r="A1856" s="18" t="s">
        <v>1981</v>
      </c>
      <c r="C1856" s="3">
        <v>200000</v>
      </c>
    </row>
    <row r="1857" spans="1:6" x14ac:dyDescent="0.25">
      <c r="A1857" s="18" t="s">
        <v>1982</v>
      </c>
      <c r="C1857" s="3">
        <v>270000</v>
      </c>
    </row>
    <row r="1858" spans="1:6" x14ac:dyDescent="0.25">
      <c r="A1858" s="18" t="s">
        <v>1624</v>
      </c>
      <c r="C1858" s="3">
        <v>16000000</v>
      </c>
    </row>
    <row r="1859" spans="1:6" x14ac:dyDescent="0.25">
      <c r="A1859" s="18" t="s">
        <v>1983</v>
      </c>
      <c r="C1859" s="3">
        <v>428000</v>
      </c>
    </row>
    <row r="1860" spans="1:6" x14ac:dyDescent="0.25">
      <c r="A1860" s="18" t="s">
        <v>1989</v>
      </c>
      <c r="C1860" s="3">
        <v>1291000</v>
      </c>
    </row>
    <row r="1861" spans="1:6" x14ac:dyDescent="0.25">
      <c r="A1861" s="18" t="s">
        <v>804</v>
      </c>
      <c r="C1861" s="3">
        <v>8000000</v>
      </c>
      <c r="E1861" s="13" t="s">
        <v>1990</v>
      </c>
      <c r="F1861" s="25">
        <f>F1853+C1855-C1856-C1857+C1858-C1859-C1860-C1861</f>
        <v>2469000</v>
      </c>
    </row>
    <row r="1862" spans="1:6" x14ac:dyDescent="0.25">
      <c r="A1862" s="4" t="s">
        <v>1984</v>
      </c>
    </row>
    <row r="1863" spans="1:6" x14ac:dyDescent="0.25">
      <c r="A1863" t="s">
        <v>1985</v>
      </c>
      <c r="C1863" s="3">
        <v>1333000</v>
      </c>
    </row>
    <row r="1864" spans="1:6" x14ac:dyDescent="0.25">
      <c r="A1864" t="s">
        <v>1514</v>
      </c>
      <c r="C1864" s="3">
        <v>810000</v>
      </c>
    </row>
    <row r="1865" spans="1:6" x14ac:dyDescent="0.25">
      <c r="A1865" t="s">
        <v>1986</v>
      </c>
      <c r="C1865" s="3">
        <v>150000</v>
      </c>
    </row>
    <row r="1866" spans="1:6" x14ac:dyDescent="0.25">
      <c r="A1866" t="s">
        <v>1987</v>
      </c>
      <c r="C1866" s="3">
        <v>3100000</v>
      </c>
    </row>
    <row r="1867" spans="1:6" x14ac:dyDescent="0.25">
      <c r="A1867" t="s">
        <v>1988</v>
      </c>
      <c r="C1867" s="3">
        <v>3537000</v>
      </c>
      <c r="E1867" s="13" t="s">
        <v>1991</v>
      </c>
      <c r="F1867" s="25">
        <f>F1861-C1863-C1864-C1865-C1866-C1867</f>
        <v>-6461000</v>
      </c>
    </row>
    <row r="1868" spans="1:6" x14ac:dyDescent="0.25">
      <c r="A1868" s="4" t="s">
        <v>1992</v>
      </c>
    </row>
    <row r="1869" spans="1:6" x14ac:dyDescent="0.25">
      <c r="A1869" t="s">
        <v>1993</v>
      </c>
      <c r="C1869" s="3">
        <v>392000</v>
      </c>
    </row>
    <row r="1870" spans="1:6" x14ac:dyDescent="0.25">
      <c r="A1870" t="s">
        <v>1944</v>
      </c>
      <c r="C1870" s="3">
        <v>5800000</v>
      </c>
    </row>
    <row r="1871" spans="1:6" x14ac:dyDescent="0.25">
      <c r="A1871" t="s">
        <v>1848</v>
      </c>
      <c r="C1871" s="3">
        <v>600000</v>
      </c>
    </row>
    <row r="1872" spans="1:6" x14ac:dyDescent="0.25">
      <c r="A1872" t="s">
        <v>1994</v>
      </c>
      <c r="C1872" s="3">
        <v>782000</v>
      </c>
      <c r="E1872" s="13" t="s">
        <v>1995</v>
      </c>
      <c r="F1872" s="25">
        <f>F1867-C1869+C1870-C1872-C1871</f>
        <v>-2435000</v>
      </c>
    </row>
    <row r="1873" spans="1:6" x14ac:dyDescent="0.25">
      <c r="A1873" s="4" t="s">
        <v>1996</v>
      </c>
    </row>
    <row r="1874" spans="1:6" x14ac:dyDescent="0.25">
      <c r="A1874" t="s">
        <v>1997</v>
      </c>
      <c r="C1874" s="3">
        <v>400000</v>
      </c>
    </row>
    <row r="1875" spans="1:6" x14ac:dyDescent="0.25">
      <c r="A1875" t="s">
        <v>1998</v>
      </c>
      <c r="C1875" s="3">
        <v>540000</v>
      </c>
    </row>
    <row r="1876" spans="1:6" x14ac:dyDescent="0.25">
      <c r="A1876" t="s">
        <v>1999</v>
      </c>
      <c r="C1876" s="3">
        <v>230000</v>
      </c>
      <c r="E1876" s="13" t="s">
        <v>2000</v>
      </c>
      <c r="F1876" s="25">
        <f>F1872-C1874-C1875-C1876</f>
        <v>-3605000</v>
      </c>
    </row>
    <row r="1877" spans="1:6" x14ac:dyDescent="0.25">
      <c r="A1877" s="4" t="s">
        <v>2001</v>
      </c>
    </row>
    <row r="1878" spans="1:6" x14ac:dyDescent="0.25">
      <c r="A1878" t="s">
        <v>2002</v>
      </c>
      <c r="C1878" s="3">
        <v>2200000</v>
      </c>
      <c r="E1878" s="13" t="s">
        <v>2005</v>
      </c>
      <c r="F1878" s="25">
        <f>F1876-C1878</f>
        <v>-5805000</v>
      </c>
    </row>
    <row r="1879" spans="1:6" x14ac:dyDescent="0.25">
      <c r="A1879" s="4" t="s">
        <v>2003</v>
      </c>
    </row>
    <row r="1880" spans="1:6" x14ac:dyDescent="0.25">
      <c r="A1880" t="s">
        <v>2004</v>
      </c>
      <c r="C1880" s="3">
        <v>741000</v>
      </c>
    </row>
    <row r="1881" spans="1:6" x14ac:dyDescent="0.25">
      <c r="A1881" s="18" t="s">
        <v>2006</v>
      </c>
      <c r="C1881" s="3">
        <v>15000000</v>
      </c>
    </row>
    <row r="1882" spans="1:6" x14ac:dyDescent="0.25">
      <c r="A1882" s="18" t="s">
        <v>2007</v>
      </c>
      <c r="C1882" s="3">
        <v>442000</v>
      </c>
    </row>
    <row r="1883" spans="1:6" x14ac:dyDescent="0.25">
      <c r="A1883" s="18" t="s">
        <v>872</v>
      </c>
      <c r="C1883" s="3">
        <v>1578000</v>
      </c>
    </row>
    <row r="1884" spans="1:6" x14ac:dyDescent="0.25">
      <c r="A1884" s="18" t="s">
        <v>874</v>
      </c>
      <c r="C1884" s="3">
        <v>8000000</v>
      </c>
      <c r="E1884" s="13" t="s">
        <v>2008</v>
      </c>
      <c r="F1884" s="25">
        <f>F1878-C1880+C1881-C1882-C1883-C1884</f>
        <v>-1566000</v>
      </c>
    </row>
    <row r="1885" spans="1:6" x14ac:dyDescent="0.25">
      <c r="A1885" s="4" t="s">
        <v>2009</v>
      </c>
    </row>
    <row r="1886" spans="1:6" x14ac:dyDescent="0.25">
      <c r="A1886" s="18" t="s">
        <v>1610</v>
      </c>
      <c r="C1886" s="3">
        <v>3610000</v>
      </c>
    </row>
    <row r="1887" spans="1:6" x14ac:dyDescent="0.25">
      <c r="A1887" s="18" t="s">
        <v>2010</v>
      </c>
      <c r="C1887" s="3">
        <v>5100000</v>
      </c>
      <c r="E1887" s="13" t="s">
        <v>2011</v>
      </c>
      <c r="F1887" s="25">
        <f>F1884-C1887-C1886</f>
        <v>-10276000</v>
      </c>
    </row>
    <row r="1888" spans="1:6" x14ac:dyDescent="0.25">
      <c r="A1888" s="4" t="s">
        <v>2012</v>
      </c>
    </row>
    <row r="1889" spans="1:6" x14ac:dyDescent="0.25">
      <c r="A1889" s="18" t="s">
        <v>2013</v>
      </c>
      <c r="C1889" s="3">
        <v>5900000</v>
      </c>
    </row>
    <row r="1890" spans="1:6" x14ac:dyDescent="0.25">
      <c r="A1890" s="18" t="s">
        <v>2014</v>
      </c>
      <c r="C1890" s="3">
        <v>1600000</v>
      </c>
    </row>
    <row r="1891" spans="1:6" x14ac:dyDescent="0.25">
      <c r="A1891" s="18" t="s">
        <v>1685</v>
      </c>
      <c r="C1891" s="3">
        <v>948000</v>
      </c>
    </row>
    <row r="1892" spans="1:6" x14ac:dyDescent="0.25">
      <c r="A1892" s="18" t="s">
        <v>2015</v>
      </c>
      <c r="C1892" s="3">
        <v>97000</v>
      </c>
    </row>
    <row r="1893" spans="1:6" x14ac:dyDescent="0.25">
      <c r="A1893" s="18" t="s">
        <v>1583</v>
      </c>
      <c r="C1893" s="3">
        <v>48000</v>
      </c>
      <c r="E1893" s="13" t="s">
        <v>2016</v>
      </c>
      <c r="F1893" s="25">
        <f>F1887+C1889-C1890-C1891-C1892-C1893</f>
        <v>-7069000</v>
      </c>
    </row>
    <row r="1894" spans="1:6" x14ac:dyDescent="0.25">
      <c r="A1894" s="4" t="s">
        <v>2017</v>
      </c>
    </row>
    <row r="1895" spans="1:6" x14ac:dyDescent="0.25">
      <c r="A1895" s="18" t="s">
        <v>2018</v>
      </c>
      <c r="C1895" s="3">
        <v>500000</v>
      </c>
    </row>
    <row r="1896" spans="1:6" x14ac:dyDescent="0.25">
      <c r="A1896" s="18" t="s">
        <v>2019</v>
      </c>
      <c r="C1896" s="3">
        <v>655000</v>
      </c>
      <c r="E1896" s="13" t="s">
        <v>2020</v>
      </c>
      <c r="F1896" s="25">
        <f>F1893-C1895-C1896</f>
        <v>-8224000</v>
      </c>
    </row>
    <row r="1897" spans="1:6" x14ac:dyDescent="0.25">
      <c r="A1897" s="4" t="s">
        <v>2021</v>
      </c>
    </row>
    <row r="1898" spans="1:6" x14ac:dyDescent="0.25">
      <c r="A1898" s="18" t="s">
        <v>2022</v>
      </c>
      <c r="C1898" s="3">
        <v>1000000</v>
      </c>
    </row>
    <row r="1899" spans="1:6" x14ac:dyDescent="0.25">
      <c r="A1899" s="18" t="s">
        <v>2023</v>
      </c>
      <c r="C1899" s="3">
        <v>500000</v>
      </c>
      <c r="E1899" s="13" t="s">
        <v>2024</v>
      </c>
      <c r="F1899" s="25">
        <f>F1896-C1898-C1899</f>
        <v>-9724000</v>
      </c>
    </row>
    <row r="1900" spans="1:6" x14ac:dyDescent="0.25">
      <c r="A1900" s="4" t="s">
        <v>2025</v>
      </c>
    </row>
    <row r="1901" spans="1:6" x14ac:dyDescent="0.25">
      <c r="A1901" s="18" t="s">
        <v>2027</v>
      </c>
      <c r="C1901" s="3">
        <v>1500000</v>
      </c>
      <c r="E1901" s="27"/>
      <c r="F1901" s="28"/>
    </row>
    <row r="1902" spans="1:6" x14ac:dyDescent="0.25">
      <c r="A1902" s="18" t="s">
        <v>2028</v>
      </c>
      <c r="C1902" s="3">
        <v>500000</v>
      </c>
      <c r="E1902" s="13" t="s">
        <v>2026</v>
      </c>
      <c r="F1902" s="25">
        <f>F1899-C1901-C1902</f>
        <v>-11724000</v>
      </c>
    </row>
    <row r="1903" spans="1:6" x14ac:dyDescent="0.25">
      <c r="A1903" s="4" t="s">
        <v>2029</v>
      </c>
    </row>
    <row r="1904" spans="1:6" x14ac:dyDescent="0.25">
      <c r="A1904" s="18" t="s">
        <v>1624</v>
      </c>
      <c r="C1904" s="3">
        <v>13400000</v>
      </c>
    </row>
    <row r="1905" spans="1:6" x14ac:dyDescent="0.25">
      <c r="A1905" s="18" t="s">
        <v>2030</v>
      </c>
      <c r="C1905" s="3">
        <v>2807000</v>
      </c>
    </row>
    <row r="1906" spans="1:6" x14ac:dyDescent="0.25">
      <c r="A1906" s="18" t="s">
        <v>936</v>
      </c>
      <c r="C1906" s="3">
        <v>8000000</v>
      </c>
      <c r="E1906" s="13" t="s">
        <v>2031</v>
      </c>
      <c r="F1906" s="25">
        <f>F1902-C1905-C1906+C1904</f>
        <v>-9131000</v>
      </c>
    </row>
    <row r="1907" spans="1:6" x14ac:dyDescent="0.25">
      <c r="A1907" s="4" t="s">
        <v>2032</v>
      </c>
    </row>
    <row r="1908" spans="1:6" x14ac:dyDescent="0.25">
      <c r="A1908" s="18" t="s">
        <v>1656</v>
      </c>
      <c r="C1908" s="3">
        <v>3480000</v>
      </c>
      <c r="E1908" s="13" t="s">
        <v>2033</v>
      </c>
      <c r="F1908" s="25">
        <f>F1906-C1908</f>
        <v>-12611000</v>
      </c>
    </row>
    <row r="1909" spans="1:6" x14ac:dyDescent="0.25">
      <c r="A1909" s="4" t="s">
        <v>2034</v>
      </c>
    </row>
    <row r="1910" spans="1:6" x14ac:dyDescent="0.25">
      <c r="A1910" s="18" t="s">
        <v>2035</v>
      </c>
      <c r="C1910" s="3">
        <v>5900000</v>
      </c>
    </row>
    <row r="1911" spans="1:6" x14ac:dyDescent="0.25">
      <c r="A1911" s="18" t="s">
        <v>2036</v>
      </c>
      <c r="C1911" s="3">
        <v>200000</v>
      </c>
    </row>
    <row r="1912" spans="1:6" x14ac:dyDescent="0.25">
      <c r="A1912" s="18" t="s">
        <v>1193</v>
      </c>
      <c r="C1912" s="3">
        <v>1936000</v>
      </c>
    </row>
    <row r="1913" spans="1:6" x14ac:dyDescent="0.25">
      <c r="A1913" s="18" t="s">
        <v>2039</v>
      </c>
      <c r="C1913" s="3">
        <v>3100000</v>
      </c>
    </row>
    <row r="1914" spans="1:6" x14ac:dyDescent="0.25">
      <c r="A1914" s="18" t="s">
        <v>2037</v>
      </c>
      <c r="C1914" s="3">
        <v>500000</v>
      </c>
      <c r="E1914" s="13" t="s">
        <v>2038</v>
      </c>
      <c r="F1914" s="25">
        <f>F1908+C1910-C1911-C1912-C1914-C1913</f>
        <v>-12447000</v>
      </c>
    </row>
    <row r="1915" spans="1:6" x14ac:dyDescent="0.25">
      <c r="A1915" s="4" t="s">
        <v>2040</v>
      </c>
    </row>
    <row r="1916" spans="1:6" x14ac:dyDescent="0.25">
      <c r="A1916" s="18" t="s">
        <v>2041</v>
      </c>
      <c r="C1916" s="3">
        <v>500000</v>
      </c>
    </row>
    <row r="1917" spans="1:6" x14ac:dyDescent="0.25">
      <c r="A1917" s="18" t="s">
        <v>2042</v>
      </c>
      <c r="C1917" s="3">
        <v>1800000</v>
      </c>
      <c r="E1917" s="13" t="s">
        <v>2038</v>
      </c>
      <c r="F1917" s="25">
        <f>F1914-C1916+C1917</f>
        <v>-11147000</v>
      </c>
    </row>
    <row r="1918" spans="1:6" x14ac:dyDescent="0.25">
      <c r="A1918" s="4" t="s">
        <v>2043</v>
      </c>
    </row>
    <row r="1919" spans="1:6" x14ac:dyDescent="0.25">
      <c r="A1919" s="18" t="s">
        <v>1932</v>
      </c>
      <c r="C1919" s="3">
        <v>230000</v>
      </c>
    </row>
    <row r="1920" spans="1:6" x14ac:dyDescent="0.25">
      <c r="A1920" s="18" t="s">
        <v>2044</v>
      </c>
      <c r="C1920" s="3">
        <v>400000</v>
      </c>
    </row>
    <row r="1921" spans="1:6" x14ac:dyDescent="0.25">
      <c r="A1921" s="18" t="s">
        <v>2045</v>
      </c>
      <c r="C1921" s="3">
        <v>500000</v>
      </c>
    </row>
    <row r="1922" spans="1:6" x14ac:dyDescent="0.25">
      <c r="A1922" s="18" t="s">
        <v>2046</v>
      </c>
      <c r="C1922" s="3">
        <v>1700000</v>
      </c>
      <c r="E1922" s="13" t="s">
        <v>2047</v>
      </c>
      <c r="F1922" s="25">
        <f>F1917-C1919-C1920-C1921-C1922</f>
        <v>-13977000</v>
      </c>
    </row>
    <row r="1923" spans="1:6" x14ac:dyDescent="0.25">
      <c r="A1923" s="4" t="s">
        <v>2048</v>
      </c>
    </row>
    <row r="1924" spans="1:6" x14ac:dyDescent="0.25">
      <c r="A1924" s="18" t="s">
        <v>2049</v>
      </c>
      <c r="C1924" s="3">
        <v>300000</v>
      </c>
    </row>
    <row r="1925" spans="1:6" x14ac:dyDescent="0.25">
      <c r="A1925" s="18" t="s">
        <v>2050</v>
      </c>
      <c r="C1925" s="3">
        <v>150000</v>
      </c>
      <c r="E1925" s="13" t="s">
        <v>2047</v>
      </c>
      <c r="F1925" s="25">
        <f>F1922-C1924-C1925</f>
        <v>-14427000</v>
      </c>
    </row>
    <row r="1926" spans="1:6" x14ac:dyDescent="0.25">
      <c r="A1926" s="4" t="s">
        <v>2051</v>
      </c>
    </row>
    <row r="1927" spans="1:6" x14ac:dyDescent="0.25">
      <c r="A1927" s="18" t="s">
        <v>1848</v>
      </c>
      <c r="C1927" s="3">
        <v>500000</v>
      </c>
      <c r="E1927" s="13" t="s">
        <v>2055</v>
      </c>
      <c r="F1927" s="25">
        <f>F1925-C1927</f>
        <v>-14927000</v>
      </c>
    </row>
    <row r="1928" spans="1:6" x14ac:dyDescent="0.25">
      <c r="A1928" s="4" t="s">
        <v>2053</v>
      </c>
    </row>
    <row r="1929" spans="1:6" x14ac:dyDescent="0.25">
      <c r="A1929" s="18" t="s">
        <v>1083</v>
      </c>
      <c r="C1929" s="3">
        <v>601000</v>
      </c>
    </row>
    <row r="1930" spans="1:6" x14ac:dyDescent="0.25">
      <c r="A1930" s="18" t="s">
        <v>2044</v>
      </c>
      <c r="C1930" s="3">
        <v>317000</v>
      </c>
    </row>
    <row r="1931" spans="1:6" x14ac:dyDescent="0.25">
      <c r="A1931" s="18" t="s">
        <v>2054</v>
      </c>
      <c r="C1931" s="3">
        <v>86000</v>
      </c>
      <c r="E1931" s="13" t="s">
        <v>2056</v>
      </c>
      <c r="F1931" s="25">
        <f>F1927-C1929-C1930-C1931</f>
        <v>-15931000</v>
      </c>
    </row>
    <row r="1932" spans="1:6" x14ac:dyDescent="0.25">
      <c r="A1932" s="4" t="s">
        <v>2057</v>
      </c>
    </row>
    <row r="1933" spans="1:6" x14ac:dyDescent="0.25">
      <c r="A1933" s="18" t="s">
        <v>2058</v>
      </c>
      <c r="C1933" s="3">
        <v>1066000</v>
      </c>
    </row>
    <row r="1934" spans="1:6" x14ac:dyDescent="0.25">
      <c r="A1934" s="18" t="s">
        <v>2059</v>
      </c>
      <c r="C1934" s="3">
        <v>630000</v>
      </c>
    </row>
    <row r="1935" spans="1:6" x14ac:dyDescent="0.25">
      <c r="A1935" s="18" t="s">
        <v>2060</v>
      </c>
      <c r="C1935" s="3">
        <v>160000</v>
      </c>
    </row>
    <row r="1936" spans="1:6" x14ac:dyDescent="0.25">
      <c r="A1936" s="18" t="s">
        <v>2061</v>
      </c>
      <c r="C1936" s="3">
        <v>12700000</v>
      </c>
    </row>
    <row r="1937" spans="1:6" x14ac:dyDescent="0.25">
      <c r="A1937" s="18" t="s">
        <v>2062</v>
      </c>
      <c r="C1937" s="3">
        <v>500000</v>
      </c>
    </row>
    <row r="1938" spans="1:6" x14ac:dyDescent="0.25">
      <c r="A1938" s="18" t="s">
        <v>2063</v>
      </c>
      <c r="C1938" s="3">
        <v>8000000</v>
      </c>
      <c r="E1938" s="13" t="s">
        <v>2064</v>
      </c>
      <c r="F1938" s="25">
        <f>F1931-C1933-C1934-C1935+C1936+C1937-C1938</f>
        <v>-12587000</v>
      </c>
    </row>
    <row r="1939" spans="1:6" x14ac:dyDescent="0.25">
      <c r="A1939" s="4" t="s">
        <v>2065</v>
      </c>
    </row>
    <row r="1940" spans="1:6" x14ac:dyDescent="0.25">
      <c r="A1940" s="18" t="s">
        <v>2066</v>
      </c>
      <c r="C1940" s="3">
        <v>500000</v>
      </c>
      <c r="E1940" s="13" t="s">
        <v>2067</v>
      </c>
      <c r="F1940" s="25">
        <f>F1938+C1940</f>
        <v>-12087000</v>
      </c>
    </row>
    <row r="1941" spans="1:6" x14ac:dyDescent="0.25">
      <c r="A1941" s="4" t="s">
        <v>2068</v>
      </c>
    </row>
    <row r="1942" spans="1:6" x14ac:dyDescent="0.25">
      <c r="A1942" s="18" t="s">
        <v>2010</v>
      </c>
      <c r="C1942" s="3">
        <v>3100000</v>
      </c>
      <c r="E1942" s="13" t="s">
        <v>2069</v>
      </c>
      <c r="F1942" s="25">
        <f>F1940-C1942</f>
        <v>-15187000</v>
      </c>
    </row>
    <row r="1943" spans="1:6" x14ac:dyDescent="0.25">
      <c r="A1943" s="4" t="s">
        <v>2070</v>
      </c>
    </row>
    <row r="1944" spans="1:6" x14ac:dyDescent="0.25">
      <c r="A1944" s="18" t="s">
        <v>2071</v>
      </c>
      <c r="C1944" s="3">
        <v>380000</v>
      </c>
    </row>
    <row r="1945" spans="1:6" x14ac:dyDescent="0.25">
      <c r="A1945" s="18" t="s">
        <v>2072</v>
      </c>
      <c r="C1945" s="3">
        <v>500000</v>
      </c>
      <c r="E1945" s="13" t="s">
        <v>2073</v>
      </c>
      <c r="F1945" s="25">
        <f>F1942-C1944-C1945</f>
        <v>-16067000</v>
      </c>
    </row>
    <row r="1946" spans="1:6" x14ac:dyDescent="0.25">
      <c r="A1946" s="4" t="s">
        <v>2074</v>
      </c>
    </row>
    <row r="1947" spans="1:6" x14ac:dyDescent="0.25">
      <c r="A1947" s="18" t="s">
        <v>2075</v>
      </c>
      <c r="C1947" s="3">
        <v>238000</v>
      </c>
    </row>
    <row r="1948" spans="1:6" x14ac:dyDescent="0.25">
      <c r="A1948" s="18" t="s">
        <v>251</v>
      </c>
      <c r="C1948" s="3">
        <v>1700000</v>
      </c>
    </row>
    <row r="1949" spans="1:6" x14ac:dyDescent="0.25">
      <c r="A1949" s="18" t="s">
        <v>1686</v>
      </c>
      <c r="C1949" s="3">
        <v>3540000</v>
      </c>
    </row>
    <row r="1950" spans="1:6" x14ac:dyDescent="0.25">
      <c r="A1950" s="18" t="s">
        <v>2076</v>
      </c>
      <c r="C1950" s="3">
        <v>7200000</v>
      </c>
    </row>
    <row r="1951" spans="1:6" x14ac:dyDescent="0.25">
      <c r="A1951" s="18" t="s">
        <v>2077</v>
      </c>
      <c r="C1951" s="3">
        <v>82000</v>
      </c>
      <c r="E1951" s="13" t="s">
        <v>2078</v>
      </c>
      <c r="F1951" s="25">
        <f>F1945-C1947-C1948-C1949+C1950-C1951</f>
        <v>-14427000</v>
      </c>
    </row>
    <row r="1952" spans="1:6" x14ac:dyDescent="0.25">
      <c r="A1952" s="4" t="s">
        <v>2079</v>
      </c>
    </row>
    <row r="1953" spans="1:6" x14ac:dyDescent="0.25">
      <c r="A1953" s="18" t="s">
        <v>2080</v>
      </c>
      <c r="C1953" s="3">
        <v>15000000</v>
      </c>
      <c r="E1953" s="13" t="s">
        <v>2081</v>
      </c>
      <c r="F1953" s="25">
        <f>F1951+C1953</f>
        <v>573000</v>
      </c>
    </row>
    <row r="1954" spans="1:6" x14ac:dyDescent="0.25">
      <c r="A1954" s="4" t="s">
        <v>2082</v>
      </c>
    </row>
    <row r="1955" spans="1:6" x14ac:dyDescent="0.25">
      <c r="A1955" s="18" t="s">
        <v>1488</v>
      </c>
      <c r="C1955" s="3">
        <v>5800000</v>
      </c>
    </row>
    <row r="1956" spans="1:6" x14ac:dyDescent="0.25">
      <c r="A1956" s="18" t="s">
        <v>2083</v>
      </c>
      <c r="C1956" s="3">
        <v>1213000</v>
      </c>
    </row>
    <row r="1957" spans="1:6" x14ac:dyDescent="0.25">
      <c r="A1957" s="18" t="s">
        <v>2084</v>
      </c>
      <c r="C1957" s="3">
        <v>258000</v>
      </c>
    </row>
    <row r="1958" spans="1:6" x14ac:dyDescent="0.25">
      <c r="A1958" s="18" t="s">
        <v>2085</v>
      </c>
      <c r="C1958" s="3">
        <v>571000</v>
      </c>
      <c r="E1958" s="13" t="s">
        <v>2086</v>
      </c>
      <c r="F1958" s="25">
        <f>F1953+C1955-C1956-C1957-C1958</f>
        <v>4331000</v>
      </c>
    </row>
    <row r="1959" spans="1:6" x14ac:dyDescent="0.25">
      <c r="A1959" s="4" t="s">
        <v>2087</v>
      </c>
    </row>
    <row r="1960" spans="1:6" x14ac:dyDescent="0.25">
      <c r="A1960" s="18" t="s">
        <v>2088</v>
      </c>
      <c r="C1960" s="3">
        <v>16800000</v>
      </c>
    </row>
    <row r="1961" spans="1:6" x14ac:dyDescent="0.25">
      <c r="A1961" s="18" t="s">
        <v>2089</v>
      </c>
      <c r="C1961" s="3">
        <v>3100000</v>
      </c>
    </row>
    <row r="1962" spans="1:6" x14ac:dyDescent="0.25">
      <c r="A1962" s="18" t="s">
        <v>2090</v>
      </c>
      <c r="C1962" s="3">
        <v>200000</v>
      </c>
    </row>
    <row r="1963" spans="1:6" x14ac:dyDescent="0.25">
      <c r="A1963" s="18" t="s">
        <v>2091</v>
      </c>
      <c r="C1963" s="3">
        <v>2000000</v>
      </c>
      <c r="E1963" s="13" t="s">
        <v>2092</v>
      </c>
      <c r="F1963" s="25">
        <f>F1958+C1960-C1961-C1962-C1963</f>
        <v>15831000</v>
      </c>
    </row>
    <row r="1964" spans="1:6" x14ac:dyDescent="0.25">
      <c r="A1964" s="4" t="s">
        <v>2094</v>
      </c>
    </row>
    <row r="1965" spans="1:6" x14ac:dyDescent="0.25">
      <c r="A1965" s="18" t="s">
        <v>2095</v>
      </c>
      <c r="C1965" s="3">
        <v>786000</v>
      </c>
    </row>
    <row r="1966" spans="1:6" x14ac:dyDescent="0.25">
      <c r="A1966" s="18" t="s">
        <v>1733</v>
      </c>
      <c r="C1966" s="3">
        <v>8000000</v>
      </c>
    </row>
    <row r="1967" spans="1:6" x14ac:dyDescent="0.25">
      <c r="A1967" s="18" t="s">
        <v>2096</v>
      </c>
      <c r="C1967" s="3">
        <v>10000000</v>
      </c>
      <c r="E1967" s="13" t="s">
        <v>2097</v>
      </c>
      <c r="F1967" s="25">
        <f>F1963-C1965-C1966+C1967</f>
        <v>17045000</v>
      </c>
    </row>
    <row r="1968" spans="1:6" x14ac:dyDescent="0.25">
      <c r="A1968" s="4" t="s">
        <v>2098</v>
      </c>
    </row>
    <row r="1969" spans="1:6" x14ac:dyDescent="0.25">
      <c r="A1969" s="18" t="s">
        <v>1918</v>
      </c>
      <c r="C1969" s="3">
        <v>2000000</v>
      </c>
    </row>
    <row r="1970" spans="1:6" x14ac:dyDescent="0.25">
      <c r="A1970" s="18" t="s">
        <v>1816</v>
      </c>
      <c r="C1970" s="3">
        <v>500000</v>
      </c>
    </row>
    <row r="1971" spans="1:6" x14ac:dyDescent="0.25">
      <c r="A1971" s="4" t="s">
        <v>2099</v>
      </c>
    </row>
    <row r="1972" spans="1:6" x14ac:dyDescent="0.25">
      <c r="A1972" s="18" t="s">
        <v>2100</v>
      </c>
      <c r="C1972" s="3">
        <v>3600000</v>
      </c>
      <c r="E1972" s="13" t="s">
        <v>2097</v>
      </c>
      <c r="F1972" s="25">
        <f>F1967-C1969-C1970-C1972</f>
        <v>10945000</v>
      </c>
    </row>
    <row r="1973" spans="1:6" x14ac:dyDescent="0.25">
      <c r="A1973" s="4" t="s">
        <v>2101</v>
      </c>
    </row>
    <row r="1974" spans="1:6" x14ac:dyDescent="0.25">
      <c r="A1974" s="18" t="s">
        <v>1872</v>
      </c>
      <c r="C1974" s="3">
        <v>270000</v>
      </c>
    </row>
    <row r="1975" spans="1:6" x14ac:dyDescent="0.25">
      <c r="A1975" s="18" t="s">
        <v>2102</v>
      </c>
      <c r="C1975" s="3">
        <v>500000</v>
      </c>
    </row>
    <row r="1976" spans="1:6" x14ac:dyDescent="0.25">
      <c r="A1976" s="18" t="s">
        <v>2103</v>
      </c>
      <c r="C1976" s="3">
        <v>6000000</v>
      </c>
    </row>
    <row r="1977" spans="1:6" x14ac:dyDescent="0.25">
      <c r="A1977" s="18" t="s">
        <v>2104</v>
      </c>
      <c r="C1977" s="3">
        <v>90000</v>
      </c>
      <c r="E1977" s="13" t="s">
        <v>2105</v>
      </c>
      <c r="F1977" s="25">
        <f>F1972-C1974-C1975+C1976-C1977</f>
        <v>16085000</v>
      </c>
    </row>
    <row r="1978" spans="1:6" x14ac:dyDescent="0.25">
      <c r="A1978" s="4" t="s">
        <v>2106</v>
      </c>
    </row>
    <row r="1979" spans="1:6" x14ac:dyDescent="0.25">
      <c r="A1979" s="18" t="s">
        <v>2107</v>
      </c>
      <c r="C1979" s="3">
        <v>2160000</v>
      </c>
    </row>
    <row r="1980" spans="1:6" x14ac:dyDescent="0.25">
      <c r="A1980" s="18" t="s">
        <v>2108</v>
      </c>
      <c r="C1980" s="3">
        <v>265000</v>
      </c>
    </row>
    <row r="1981" spans="1:6" x14ac:dyDescent="0.25">
      <c r="A1981" s="18" t="s">
        <v>2109</v>
      </c>
      <c r="C1981" s="3">
        <v>392000</v>
      </c>
    </row>
    <row r="1982" spans="1:6" x14ac:dyDescent="0.25">
      <c r="A1982" s="18" t="s">
        <v>2110</v>
      </c>
      <c r="C1982" s="3">
        <v>1214000</v>
      </c>
    </row>
    <row r="1983" spans="1:6" x14ac:dyDescent="0.25">
      <c r="A1983" s="18" t="s">
        <v>1762</v>
      </c>
      <c r="C1983" s="3">
        <v>500000</v>
      </c>
    </row>
    <row r="1984" spans="1:6" x14ac:dyDescent="0.25">
      <c r="A1984" s="18" t="s">
        <v>2111</v>
      </c>
      <c r="C1984" s="3">
        <v>2000000</v>
      </c>
      <c r="E1984" s="13" t="s">
        <v>2112</v>
      </c>
      <c r="F1984" s="25">
        <f>F1977-C1979-C1980-C1981-C1982-C1983+C1984</f>
        <v>13554000</v>
      </c>
    </row>
    <row r="1985" spans="1:6" x14ac:dyDescent="0.25">
      <c r="A1985" s="4" t="s">
        <v>2113</v>
      </c>
    </row>
    <row r="1986" spans="1:6" x14ac:dyDescent="0.25">
      <c r="A1986" s="18" t="s">
        <v>2114</v>
      </c>
      <c r="C1986" s="3">
        <v>2121000</v>
      </c>
    </row>
    <row r="1987" spans="1:6" x14ac:dyDescent="0.25">
      <c r="A1987" s="18" t="s">
        <v>2115</v>
      </c>
      <c r="C1987" s="3">
        <v>5000000</v>
      </c>
    </row>
    <row r="1988" spans="1:6" x14ac:dyDescent="0.25">
      <c r="A1988" s="18" t="s">
        <v>2117</v>
      </c>
      <c r="C1988" s="3">
        <v>500000</v>
      </c>
    </row>
    <row r="1989" spans="1:6" x14ac:dyDescent="0.25">
      <c r="A1989" s="18" t="s">
        <v>2118</v>
      </c>
      <c r="C1989" s="3">
        <v>260000</v>
      </c>
    </row>
    <row r="1990" spans="1:6" x14ac:dyDescent="0.25">
      <c r="A1990" s="18" t="s">
        <v>1583</v>
      </c>
      <c r="C1990" s="3">
        <v>220000</v>
      </c>
    </row>
    <row r="1991" spans="1:6" x14ac:dyDescent="0.25">
      <c r="A1991" s="18" t="s">
        <v>2120</v>
      </c>
      <c r="C1991" s="3">
        <v>760000</v>
      </c>
    </row>
    <row r="1992" spans="1:6" x14ac:dyDescent="0.25">
      <c r="A1992" s="18" t="s">
        <v>2119</v>
      </c>
      <c r="C1992" s="3">
        <v>500000</v>
      </c>
      <c r="E1992" s="13" t="s">
        <v>2116</v>
      </c>
      <c r="F1992" s="25">
        <f>F1984-C1986+C1987-C1988-C1989-C1992-C1990-C1991</f>
        <v>14193000</v>
      </c>
    </row>
    <row r="1993" spans="1:6" x14ac:dyDescent="0.25">
      <c r="A1993" s="4" t="s">
        <v>2121</v>
      </c>
    </row>
    <row r="1994" spans="1:6" x14ac:dyDescent="0.25">
      <c r="A1994" s="18" t="s">
        <v>2122</v>
      </c>
      <c r="C1994" s="3">
        <v>364000</v>
      </c>
    </row>
    <row r="1995" spans="1:6" x14ac:dyDescent="0.25">
      <c r="A1995" s="18" t="s">
        <v>1162</v>
      </c>
      <c r="C1995" s="3">
        <v>8000000</v>
      </c>
    </row>
    <row r="1996" spans="1:6" x14ac:dyDescent="0.25">
      <c r="A1996" s="18" t="s">
        <v>2039</v>
      </c>
      <c r="C1996" s="3">
        <v>3100000</v>
      </c>
    </row>
    <row r="1997" spans="1:6" x14ac:dyDescent="0.25">
      <c r="A1997" s="18" t="s">
        <v>2123</v>
      </c>
      <c r="C1997" s="3">
        <v>500000</v>
      </c>
      <c r="E1997" s="13" t="s">
        <v>2125</v>
      </c>
      <c r="F1997" s="25">
        <f>F1992-C1994-C1995-C1996-C1997</f>
        <v>2229000</v>
      </c>
    </row>
    <row r="1998" spans="1:6" x14ac:dyDescent="0.25">
      <c r="A1998" s="4" t="s">
        <v>2124</v>
      </c>
    </row>
    <row r="1999" spans="1:6" x14ac:dyDescent="0.25">
      <c r="A1999" s="18" t="s">
        <v>1429</v>
      </c>
      <c r="C1999" s="3">
        <v>3400000</v>
      </c>
    </row>
    <row r="2000" spans="1:6" x14ac:dyDescent="0.25">
      <c r="A2000" s="18" t="s">
        <v>2126</v>
      </c>
      <c r="C2000" s="3">
        <f>1375000+712000</f>
        <v>2087000</v>
      </c>
    </row>
    <row r="2001" spans="1:6" x14ac:dyDescent="0.25">
      <c r="A2001" s="18" t="s">
        <v>2127</v>
      </c>
      <c r="C2001" s="3">
        <v>1800000</v>
      </c>
    </row>
    <row r="2002" spans="1:6" x14ac:dyDescent="0.25">
      <c r="A2002" s="18" t="s">
        <v>1639</v>
      </c>
      <c r="C2002" s="3">
        <v>1500000</v>
      </c>
      <c r="E2002" s="13" t="s">
        <v>2128</v>
      </c>
      <c r="F2002" s="25">
        <f>F1997-C1999-C2000-C2001-C2002</f>
        <v>-6558000</v>
      </c>
    </row>
    <row r="2003" spans="1:6" x14ac:dyDescent="0.25">
      <c r="A2003" s="4" t="s">
        <v>2129</v>
      </c>
    </row>
    <row r="2004" spans="1:6" x14ac:dyDescent="0.25">
      <c r="A2004" s="18" t="s">
        <v>1488</v>
      </c>
      <c r="C2004" s="3">
        <v>6100000</v>
      </c>
    </row>
    <row r="2005" spans="1:6" x14ac:dyDescent="0.25">
      <c r="A2005" s="18" t="s">
        <v>2130</v>
      </c>
      <c r="C2005" s="3">
        <v>1500000</v>
      </c>
    </row>
    <row r="2006" spans="1:6" x14ac:dyDescent="0.25">
      <c r="A2006" s="18" t="s">
        <v>2131</v>
      </c>
      <c r="C2006" s="3">
        <v>325000</v>
      </c>
      <c r="E2006" s="13" t="s">
        <v>2132</v>
      </c>
      <c r="F2006" s="25">
        <f>F2002+C2004-C2005-C2006</f>
        <v>-2283000</v>
      </c>
    </row>
    <row r="2007" spans="1:6" x14ac:dyDescent="0.25">
      <c r="A2007" s="4" t="s">
        <v>2133</v>
      </c>
    </row>
    <row r="2008" spans="1:6" x14ac:dyDescent="0.25">
      <c r="A2008" s="18" t="s">
        <v>2134</v>
      </c>
      <c r="C2008" s="3">
        <v>900000</v>
      </c>
    </row>
    <row r="2009" spans="1:6" x14ac:dyDescent="0.25">
      <c r="A2009" s="18" t="s">
        <v>2135</v>
      </c>
      <c r="C2009" s="3">
        <v>365000</v>
      </c>
    </row>
    <row r="2010" spans="1:6" x14ac:dyDescent="0.25">
      <c r="A2010" s="18" t="s">
        <v>2136</v>
      </c>
      <c r="C2010" s="3">
        <v>200000</v>
      </c>
    </row>
    <row r="2011" spans="1:6" x14ac:dyDescent="0.25">
      <c r="A2011" s="18" t="s">
        <v>2137</v>
      </c>
      <c r="C2011" s="3">
        <v>6200000</v>
      </c>
      <c r="E2011" s="13" t="s">
        <v>2138</v>
      </c>
      <c r="F2011" s="25">
        <f>F2006-C2008-C2009-C2010-C2011</f>
        <v>-9948000</v>
      </c>
    </row>
    <row r="2012" spans="1:6" x14ac:dyDescent="0.25">
      <c r="A2012" s="4" t="s">
        <v>2139</v>
      </c>
    </row>
    <row r="2013" spans="1:6" x14ac:dyDescent="0.25">
      <c r="A2013" s="18" t="s">
        <v>1624</v>
      </c>
      <c r="C2013" s="3">
        <v>12000000</v>
      </c>
      <c r="E2013" s="13" t="s">
        <v>2140</v>
      </c>
      <c r="F2013" s="25">
        <f>F2011+C2013</f>
        <v>2052000</v>
      </c>
    </row>
    <row r="2014" spans="1:6" x14ac:dyDescent="0.25">
      <c r="A2014" s="4" t="s">
        <v>2141</v>
      </c>
    </row>
    <row r="2015" spans="1:6" x14ac:dyDescent="0.25">
      <c r="A2015" s="18" t="s">
        <v>2142</v>
      </c>
      <c r="C2015" s="3">
        <v>1300000</v>
      </c>
    </row>
    <row r="2016" spans="1:6" x14ac:dyDescent="0.25">
      <c r="A2016" s="18" t="s">
        <v>2143</v>
      </c>
      <c r="C2016" s="3">
        <v>656000</v>
      </c>
    </row>
    <row r="2017" spans="1:6" x14ac:dyDescent="0.25">
      <c r="A2017" s="18" t="s">
        <v>2144</v>
      </c>
      <c r="C2017" s="3">
        <v>680000</v>
      </c>
    </row>
    <row r="2018" spans="1:6" x14ac:dyDescent="0.25">
      <c r="A2018" s="18" t="s">
        <v>2145</v>
      </c>
      <c r="C2018" s="3">
        <v>111000</v>
      </c>
    </row>
    <row r="2019" spans="1:6" x14ac:dyDescent="0.25">
      <c r="A2019" s="18" t="s">
        <v>1824</v>
      </c>
      <c r="C2019" s="3">
        <v>8000000</v>
      </c>
      <c r="E2019" s="13" t="s">
        <v>2146</v>
      </c>
      <c r="F2019" s="25">
        <f>F2013-C2015-C2016-C2017-C2018-C2019</f>
        <v>-8695000</v>
      </c>
    </row>
    <row r="2020" spans="1:6" x14ac:dyDescent="0.25">
      <c r="A2020" s="4" t="s">
        <v>2147</v>
      </c>
    </row>
    <row r="2021" spans="1:6" x14ac:dyDescent="0.25">
      <c r="A2021" s="18" t="s">
        <v>2148</v>
      </c>
      <c r="C2021" s="3">
        <f>350000+860000</f>
        <v>1210000</v>
      </c>
    </row>
    <row r="2022" spans="1:6" x14ac:dyDescent="0.25">
      <c r="A2022" s="18" t="s">
        <v>2149</v>
      </c>
      <c r="C2022" s="3">
        <v>3510000</v>
      </c>
    </row>
    <row r="2023" spans="1:6" x14ac:dyDescent="0.25">
      <c r="A2023" s="107" t="s">
        <v>2150</v>
      </c>
      <c r="C2023" s="3">
        <v>1580000</v>
      </c>
    </row>
    <row r="2024" spans="1:6" x14ac:dyDescent="0.25">
      <c r="A2024" s="18" t="s">
        <v>2151</v>
      </c>
      <c r="C2024" s="3">
        <v>200000</v>
      </c>
      <c r="E2024" s="13" t="s">
        <v>2152</v>
      </c>
      <c r="F2024" s="25">
        <f>F2019-C2021-C2022-C2023-C2024</f>
        <v>-15195000</v>
      </c>
    </row>
    <row r="2025" spans="1:6" x14ac:dyDescent="0.25">
      <c r="A2025" s="4" t="s">
        <v>2153</v>
      </c>
    </row>
    <row r="2026" spans="1:6" x14ac:dyDescent="0.25">
      <c r="A2026" s="18" t="s">
        <v>1488</v>
      </c>
      <c r="C2026" s="3">
        <v>6000000</v>
      </c>
    </row>
    <row r="2027" spans="1:6" x14ac:dyDescent="0.25">
      <c r="A2027" s="18" t="s">
        <v>2154</v>
      </c>
      <c r="C2027" s="3">
        <v>695000</v>
      </c>
      <c r="E2027" s="13" t="s">
        <v>2155</v>
      </c>
      <c r="F2027" s="25">
        <f>F2024+C2026-C2027</f>
        <v>-9890000</v>
      </c>
    </row>
    <row r="2028" spans="1:6" x14ac:dyDescent="0.25">
      <c r="A2028" s="4" t="s">
        <v>2156</v>
      </c>
    </row>
    <row r="2029" spans="1:6" x14ac:dyDescent="0.25">
      <c r="A2029" s="18" t="s">
        <v>2157</v>
      </c>
      <c r="C2029" s="3">
        <v>500000</v>
      </c>
    </row>
    <row r="2030" spans="1:6" x14ac:dyDescent="0.25">
      <c r="A2030" s="18" t="s">
        <v>1514</v>
      </c>
      <c r="C2030" s="3">
        <v>975000</v>
      </c>
      <c r="E2030" s="13" t="s">
        <v>2158</v>
      </c>
      <c r="F2030" s="25">
        <f>F2027-C2029-C2030</f>
        <v>-11365000</v>
      </c>
    </row>
    <row r="2031" spans="1:6" x14ac:dyDescent="0.25">
      <c r="A2031" s="4" t="s">
        <v>2159</v>
      </c>
    </row>
    <row r="2032" spans="1:6" x14ac:dyDescent="0.25">
      <c r="A2032" s="18" t="s">
        <v>1624</v>
      </c>
      <c r="C2032" s="3">
        <v>14200000</v>
      </c>
    </row>
    <row r="2033" spans="1:6" x14ac:dyDescent="0.25">
      <c r="A2033" s="18" t="s">
        <v>2160</v>
      </c>
      <c r="C2033" s="3">
        <v>2000000</v>
      </c>
    </row>
    <row r="2034" spans="1:6" x14ac:dyDescent="0.25">
      <c r="A2034" s="18" t="s">
        <v>2163</v>
      </c>
      <c r="C2034" s="3">
        <v>4300000</v>
      </c>
    </row>
    <row r="2035" spans="1:6" x14ac:dyDescent="0.25">
      <c r="A2035" s="18" t="s">
        <v>2161</v>
      </c>
      <c r="C2035" s="3">
        <v>1000000</v>
      </c>
      <c r="E2035" s="13" t="s">
        <v>2162</v>
      </c>
      <c r="F2035" s="25">
        <f>F2030+C2032+C2033+C2035+C2034</f>
        <v>10135000</v>
      </c>
    </row>
    <row r="2036" spans="1:6" x14ac:dyDescent="0.25">
      <c r="A2036" s="4" t="s">
        <v>2164</v>
      </c>
    </row>
    <row r="2037" spans="1:6" x14ac:dyDescent="0.25">
      <c r="A2037" s="18" t="s">
        <v>2165</v>
      </c>
      <c r="C2037" s="3">
        <v>820000</v>
      </c>
    </row>
    <row r="2038" spans="1:6" x14ac:dyDescent="0.25">
      <c r="A2038" s="18" t="s">
        <v>2166</v>
      </c>
      <c r="C2038" s="3">
        <f>516000+2113000</f>
        <v>2629000</v>
      </c>
    </row>
    <row r="2039" spans="1:6" x14ac:dyDescent="0.25">
      <c r="A2039" s="18" t="s">
        <v>1860</v>
      </c>
      <c r="C2039" s="3">
        <v>3500000</v>
      </c>
    </row>
    <row r="2040" spans="1:6" x14ac:dyDescent="0.25">
      <c r="A2040" t="s">
        <v>1311</v>
      </c>
      <c r="C2040" s="3">
        <v>1908000</v>
      </c>
    </row>
    <row r="2041" spans="1:6" x14ac:dyDescent="0.25">
      <c r="A2041" t="s">
        <v>451</v>
      </c>
      <c r="C2041" s="3">
        <v>8000000</v>
      </c>
    </row>
    <row r="2042" spans="1:6" x14ac:dyDescent="0.25">
      <c r="A2042" t="s">
        <v>1488</v>
      </c>
      <c r="C2042" s="3">
        <v>6000000</v>
      </c>
      <c r="E2042" s="13" t="s">
        <v>2167</v>
      </c>
      <c r="F2042" s="25">
        <f>F2035-C2037-C2038-C2039-C2040-C2041+C2042</f>
        <v>-722000</v>
      </c>
    </row>
    <row r="2043" spans="1:6" x14ac:dyDescent="0.25">
      <c r="A2043" s="4" t="s">
        <v>2168</v>
      </c>
    </row>
    <row r="2044" spans="1:6" x14ac:dyDescent="0.25">
      <c r="A2044" t="s">
        <v>2169</v>
      </c>
      <c r="C2044" s="3">
        <v>500000</v>
      </c>
    </row>
    <row r="2045" spans="1:6" x14ac:dyDescent="0.25">
      <c r="A2045" t="s">
        <v>2170</v>
      </c>
      <c r="C2045" s="3">
        <v>500000</v>
      </c>
      <c r="E2045" s="13" t="s">
        <v>2171</v>
      </c>
      <c r="F2045" s="25">
        <f>F2042-C2044-C2045</f>
        <v>-1722000</v>
      </c>
    </row>
    <row r="2046" spans="1:6" x14ac:dyDescent="0.25">
      <c r="A2046" s="4" t="s">
        <v>2172</v>
      </c>
    </row>
    <row r="2047" spans="1:6" x14ac:dyDescent="0.25">
      <c r="A2047" t="s">
        <v>2173</v>
      </c>
      <c r="C2047" s="3">
        <v>2000000</v>
      </c>
    </row>
    <row r="2048" spans="1:6" x14ac:dyDescent="0.25">
      <c r="A2048" t="s">
        <v>2174</v>
      </c>
      <c r="C2048" s="3">
        <v>5400000</v>
      </c>
      <c r="E2048" s="13" t="s">
        <v>2178</v>
      </c>
      <c r="F2048" s="25">
        <f>F2045-C2047-C2048</f>
        <v>-9122000</v>
      </c>
    </row>
    <row r="2049" spans="1:6" x14ac:dyDescent="0.25">
      <c r="A2049" s="4" t="s">
        <v>2175</v>
      </c>
    </row>
    <row r="2050" spans="1:6" x14ac:dyDescent="0.25">
      <c r="A2050" t="s">
        <v>2176</v>
      </c>
      <c r="C2050" s="3">
        <v>500000</v>
      </c>
    </row>
    <row r="2051" spans="1:6" x14ac:dyDescent="0.25">
      <c r="A2051" t="s">
        <v>2177</v>
      </c>
      <c r="C2051" s="3">
        <v>2000000</v>
      </c>
      <c r="E2051" s="13" t="s">
        <v>2179</v>
      </c>
      <c r="F2051" s="25">
        <f>F2048+C2050+C2051</f>
        <v>-6622000</v>
      </c>
    </row>
    <row r="2052" spans="1:6" x14ac:dyDescent="0.25">
      <c r="A2052" s="4" t="s">
        <v>2180</v>
      </c>
    </row>
    <row r="2053" spans="1:6" x14ac:dyDescent="0.25">
      <c r="A2053" t="s">
        <v>2181</v>
      </c>
      <c r="C2053" s="3">
        <v>500000</v>
      </c>
    </row>
    <row r="2054" spans="1:6" x14ac:dyDescent="0.25">
      <c r="A2054" t="s">
        <v>2182</v>
      </c>
      <c r="C2054" s="3">
        <v>600000</v>
      </c>
      <c r="E2054" s="13" t="s">
        <v>2183</v>
      </c>
      <c r="F2054" s="25">
        <f>F2051-C2053-C2054</f>
        <v>-7722000</v>
      </c>
    </row>
    <row r="2055" spans="1:6" x14ac:dyDescent="0.25">
      <c r="A2055" s="4" t="s">
        <v>2184</v>
      </c>
    </row>
    <row r="2056" spans="1:6" x14ac:dyDescent="0.25">
      <c r="A2056" t="s">
        <v>2185</v>
      </c>
      <c r="C2056" s="3">
        <v>300000</v>
      </c>
    </row>
    <row r="2057" spans="1:6" x14ac:dyDescent="0.25">
      <c r="A2057" t="s">
        <v>2186</v>
      </c>
      <c r="C2057" s="3">
        <v>400000</v>
      </c>
    </row>
    <row r="2058" spans="1:6" x14ac:dyDescent="0.25">
      <c r="A2058" t="s">
        <v>2188</v>
      </c>
      <c r="C2058" s="3">
        <v>1000000</v>
      </c>
    </row>
    <row r="2059" spans="1:6" x14ac:dyDescent="0.25">
      <c r="A2059" t="s">
        <v>2189</v>
      </c>
      <c r="C2059" s="3">
        <v>1600000</v>
      </c>
    </row>
    <row r="2060" spans="1:6" x14ac:dyDescent="0.25">
      <c r="A2060" t="s">
        <v>2187</v>
      </c>
      <c r="C2060" s="3">
        <v>700000</v>
      </c>
    </row>
    <row r="2061" spans="1:6" x14ac:dyDescent="0.25">
      <c r="A2061" t="s">
        <v>2190</v>
      </c>
      <c r="C2061" s="3">
        <v>2600000</v>
      </c>
    </row>
    <row r="2062" spans="1:6" x14ac:dyDescent="0.25">
      <c r="A2062" t="s">
        <v>2191</v>
      </c>
      <c r="C2062" s="3">
        <v>13500000</v>
      </c>
    </row>
    <row r="2063" spans="1:6" x14ac:dyDescent="0.25">
      <c r="A2063" t="s">
        <v>2039</v>
      </c>
      <c r="C2063" s="3">
        <v>3100000</v>
      </c>
    </row>
    <row r="2064" spans="1:6" x14ac:dyDescent="0.25">
      <c r="A2064" t="s">
        <v>1360</v>
      </c>
      <c r="C2064" s="3">
        <v>1734000</v>
      </c>
    </row>
    <row r="2065" spans="1:6" x14ac:dyDescent="0.25">
      <c r="A2065" t="s">
        <v>537</v>
      </c>
      <c r="C2065" s="3">
        <v>8000000</v>
      </c>
      <c r="E2065" s="13" t="s">
        <v>2192</v>
      </c>
      <c r="F2065" s="25">
        <f>F2054-C2056-C2057-C2058-C2059-C2060-C2061+C2062-C2063-C2064-C2065</f>
        <v>-13656000</v>
      </c>
    </row>
    <row r="2066" spans="1:6" x14ac:dyDescent="0.25">
      <c r="A2066" s="4" t="s">
        <v>2193</v>
      </c>
    </row>
    <row r="2067" spans="1:6" x14ac:dyDescent="0.25">
      <c r="A2067" t="s">
        <v>2194</v>
      </c>
      <c r="C2067" s="3">
        <v>2350000</v>
      </c>
    </row>
    <row r="2068" spans="1:6" x14ac:dyDescent="0.25">
      <c r="A2068" t="s">
        <v>1819</v>
      </c>
      <c r="C2068" s="3">
        <v>440000</v>
      </c>
    </row>
    <row r="2069" spans="1:6" x14ac:dyDescent="0.25">
      <c r="A2069" t="s">
        <v>1219</v>
      </c>
      <c r="C2069" s="3">
        <v>195000</v>
      </c>
    </row>
    <row r="2070" spans="1:6" x14ac:dyDescent="0.25">
      <c r="A2070" t="s">
        <v>2195</v>
      </c>
      <c r="C2070" s="3">
        <v>500000</v>
      </c>
    </row>
    <row r="2071" spans="1:6" x14ac:dyDescent="0.25">
      <c r="A2071" t="s">
        <v>2196</v>
      </c>
      <c r="C2071" s="3">
        <v>600000</v>
      </c>
    </row>
    <row r="2072" spans="1:6" x14ac:dyDescent="0.25">
      <c r="A2072" t="s">
        <v>2197</v>
      </c>
      <c r="C2072" s="3">
        <v>605000</v>
      </c>
    </row>
    <row r="2073" spans="1:6" x14ac:dyDescent="0.25">
      <c r="A2073" t="s">
        <v>2198</v>
      </c>
      <c r="C2073" s="3">
        <v>3300000</v>
      </c>
      <c r="E2073" s="13" t="s">
        <v>2199</v>
      </c>
      <c r="F2073" s="25">
        <f>F2065-C2067-C2068-C2069-C2070-C2071-C2072-C2073</f>
        <v>-21646000</v>
      </c>
    </row>
    <row r="2074" spans="1:6" x14ac:dyDescent="0.25">
      <c r="A2074" s="4" t="s">
        <v>2200</v>
      </c>
    </row>
    <row r="2075" spans="1:6" x14ac:dyDescent="0.25">
      <c r="A2075" t="s">
        <v>2201</v>
      </c>
      <c r="C2075" s="3">
        <v>2000000</v>
      </c>
    </row>
    <row r="2076" spans="1:6" x14ac:dyDescent="0.25">
      <c r="A2076" t="s">
        <v>2202</v>
      </c>
      <c r="C2076" s="3">
        <v>1500000</v>
      </c>
    </row>
    <row r="2077" spans="1:6" x14ac:dyDescent="0.25">
      <c r="A2077" t="s">
        <v>1488</v>
      </c>
      <c r="C2077" s="3">
        <v>6000000</v>
      </c>
    </row>
    <row r="2078" spans="1:6" x14ac:dyDescent="0.25">
      <c r="A2078" t="s">
        <v>2204</v>
      </c>
      <c r="C2078" s="3">
        <v>1500000</v>
      </c>
      <c r="E2078" s="13" t="s">
        <v>2203</v>
      </c>
      <c r="F2078" s="25">
        <f>F2073-C2075-C2076+C2077-C2078</f>
        <v>-20646000</v>
      </c>
    </row>
    <row r="2079" spans="1:6" x14ac:dyDescent="0.25">
      <c r="A2079" s="4" t="s">
        <v>2205</v>
      </c>
    </row>
    <row r="2080" spans="1:6" x14ac:dyDescent="0.25">
      <c r="A2080" t="s">
        <v>1514</v>
      </c>
      <c r="C2080" s="3">
        <v>1683000</v>
      </c>
    </row>
    <row r="2081" spans="1:6" x14ac:dyDescent="0.25">
      <c r="A2081" t="s">
        <v>2206</v>
      </c>
      <c r="C2081" s="3">
        <v>13200000</v>
      </c>
    </row>
    <row r="2082" spans="1:6" x14ac:dyDescent="0.25">
      <c r="A2082" t="s">
        <v>1442</v>
      </c>
      <c r="C2082" s="3">
        <v>550000</v>
      </c>
    </row>
    <row r="2083" spans="1:6" x14ac:dyDescent="0.25">
      <c r="A2083" t="s">
        <v>625</v>
      </c>
      <c r="C2083" s="3">
        <v>8000000</v>
      </c>
    </row>
    <row r="2084" spans="1:6" x14ac:dyDescent="0.25">
      <c r="A2084" t="s">
        <v>611</v>
      </c>
      <c r="C2084" s="3">
        <v>500000</v>
      </c>
      <c r="E2084" s="13" t="s">
        <v>2203</v>
      </c>
      <c r="F2084" s="25">
        <f>F2078-C2080+C2081-C2082-C2083+C2084</f>
        <v>-17179000</v>
      </c>
    </row>
    <row r="2085" spans="1:6" x14ac:dyDescent="0.25">
      <c r="A2085" s="4" t="s">
        <v>2207</v>
      </c>
    </row>
    <row r="2086" spans="1:6" x14ac:dyDescent="0.25">
      <c r="A2086" t="s">
        <v>1488</v>
      </c>
      <c r="C2086" s="3">
        <v>6000000</v>
      </c>
    </row>
    <row r="2087" spans="1:6" x14ac:dyDescent="0.25">
      <c r="A2087" t="s">
        <v>2208</v>
      </c>
      <c r="C2087" s="3">
        <v>3328000</v>
      </c>
    </row>
    <row r="2088" spans="1:6" x14ac:dyDescent="0.25">
      <c r="A2088" t="s">
        <v>817</v>
      </c>
      <c r="C2088" s="3">
        <v>1000000</v>
      </c>
    </row>
    <row r="2089" spans="1:6" x14ac:dyDescent="0.25">
      <c r="A2089" t="s">
        <v>2209</v>
      </c>
      <c r="C2089" s="3">
        <v>2000000</v>
      </c>
      <c r="E2089" s="13" t="s">
        <v>2210</v>
      </c>
      <c r="F2089" s="25">
        <f>F2084+C2086-C2087+C2088+C2089</f>
        <v>-11507000</v>
      </c>
    </row>
    <row r="2090" spans="1:6" x14ac:dyDescent="0.25">
      <c r="A2090" s="4" t="s">
        <v>2211</v>
      </c>
    </row>
    <row r="2091" spans="1:6" x14ac:dyDescent="0.25">
      <c r="A2091" t="s">
        <v>2212</v>
      </c>
      <c r="C2091" s="3">
        <v>400000</v>
      </c>
    </row>
    <row r="2092" spans="1:6" x14ac:dyDescent="0.25">
      <c r="A2092" t="s">
        <v>2213</v>
      </c>
      <c r="C2092" s="3">
        <v>680000</v>
      </c>
    </row>
    <row r="2093" spans="1:6" x14ac:dyDescent="0.25">
      <c r="A2093" t="s">
        <v>2214</v>
      </c>
      <c r="C2093" s="3">
        <v>700000</v>
      </c>
      <c r="E2093" s="13" t="s">
        <v>2215</v>
      </c>
      <c r="F2093" s="25">
        <f>F2089-C2091-C2092-C2093</f>
        <v>-13287000</v>
      </c>
    </row>
    <row r="2094" spans="1:6" x14ac:dyDescent="0.25">
      <c r="A2094" s="4" t="s">
        <v>2216</v>
      </c>
    </row>
    <row r="2095" spans="1:6" x14ac:dyDescent="0.25">
      <c r="A2095" t="s">
        <v>2217</v>
      </c>
      <c r="C2095" s="3">
        <v>500000</v>
      </c>
    </row>
    <row r="2096" spans="1:6" x14ac:dyDescent="0.25">
      <c r="A2096" t="s">
        <v>2218</v>
      </c>
      <c r="C2096" s="3">
        <v>779000</v>
      </c>
      <c r="E2096" s="13" t="s">
        <v>2219</v>
      </c>
      <c r="F2096" s="25">
        <f>F2093+C2095-C2096</f>
        <v>-13566000</v>
      </c>
    </row>
    <row r="2097" spans="1:3" x14ac:dyDescent="0.25">
      <c r="A2097" s="4" t="s">
        <v>2220</v>
      </c>
    </row>
    <row r="2098" spans="1:3" x14ac:dyDescent="0.25">
      <c r="A2098" t="s">
        <v>611</v>
      </c>
      <c r="C2098" s="3">
        <v>500000</v>
      </c>
    </row>
    <row r="2099" spans="1:3" x14ac:dyDescent="0.25">
      <c r="A2099" t="s">
        <v>2221</v>
      </c>
      <c r="C2099" s="3">
        <v>300000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0"/>
  <sheetViews>
    <sheetView topLeftCell="A9" zoomScale="81" workbookViewId="0">
      <selection activeCell="H27" sqref="H27"/>
    </sheetView>
  </sheetViews>
  <sheetFormatPr defaultRowHeight="15.75" x14ac:dyDescent="0.25"/>
  <cols>
    <col min="1" max="1" width="20.75" customWidth="1"/>
    <col min="2" max="2" width="16.25" bestFit="1" customWidth="1"/>
    <col min="3" max="3" width="13.75" style="21" bestFit="1" customWidth="1"/>
    <col min="4" max="4" width="15.125" bestFit="1" customWidth="1"/>
    <col min="5" max="5" width="14.125" style="21" customWidth="1"/>
    <col min="6" max="6" width="13.125" style="3" customWidth="1"/>
    <col min="7" max="7" width="14.75" bestFit="1" customWidth="1"/>
    <col min="8" max="8" width="13.25" style="3" customWidth="1"/>
    <col min="9" max="9" width="13.75" style="3" bestFit="1" customWidth="1"/>
    <col min="10" max="10" width="14.5" customWidth="1"/>
    <col min="11" max="11" width="12.625" customWidth="1"/>
    <col min="12" max="12" width="12.5" customWidth="1"/>
    <col min="13" max="13" width="11.125" style="3" bestFit="1" customWidth="1"/>
    <col min="14" max="14" width="11" style="92" customWidth="1"/>
    <col min="15" max="15" width="10.125" customWidth="1"/>
    <col min="16" max="18" width="10.125" bestFit="1" customWidth="1"/>
    <col min="19" max="19" width="12.125" bestFit="1" customWidth="1"/>
  </cols>
  <sheetData>
    <row r="1" spans="1:19" x14ac:dyDescent="0.25">
      <c r="F1" s="108" t="s">
        <v>1857</v>
      </c>
      <c r="G1" s="108"/>
      <c r="H1" s="108"/>
      <c r="I1" s="108"/>
      <c r="J1" s="108"/>
      <c r="K1" s="109" t="s">
        <v>486</v>
      </c>
      <c r="L1" s="109"/>
      <c r="M1" s="109"/>
      <c r="N1" s="109"/>
      <c r="O1" s="109"/>
      <c r="P1" s="38"/>
    </row>
    <row r="2" spans="1:19" s="21" customFormat="1" ht="31.5" x14ac:dyDescent="0.25">
      <c r="A2" s="39" t="s">
        <v>487</v>
      </c>
      <c r="B2" s="40">
        <v>900000000</v>
      </c>
      <c r="C2" s="39" t="s">
        <v>488</v>
      </c>
      <c r="D2" s="39" t="s">
        <v>489</v>
      </c>
      <c r="E2" s="41" t="s">
        <v>490</v>
      </c>
      <c r="F2" s="42" t="s">
        <v>491</v>
      </c>
      <c r="G2" s="43" t="s">
        <v>492</v>
      </c>
      <c r="H2" s="42" t="s">
        <v>493</v>
      </c>
      <c r="I2" s="42" t="s">
        <v>494</v>
      </c>
      <c r="J2" s="43" t="s">
        <v>495</v>
      </c>
      <c r="K2" s="44" t="s">
        <v>491</v>
      </c>
      <c r="L2" s="45" t="s">
        <v>492</v>
      </c>
      <c r="M2" s="46" t="s">
        <v>496</v>
      </c>
      <c r="N2" s="46" t="s">
        <v>497</v>
      </c>
      <c r="O2" s="47" t="s">
        <v>495</v>
      </c>
      <c r="P2" s="48" t="s">
        <v>498</v>
      </c>
      <c r="S2" s="83" t="s">
        <v>899</v>
      </c>
    </row>
    <row r="3" spans="1:19" x14ac:dyDescent="0.25">
      <c r="A3" s="49" t="s">
        <v>499</v>
      </c>
      <c r="B3" s="50">
        <v>270000000</v>
      </c>
      <c r="C3" s="39">
        <v>1</v>
      </c>
      <c r="D3" s="51">
        <v>45422</v>
      </c>
      <c r="E3" s="39">
        <v>29</v>
      </c>
      <c r="F3" s="52">
        <v>900000000</v>
      </c>
      <c r="G3" s="53">
        <f>F3-H3</f>
        <v>892500000</v>
      </c>
      <c r="H3" s="52">
        <f>$B$11</f>
        <v>7500000</v>
      </c>
      <c r="I3" s="52">
        <f>((F3*$B$5)/365)*E3</f>
        <v>4576438.3561643837</v>
      </c>
      <c r="J3" s="53">
        <f>H3+I3</f>
        <v>12076438.356164385</v>
      </c>
      <c r="K3" s="54">
        <v>270000000</v>
      </c>
      <c r="L3" s="54">
        <f>K3-M3</f>
        <v>267750000</v>
      </c>
      <c r="M3" s="55">
        <f>$B$3/$B$8</f>
        <v>2250000</v>
      </c>
      <c r="N3" s="55">
        <f>((K3*$B$6)/365)*E3</f>
        <v>1287123.2876712328</v>
      </c>
      <c r="O3" s="54">
        <f>M3+N3</f>
        <v>3537123.2876712326</v>
      </c>
      <c r="P3" s="56">
        <f>J3-O3</f>
        <v>8539315.068493152</v>
      </c>
      <c r="Q3" s="7">
        <f>H3-M3</f>
        <v>5250000</v>
      </c>
      <c r="R3" s="7">
        <f>P3-Q3</f>
        <v>3289315.068493152</v>
      </c>
      <c r="S3" s="7">
        <f>G3-L3</f>
        <v>624750000</v>
      </c>
    </row>
    <row r="4" spans="1:19" x14ac:dyDescent="0.25">
      <c r="A4" s="49" t="s">
        <v>500</v>
      </c>
      <c r="B4" s="50">
        <v>630000000</v>
      </c>
      <c r="C4" s="39">
        <v>2</v>
      </c>
      <c r="D4" s="51">
        <v>45453</v>
      </c>
      <c r="E4" s="39">
        <v>31</v>
      </c>
      <c r="F4" s="52">
        <f>F3-H3</f>
        <v>892500000</v>
      </c>
      <c r="G4" s="53">
        <f>G3-H4</f>
        <v>885000000</v>
      </c>
      <c r="H4" s="52">
        <f t="shared" ref="H4:H18" si="0">$B$11</f>
        <v>7500000</v>
      </c>
      <c r="I4" s="52">
        <f>((F4*$B$5)/365)*E4</f>
        <v>4851287.6712328773</v>
      </c>
      <c r="J4" s="53">
        <f>H4+I4</f>
        <v>12351287.671232877</v>
      </c>
      <c r="K4" s="54">
        <f>K3-M3</f>
        <v>267750000</v>
      </c>
      <c r="L4" s="54">
        <f>L3-M4</f>
        <v>265500000</v>
      </c>
      <c r="M4" s="55">
        <f t="shared" ref="M4:M18" si="1">$B$3/$B$8</f>
        <v>2250000</v>
      </c>
      <c r="N4" s="55">
        <f>((K4*$B$6)/365)*E4</f>
        <v>1364424.6575342466</v>
      </c>
      <c r="O4" s="54">
        <f t="shared" ref="O4:O18" si="2">M4+N4</f>
        <v>3614424.6575342463</v>
      </c>
      <c r="P4" s="56">
        <f t="shared" ref="P4:P18" si="3">J4-O4</f>
        <v>8736863.01369863</v>
      </c>
      <c r="Q4" s="7">
        <f t="shared" ref="Q4:Q18" si="4">H4-M4</f>
        <v>5250000</v>
      </c>
      <c r="R4" s="7">
        <f t="shared" ref="R4:R18" si="5">P4-Q4</f>
        <v>3486863.01369863</v>
      </c>
      <c r="S4" s="7">
        <f t="shared" ref="S4:S18" si="6">G4-L4</f>
        <v>619500000</v>
      </c>
    </row>
    <row r="5" spans="1:19" x14ac:dyDescent="0.25">
      <c r="A5" s="49" t="s">
        <v>501</v>
      </c>
      <c r="B5" s="57">
        <v>6.4000000000000001E-2</v>
      </c>
      <c r="C5" s="39">
        <v>3</v>
      </c>
      <c r="D5" s="51">
        <v>45483</v>
      </c>
      <c r="E5" s="39">
        <v>30</v>
      </c>
      <c r="F5" s="52">
        <f>F4-H4</f>
        <v>885000000</v>
      </c>
      <c r="G5" s="53">
        <f t="shared" ref="G5:G18" si="7">G4-H5</f>
        <v>877500000</v>
      </c>
      <c r="H5" s="52">
        <f t="shared" si="0"/>
        <v>7500000</v>
      </c>
      <c r="I5" s="52">
        <f t="shared" ref="I5:I12" si="8">((F5*$B$5)/365)*E5</f>
        <v>4655342.4657534249</v>
      </c>
      <c r="J5" s="53">
        <f t="shared" ref="J5:J18" si="9">H5+I5</f>
        <v>12155342.465753425</v>
      </c>
      <c r="K5" s="54">
        <f>K4-M4</f>
        <v>265500000</v>
      </c>
      <c r="L5" s="54">
        <f t="shared" ref="L5" si="10">K5-M5</f>
        <v>263250000</v>
      </c>
      <c r="M5" s="55">
        <f t="shared" si="1"/>
        <v>2250000</v>
      </c>
      <c r="N5" s="55">
        <f t="shared" ref="N5:N18" si="11">((K5*$B$6)/365)*E5</f>
        <v>1309315.0684931506</v>
      </c>
      <c r="O5" s="54">
        <f t="shared" si="2"/>
        <v>3559315.0684931506</v>
      </c>
      <c r="P5" s="56">
        <f t="shared" si="3"/>
        <v>8596027.3972602747</v>
      </c>
      <c r="Q5" s="7">
        <f t="shared" si="4"/>
        <v>5250000</v>
      </c>
      <c r="R5" s="7">
        <f t="shared" si="5"/>
        <v>3346027.3972602747</v>
      </c>
      <c r="S5" s="7">
        <f t="shared" si="6"/>
        <v>614250000</v>
      </c>
    </row>
    <row r="6" spans="1:19" x14ac:dyDescent="0.25">
      <c r="A6" s="49" t="s">
        <v>502</v>
      </c>
      <c r="B6" s="57">
        <v>0.06</v>
      </c>
      <c r="C6" s="39">
        <v>4</v>
      </c>
      <c r="D6" s="51">
        <v>45516</v>
      </c>
      <c r="E6" s="39">
        <v>33</v>
      </c>
      <c r="F6" s="52">
        <f t="shared" ref="F6:F18" si="12">F5-H5</f>
        <v>877500000</v>
      </c>
      <c r="G6" s="53">
        <f t="shared" si="7"/>
        <v>870000000</v>
      </c>
      <c r="H6" s="52">
        <f t="shared" si="0"/>
        <v>7500000</v>
      </c>
      <c r="I6" s="52">
        <f t="shared" si="8"/>
        <v>5077479.4520547949</v>
      </c>
      <c r="J6" s="53">
        <f t="shared" si="9"/>
        <v>12577479.452054795</v>
      </c>
      <c r="K6" s="54">
        <f t="shared" ref="K6:K18" si="13">K5-M5</f>
        <v>263250000</v>
      </c>
      <c r="L6" s="54">
        <f t="shared" ref="L6" si="14">L5-M6</f>
        <v>261000000</v>
      </c>
      <c r="M6" s="55">
        <f t="shared" si="1"/>
        <v>2250000</v>
      </c>
      <c r="N6" s="55">
        <f t="shared" si="11"/>
        <v>1428041.0958904109</v>
      </c>
      <c r="O6" s="54">
        <f t="shared" si="2"/>
        <v>3678041.0958904112</v>
      </c>
      <c r="P6" s="56">
        <f t="shared" si="3"/>
        <v>8899438.3561643846</v>
      </c>
      <c r="Q6" s="7">
        <f t="shared" si="4"/>
        <v>5250000</v>
      </c>
      <c r="R6" s="7">
        <f t="shared" si="5"/>
        <v>3649438.3561643846</v>
      </c>
      <c r="S6" s="7">
        <f t="shared" si="6"/>
        <v>609000000</v>
      </c>
    </row>
    <row r="7" spans="1:19" x14ac:dyDescent="0.25">
      <c r="A7" s="49" t="s">
        <v>503</v>
      </c>
      <c r="B7" s="57"/>
      <c r="C7" s="39">
        <v>5</v>
      </c>
      <c r="D7" s="51">
        <v>45545</v>
      </c>
      <c r="E7" s="39">
        <v>29</v>
      </c>
      <c r="F7" s="52">
        <f t="shared" si="12"/>
        <v>870000000</v>
      </c>
      <c r="G7" s="53">
        <f t="shared" si="7"/>
        <v>862500000</v>
      </c>
      <c r="H7" s="52">
        <f t="shared" si="0"/>
        <v>7500000</v>
      </c>
      <c r="I7" s="52">
        <f t="shared" si="8"/>
        <v>4423890.4109589038</v>
      </c>
      <c r="J7" s="53">
        <f>H7+I7</f>
        <v>11923890.410958905</v>
      </c>
      <c r="K7" s="54">
        <f t="shared" si="13"/>
        <v>261000000</v>
      </c>
      <c r="L7" s="54">
        <f t="shared" ref="L7" si="15">K7-M7</f>
        <v>258750000</v>
      </c>
      <c r="M7" s="55">
        <f t="shared" si="1"/>
        <v>2250000</v>
      </c>
      <c r="N7" s="55">
        <f t="shared" si="11"/>
        <v>1244219.1780821919</v>
      </c>
      <c r="O7" s="54">
        <f t="shared" si="2"/>
        <v>3494219.1780821919</v>
      </c>
      <c r="P7" s="56">
        <f t="shared" si="3"/>
        <v>8429671.2328767125</v>
      </c>
      <c r="Q7" s="7">
        <f t="shared" si="4"/>
        <v>5250000</v>
      </c>
      <c r="R7" s="7">
        <f t="shared" si="5"/>
        <v>3179671.2328767125</v>
      </c>
      <c r="S7" s="7">
        <f t="shared" si="6"/>
        <v>603750000</v>
      </c>
    </row>
    <row r="8" spans="1:19" x14ac:dyDescent="0.25">
      <c r="A8" s="49" t="s">
        <v>504</v>
      </c>
      <c r="B8" s="58">
        <v>120</v>
      </c>
      <c r="C8" s="39">
        <v>6</v>
      </c>
      <c r="D8" s="51">
        <v>45575</v>
      </c>
      <c r="E8" s="39">
        <v>30</v>
      </c>
      <c r="F8" s="52">
        <f>F7-H7</f>
        <v>862500000</v>
      </c>
      <c r="G8" s="53">
        <f t="shared" si="7"/>
        <v>855000000</v>
      </c>
      <c r="H8" s="52">
        <f t="shared" si="0"/>
        <v>7500000</v>
      </c>
      <c r="I8" s="52">
        <f t="shared" si="8"/>
        <v>4536986.3013698626</v>
      </c>
      <c r="J8" s="53">
        <f t="shared" si="9"/>
        <v>12036986.301369863</v>
      </c>
      <c r="K8" s="54">
        <f t="shared" si="13"/>
        <v>258750000</v>
      </c>
      <c r="L8" s="54">
        <f t="shared" ref="L8" si="16">L7-M8</f>
        <v>256500000</v>
      </c>
      <c r="M8" s="55">
        <f t="shared" si="1"/>
        <v>2250000</v>
      </c>
      <c r="N8" s="55">
        <f t="shared" si="11"/>
        <v>1276027.3972602738</v>
      </c>
      <c r="O8" s="54">
        <f t="shared" si="2"/>
        <v>3526027.3972602738</v>
      </c>
      <c r="P8" s="56">
        <f t="shared" si="3"/>
        <v>8510958.9041095898</v>
      </c>
      <c r="Q8" s="7">
        <f t="shared" si="4"/>
        <v>5250000</v>
      </c>
      <c r="R8" s="7">
        <f t="shared" si="5"/>
        <v>3260958.9041095898</v>
      </c>
      <c r="S8" s="7">
        <f t="shared" si="6"/>
        <v>598500000</v>
      </c>
    </row>
    <row r="9" spans="1:19" x14ac:dyDescent="0.25">
      <c r="A9" s="49" t="s">
        <v>505</v>
      </c>
      <c r="B9" s="58">
        <v>24</v>
      </c>
      <c r="C9" s="39">
        <v>7</v>
      </c>
      <c r="D9" s="51">
        <v>45607</v>
      </c>
      <c r="E9" s="39">
        <v>32</v>
      </c>
      <c r="F9" s="52">
        <f t="shared" si="12"/>
        <v>855000000</v>
      </c>
      <c r="G9" s="53">
        <f t="shared" si="7"/>
        <v>847500000</v>
      </c>
      <c r="H9" s="52">
        <f t="shared" si="0"/>
        <v>7500000</v>
      </c>
      <c r="I9" s="52">
        <f t="shared" si="8"/>
        <v>4797369.8630136987</v>
      </c>
      <c r="J9" s="53">
        <f t="shared" si="9"/>
        <v>12297369.8630137</v>
      </c>
      <c r="K9" s="54">
        <f t="shared" si="13"/>
        <v>256500000</v>
      </c>
      <c r="L9" s="54">
        <f t="shared" ref="L9" si="17">K9-M9</f>
        <v>254250000</v>
      </c>
      <c r="M9" s="55">
        <f t="shared" si="1"/>
        <v>2250000</v>
      </c>
      <c r="N9" s="55">
        <f t="shared" si="11"/>
        <v>1349260.2739726028</v>
      </c>
      <c r="O9" s="54">
        <f t="shared" si="2"/>
        <v>3599260.2739726026</v>
      </c>
      <c r="P9" s="56">
        <f t="shared" si="3"/>
        <v>8698109.5890410971</v>
      </c>
      <c r="Q9" s="7">
        <f t="shared" si="4"/>
        <v>5250000</v>
      </c>
      <c r="R9" s="7">
        <f t="shared" si="5"/>
        <v>3448109.5890410971</v>
      </c>
      <c r="S9" s="7">
        <f t="shared" si="6"/>
        <v>593250000</v>
      </c>
    </row>
    <row r="10" spans="1:19" x14ac:dyDescent="0.25">
      <c r="A10" s="59" t="s">
        <v>506</v>
      </c>
      <c r="B10" s="15">
        <v>45393</v>
      </c>
      <c r="C10" s="39">
        <v>8</v>
      </c>
      <c r="D10" s="51">
        <v>45636</v>
      </c>
      <c r="E10" s="39">
        <v>29</v>
      </c>
      <c r="F10" s="52">
        <f>F9-H9</f>
        <v>847500000</v>
      </c>
      <c r="G10" s="53">
        <f t="shared" si="7"/>
        <v>840000000</v>
      </c>
      <c r="H10" s="52">
        <f t="shared" si="0"/>
        <v>7500000</v>
      </c>
      <c r="I10" s="52">
        <f t="shared" si="8"/>
        <v>4309479.4520547939</v>
      </c>
      <c r="J10" s="53">
        <f t="shared" si="9"/>
        <v>11809479.452054795</v>
      </c>
      <c r="K10" s="54">
        <f t="shared" si="13"/>
        <v>254250000</v>
      </c>
      <c r="L10" s="54">
        <f t="shared" ref="L10" si="18">L9-M10</f>
        <v>252000000</v>
      </c>
      <c r="M10" s="55">
        <f t="shared" si="1"/>
        <v>2250000</v>
      </c>
      <c r="N10" s="55">
        <f t="shared" si="11"/>
        <v>1212041.0958904109</v>
      </c>
      <c r="O10" s="54">
        <f t="shared" si="2"/>
        <v>3462041.0958904112</v>
      </c>
      <c r="P10" s="56">
        <f t="shared" si="3"/>
        <v>8347438.3561643837</v>
      </c>
      <c r="Q10" s="7">
        <f t="shared" si="4"/>
        <v>5250000</v>
      </c>
      <c r="R10" s="7">
        <f t="shared" si="5"/>
        <v>3097438.3561643837</v>
      </c>
      <c r="S10" s="7">
        <f t="shared" si="6"/>
        <v>588000000</v>
      </c>
    </row>
    <row r="11" spans="1:19" x14ac:dyDescent="0.25">
      <c r="A11" s="59" t="s">
        <v>1856</v>
      </c>
      <c r="B11" s="7">
        <f>B2/120</f>
        <v>7500000</v>
      </c>
      <c r="C11" s="39">
        <v>9</v>
      </c>
      <c r="D11" s="51">
        <v>45667</v>
      </c>
      <c r="E11" s="39">
        <v>31</v>
      </c>
      <c r="F11" s="52">
        <f t="shared" si="12"/>
        <v>840000000</v>
      </c>
      <c r="G11" s="53">
        <f t="shared" si="7"/>
        <v>832500000</v>
      </c>
      <c r="H11" s="52">
        <f t="shared" si="0"/>
        <v>7500000</v>
      </c>
      <c r="I11" s="52">
        <f t="shared" si="8"/>
        <v>4565917.8082191786</v>
      </c>
      <c r="J11" s="53">
        <f t="shared" si="9"/>
        <v>12065917.80821918</v>
      </c>
      <c r="K11" s="54">
        <f t="shared" si="13"/>
        <v>252000000</v>
      </c>
      <c r="L11" s="54">
        <f t="shared" ref="L11" si="19">K11-M11</f>
        <v>249750000</v>
      </c>
      <c r="M11" s="55">
        <f t="shared" si="1"/>
        <v>2250000</v>
      </c>
      <c r="N11" s="55">
        <f t="shared" si="11"/>
        <v>1284164.3835616438</v>
      </c>
      <c r="O11" s="54">
        <f t="shared" si="2"/>
        <v>3534164.3835616438</v>
      </c>
      <c r="P11" s="56">
        <f t="shared" si="3"/>
        <v>8531753.4246575348</v>
      </c>
      <c r="Q11" s="7">
        <f t="shared" si="4"/>
        <v>5250000</v>
      </c>
      <c r="R11" s="7">
        <f t="shared" si="5"/>
        <v>3281753.4246575348</v>
      </c>
      <c r="S11" s="7">
        <f t="shared" si="6"/>
        <v>582750000</v>
      </c>
    </row>
    <row r="12" spans="1:19" x14ac:dyDescent="0.25">
      <c r="B12" s="7">
        <f>B3/120</f>
        <v>2250000</v>
      </c>
      <c r="C12" s="39">
        <v>10</v>
      </c>
      <c r="D12" s="51">
        <v>45698</v>
      </c>
      <c r="E12" s="39">
        <v>31</v>
      </c>
      <c r="F12" s="52">
        <f t="shared" si="12"/>
        <v>832500000</v>
      </c>
      <c r="G12" s="53">
        <f t="shared" si="7"/>
        <v>825000000</v>
      </c>
      <c r="H12" s="52">
        <f t="shared" si="0"/>
        <v>7500000</v>
      </c>
      <c r="I12" s="52">
        <f t="shared" si="8"/>
        <v>4525150.6849315064</v>
      </c>
      <c r="J12" s="53">
        <f t="shared" si="9"/>
        <v>12025150.684931505</v>
      </c>
      <c r="K12" s="54">
        <f t="shared" si="13"/>
        <v>249750000</v>
      </c>
      <c r="L12" s="54">
        <f t="shared" ref="L12" si="20">L11-M12</f>
        <v>247500000</v>
      </c>
      <c r="M12" s="55">
        <f t="shared" si="1"/>
        <v>2250000</v>
      </c>
      <c r="N12" s="55">
        <f t="shared" si="11"/>
        <v>1272698.6301369865</v>
      </c>
      <c r="O12" s="54">
        <f t="shared" si="2"/>
        <v>3522698.6301369863</v>
      </c>
      <c r="P12" s="56">
        <f t="shared" si="3"/>
        <v>8502452.0547945201</v>
      </c>
      <c r="Q12" s="7">
        <f t="shared" si="4"/>
        <v>5250000</v>
      </c>
      <c r="R12" s="7">
        <f t="shared" si="5"/>
        <v>3252452.0547945201</v>
      </c>
      <c r="S12" s="7">
        <f t="shared" si="6"/>
        <v>577500000</v>
      </c>
    </row>
    <row r="13" spans="1:19" x14ac:dyDescent="0.25">
      <c r="C13" s="39">
        <v>11</v>
      </c>
      <c r="D13" s="51">
        <v>45726</v>
      </c>
      <c r="E13" s="39">
        <v>28</v>
      </c>
      <c r="F13" s="52">
        <f t="shared" si="12"/>
        <v>825000000</v>
      </c>
      <c r="G13" s="53">
        <f t="shared" si="7"/>
        <v>817500000</v>
      </c>
      <c r="H13" s="52">
        <f t="shared" si="0"/>
        <v>7500000</v>
      </c>
      <c r="I13" s="52">
        <f>((F13*$B$5)/365)*E13</f>
        <v>4050410.9589041099</v>
      </c>
      <c r="J13" s="53">
        <f t="shared" si="9"/>
        <v>11550410.95890411</v>
      </c>
      <c r="K13" s="54">
        <f t="shared" si="13"/>
        <v>247500000</v>
      </c>
      <c r="L13" s="54">
        <f t="shared" ref="L13" si="21">K13-M13</f>
        <v>245250000</v>
      </c>
      <c r="M13" s="55">
        <f>$B$3/$B$8</f>
        <v>2250000</v>
      </c>
      <c r="N13" s="55">
        <f t="shared" si="11"/>
        <v>1139178.0821917809</v>
      </c>
      <c r="O13" s="54">
        <f t="shared" si="2"/>
        <v>3389178.0821917811</v>
      </c>
      <c r="P13" s="56">
        <f t="shared" si="3"/>
        <v>8161232.8767123288</v>
      </c>
      <c r="Q13" s="7">
        <f t="shared" si="4"/>
        <v>5250000</v>
      </c>
      <c r="R13" s="7">
        <f t="shared" si="5"/>
        <v>2911232.8767123288</v>
      </c>
      <c r="S13" s="7">
        <f t="shared" si="6"/>
        <v>572250000</v>
      </c>
    </row>
    <row r="14" spans="1:19" s="93" customFormat="1" x14ac:dyDescent="0.25">
      <c r="B14" s="93" t="s">
        <v>507</v>
      </c>
      <c r="C14" s="60">
        <v>12</v>
      </c>
      <c r="D14" s="61">
        <v>45757</v>
      </c>
      <c r="E14" s="60">
        <v>31</v>
      </c>
      <c r="F14" s="62">
        <f t="shared" si="12"/>
        <v>817500000</v>
      </c>
      <c r="G14" s="63">
        <f t="shared" si="7"/>
        <v>810000000</v>
      </c>
      <c r="H14" s="52">
        <f t="shared" si="0"/>
        <v>7500000</v>
      </c>
      <c r="I14" s="52">
        <f t="shared" ref="I14:I18" si="22">((F14*$B$5)/365)*E14</f>
        <v>4443616.4383561639</v>
      </c>
      <c r="J14" s="63">
        <f t="shared" si="9"/>
        <v>11943616.438356165</v>
      </c>
      <c r="K14" s="63">
        <f t="shared" si="13"/>
        <v>245250000</v>
      </c>
      <c r="L14" s="63">
        <f t="shared" ref="L14" si="23">L13-M14</f>
        <v>243000000</v>
      </c>
      <c r="M14" s="62">
        <f t="shared" si="1"/>
        <v>2250000</v>
      </c>
      <c r="N14" s="55">
        <f t="shared" si="11"/>
        <v>1249767.1232876712</v>
      </c>
      <c r="O14" s="63">
        <f t="shared" si="2"/>
        <v>3499767.1232876712</v>
      </c>
      <c r="P14" s="63">
        <f>J14-O14</f>
        <v>8443849.3150684945</v>
      </c>
      <c r="Q14" s="94">
        <f t="shared" si="4"/>
        <v>5250000</v>
      </c>
      <c r="R14" s="94">
        <f t="shared" si="5"/>
        <v>3193849.3150684945</v>
      </c>
      <c r="S14" s="94">
        <f t="shared" si="6"/>
        <v>567000000</v>
      </c>
    </row>
    <row r="15" spans="1:19" x14ac:dyDescent="0.25">
      <c r="C15" s="39">
        <v>13</v>
      </c>
      <c r="D15" s="51">
        <v>45787</v>
      </c>
      <c r="E15" s="39">
        <v>30</v>
      </c>
      <c r="F15" s="52">
        <f t="shared" si="12"/>
        <v>810000000</v>
      </c>
      <c r="G15" s="53">
        <f t="shared" si="7"/>
        <v>802500000</v>
      </c>
      <c r="H15" s="52">
        <f t="shared" si="0"/>
        <v>7500000</v>
      </c>
      <c r="I15" s="52">
        <f t="shared" si="22"/>
        <v>4260821.9178082198</v>
      </c>
      <c r="J15" s="53">
        <f t="shared" si="9"/>
        <v>11760821.91780822</v>
      </c>
      <c r="K15" s="54">
        <f t="shared" si="13"/>
        <v>243000000</v>
      </c>
      <c r="L15" s="54">
        <f t="shared" ref="L15" si="24">K15-M15</f>
        <v>240750000</v>
      </c>
      <c r="M15" s="55">
        <f t="shared" si="1"/>
        <v>2250000</v>
      </c>
      <c r="N15" s="55">
        <f t="shared" si="11"/>
        <v>1198356.1643835616</v>
      </c>
      <c r="O15" s="54">
        <f t="shared" si="2"/>
        <v>3448356.1643835614</v>
      </c>
      <c r="P15" s="56">
        <f t="shared" si="3"/>
        <v>8312465.7534246584</v>
      </c>
      <c r="Q15" s="7">
        <f t="shared" si="4"/>
        <v>5250000</v>
      </c>
      <c r="R15" s="7">
        <f t="shared" si="5"/>
        <v>3062465.7534246584</v>
      </c>
      <c r="S15" s="7">
        <f t="shared" si="6"/>
        <v>561750000</v>
      </c>
    </row>
    <row r="16" spans="1:19" x14ac:dyDescent="0.25">
      <c r="C16" s="39">
        <v>14</v>
      </c>
      <c r="D16" s="51">
        <v>45133</v>
      </c>
      <c r="E16" s="39">
        <v>30</v>
      </c>
      <c r="F16" s="52">
        <f t="shared" si="12"/>
        <v>802500000</v>
      </c>
      <c r="G16" s="53">
        <f t="shared" si="7"/>
        <v>795000000</v>
      </c>
      <c r="H16" s="52">
        <f t="shared" si="0"/>
        <v>7500000</v>
      </c>
      <c r="I16" s="52">
        <f t="shared" si="22"/>
        <v>4221369.8630136987</v>
      </c>
      <c r="J16" s="53">
        <f t="shared" si="9"/>
        <v>11721369.8630137</v>
      </c>
      <c r="K16" s="54">
        <f t="shared" si="13"/>
        <v>240750000</v>
      </c>
      <c r="L16" s="54">
        <f t="shared" ref="L16" si="25">L15-M16</f>
        <v>238500000</v>
      </c>
      <c r="M16" s="55">
        <f t="shared" si="1"/>
        <v>2250000</v>
      </c>
      <c r="N16" s="55">
        <f t="shared" si="11"/>
        <v>1187260.2739726028</v>
      </c>
      <c r="O16" s="54">
        <f t="shared" si="2"/>
        <v>3437260.2739726026</v>
      </c>
      <c r="P16" s="56">
        <f t="shared" si="3"/>
        <v>8284109.5890410971</v>
      </c>
      <c r="Q16" s="7">
        <f t="shared" si="4"/>
        <v>5250000</v>
      </c>
      <c r="R16" s="7">
        <f t="shared" si="5"/>
        <v>3034109.5890410971</v>
      </c>
      <c r="S16" s="7">
        <f t="shared" si="6"/>
        <v>556500000</v>
      </c>
    </row>
    <row r="17" spans="1:19" x14ac:dyDescent="0.25">
      <c r="C17" s="39">
        <v>15</v>
      </c>
      <c r="D17" s="51">
        <v>45166</v>
      </c>
      <c r="E17" s="39">
        <v>33</v>
      </c>
      <c r="F17" s="52">
        <f t="shared" si="12"/>
        <v>795000000</v>
      </c>
      <c r="G17" s="53">
        <f t="shared" si="7"/>
        <v>787500000</v>
      </c>
      <c r="H17" s="52">
        <f t="shared" si="0"/>
        <v>7500000</v>
      </c>
      <c r="I17" s="52">
        <f t="shared" si="22"/>
        <v>4600109.5890410962</v>
      </c>
      <c r="J17" s="53">
        <f t="shared" si="9"/>
        <v>12100109.589041095</v>
      </c>
      <c r="K17" s="54">
        <f t="shared" si="13"/>
        <v>238500000</v>
      </c>
      <c r="L17" s="54">
        <f t="shared" ref="L17" si="26">K17-M17</f>
        <v>236250000</v>
      </c>
      <c r="M17" s="55">
        <f t="shared" si="1"/>
        <v>2250000</v>
      </c>
      <c r="N17" s="55">
        <f t="shared" si="11"/>
        <v>1293780.8219178081</v>
      </c>
      <c r="O17" s="54">
        <f t="shared" si="2"/>
        <v>3543780.8219178081</v>
      </c>
      <c r="P17" s="56">
        <f t="shared" si="3"/>
        <v>8556328.7671232875</v>
      </c>
      <c r="Q17" s="7">
        <f t="shared" si="4"/>
        <v>5250000</v>
      </c>
      <c r="R17" s="7">
        <f t="shared" si="5"/>
        <v>3306328.7671232875</v>
      </c>
      <c r="S17" s="7">
        <f t="shared" si="6"/>
        <v>551250000</v>
      </c>
    </row>
    <row r="18" spans="1:19" x14ac:dyDescent="0.25">
      <c r="C18" s="39">
        <v>16</v>
      </c>
      <c r="D18" s="51">
        <v>45195</v>
      </c>
      <c r="E18" s="39">
        <v>29</v>
      </c>
      <c r="F18" s="52">
        <f t="shared" si="12"/>
        <v>787500000</v>
      </c>
      <c r="G18" s="53">
        <f t="shared" si="7"/>
        <v>780000000</v>
      </c>
      <c r="H18" s="52">
        <f t="shared" si="0"/>
        <v>7500000</v>
      </c>
      <c r="I18" s="52">
        <f t="shared" si="22"/>
        <v>4004383.5616438356</v>
      </c>
      <c r="J18" s="53">
        <f t="shared" si="9"/>
        <v>11504383.561643835</v>
      </c>
      <c r="K18" s="54">
        <f t="shared" si="13"/>
        <v>236250000</v>
      </c>
      <c r="L18" s="54">
        <f t="shared" ref="L18" si="27">L17-M18</f>
        <v>234000000</v>
      </c>
      <c r="M18" s="55">
        <f t="shared" si="1"/>
        <v>2250000</v>
      </c>
      <c r="N18" s="55">
        <f t="shared" si="11"/>
        <v>1126232.8767123288</v>
      </c>
      <c r="O18" s="54">
        <f t="shared" si="2"/>
        <v>3376232.8767123288</v>
      </c>
      <c r="P18" s="56">
        <f t="shared" si="3"/>
        <v>8128150.6849315064</v>
      </c>
      <c r="Q18" s="7">
        <f t="shared" si="4"/>
        <v>5250000</v>
      </c>
      <c r="R18" s="7">
        <f t="shared" si="5"/>
        <v>2878150.6849315064</v>
      </c>
      <c r="S18" s="7">
        <f t="shared" si="6"/>
        <v>546000000</v>
      </c>
    </row>
    <row r="19" spans="1:19" x14ac:dyDescent="0.25">
      <c r="C19"/>
      <c r="E19"/>
      <c r="F19"/>
      <c r="H19"/>
      <c r="I19"/>
      <c r="M19"/>
      <c r="N19" s="91"/>
    </row>
    <row r="20" spans="1:19" x14ac:dyDescent="0.25">
      <c r="C20"/>
      <c r="E20"/>
      <c r="F20"/>
      <c r="H20"/>
      <c r="I20"/>
      <c r="M20"/>
      <c r="N20" s="91"/>
    </row>
    <row r="21" spans="1:19" x14ac:dyDescent="0.25">
      <c r="A21" s="65" t="s">
        <v>573</v>
      </c>
      <c r="C21"/>
      <c r="E21"/>
      <c r="F21" s="49"/>
      <c r="G21" s="49"/>
      <c r="H21" s="49"/>
      <c r="I21" s="49"/>
      <c r="J21" s="49"/>
      <c r="K21" s="49"/>
      <c r="M21"/>
      <c r="N21" s="91"/>
    </row>
    <row r="22" spans="1:19" x14ac:dyDescent="0.25">
      <c r="C22"/>
      <c r="E22"/>
      <c r="F22" s="49" t="s">
        <v>1430</v>
      </c>
      <c r="G22" s="74">
        <f>1000000000-552040000</f>
        <v>447960000</v>
      </c>
      <c r="H22" s="49"/>
      <c r="I22" s="49"/>
      <c r="J22" s="101" t="s">
        <v>1553</v>
      </c>
      <c r="K22" s="74">
        <v>100000000</v>
      </c>
      <c r="M22"/>
      <c r="N22" s="91"/>
    </row>
    <row r="23" spans="1:19" x14ac:dyDescent="0.25">
      <c r="C23"/>
      <c r="E23"/>
      <c r="F23" s="102" t="s">
        <v>1431</v>
      </c>
      <c r="G23" s="74">
        <v>342040000</v>
      </c>
      <c r="H23" s="49"/>
      <c r="I23" s="49"/>
      <c r="J23" s="100" t="s">
        <v>1433</v>
      </c>
      <c r="K23" s="74">
        <v>70000000</v>
      </c>
      <c r="M23"/>
    </row>
    <row r="24" spans="1:19" x14ac:dyDescent="0.25">
      <c r="C24"/>
      <c r="E24"/>
      <c r="F24" s="49" t="s">
        <v>498</v>
      </c>
      <c r="G24" s="74">
        <v>126925000</v>
      </c>
      <c r="H24" s="49"/>
      <c r="I24" s="49"/>
      <c r="J24" s="49" t="s">
        <v>1434</v>
      </c>
      <c r="K24" s="74">
        <v>52000000</v>
      </c>
      <c r="M24"/>
      <c r="P24" s="95"/>
    </row>
    <row r="25" spans="1:19" ht="21" customHeight="1" x14ac:dyDescent="0.25">
      <c r="A25" s="110" t="s">
        <v>754</v>
      </c>
      <c r="B25" s="110"/>
      <c r="C25" s="110"/>
      <c r="D25" s="110"/>
      <c r="E25" s="110"/>
      <c r="F25" s="49" t="s">
        <v>1432</v>
      </c>
      <c r="G25" s="74">
        <f>G23-G24</f>
        <v>215115000</v>
      </c>
      <c r="H25" s="49"/>
      <c r="I25" s="49"/>
      <c r="J25" s="49" t="s">
        <v>1435</v>
      </c>
      <c r="K25" s="74">
        <v>100000000</v>
      </c>
      <c r="M25"/>
      <c r="N25" s="91"/>
      <c r="P25" s="19"/>
    </row>
    <row r="26" spans="1:19" ht="21" customHeight="1" x14ac:dyDescent="0.25">
      <c r="A26" s="75" t="s">
        <v>747</v>
      </c>
      <c r="B26" s="75" t="s">
        <v>748</v>
      </c>
      <c r="C26" s="75" t="s">
        <v>749</v>
      </c>
      <c r="D26" s="75" t="s">
        <v>750</v>
      </c>
      <c r="E26" s="75" t="s">
        <v>751</v>
      </c>
      <c r="F26"/>
      <c r="G26" s="7"/>
      <c r="H26" s="7"/>
      <c r="I26"/>
      <c r="K26" s="3"/>
      <c r="M26"/>
      <c r="N26" s="91"/>
      <c r="O26" s="3"/>
      <c r="P26" s="19"/>
    </row>
    <row r="27" spans="1:19" ht="21" customHeight="1" x14ac:dyDescent="0.25">
      <c r="A27" s="76" t="s">
        <v>752</v>
      </c>
      <c r="B27" s="76">
        <v>1</v>
      </c>
      <c r="C27" s="73">
        <v>6700000</v>
      </c>
      <c r="D27" s="73">
        <v>7940000</v>
      </c>
      <c r="E27" s="73">
        <f>D27-C27</f>
        <v>1240000</v>
      </c>
      <c r="F27" s="6" t="s">
        <v>1790</v>
      </c>
      <c r="H27" s="6">
        <v>20000000</v>
      </c>
      <c r="K27" s="3"/>
    </row>
    <row r="28" spans="1:19" ht="21" customHeight="1" x14ac:dyDescent="0.25">
      <c r="A28" s="76" t="s">
        <v>753</v>
      </c>
      <c r="B28" s="76">
        <v>1</v>
      </c>
      <c r="C28" s="73"/>
      <c r="D28" s="74">
        <v>6770000</v>
      </c>
      <c r="E28" s="73">
        <v>6770000</v>
      </c>
      <c r="F28" s="6" t="s">
        <v>1791</v>
      </c>
      <c r="H28" s="6">
        <v>8750000</v>
      </c>
    </row>
    <row r="29" spans="1:19" x14ac:dyDescent="0.25">
      <c r="A29" s="76" t="s">
        <v>755</v>
      </c>
      <c r="B29" s="76">
        <f>SUM(B27:B28)</f>
        <v>2</v>
      </c>
      <c r="C29" s="77">
        <f>SUM(C27:C28)</f>
        <v>6700000</v>
      </c>
      <c r="D29" s="77">
        <f>SUM(D27:D28)</f>
        <v>14710000</v>
      </c>
      <c r="E29" s="39"/>
      <c r="F29" s="6" t="s">
        <v>1792</v>
      </c>
      <c r="H29" s="6">
        <v>14710000</v>
      </c>
    </row>
    <row r="30" spans="1:19" x14ac:dyDescent="0.25">
      <c r="D30" s="15"/>
      <c r="F30" s="3" t="s">
        <v>2052</v>
      </c>
      <c r="H30" s="3">
        <v>-10000000</v>
      </c>
    </row>
    <row r="31" spans="1:19" x14ac:dyDescent="0.25">
      <c r="A31" s="96"/>
      <c r="D31" s="15"/>
      <c r="F31" s="3" t="s">
        <v>2093</v>
      </c>
      <c r="H31" s="3">
        <v>-13400000</v>
      </c>
    </row>
    <row r="32" spans="1:19" x14ac:dyDescent="0.25">
      <c r="A32" s="96"/>
      <c r="D32" s="15"/>
    </row>
    <row r="33" spans="1:4" x14ac:dyDescent="0.25">
      <c r="D33" s="15"/>
    </row>
    <row r="34" spans="1:4" x14ac:dyDescent="0.25">
      <c r="D34" s="15"/>
    </row>
    <row r="35" spans="1:4" x14ac:dyDescent="0.25">
      <c r="D35" s="15"/>
    </row>
    <row r="36" spans="1:4" x14ac:dyDescent="0.25">
      <c r="A36" t="s">
        <v>1128</v>
      </c>
      <c r="D36" s="15"/>
    </row>
    <row r="37" spans="1:4" x14ac:dyDescent="0.25">
      <c r="D37" s="15"/>
    </row>
    <row r="38" spans="1:4" x14ac:dyDescent="0.25">
      <c r="D38" s="15"/>
    </row>
    <row r="39" spans="1:4" x14ac:dyDescent="0.25">
      <c r="D39" s="15"/>
    </row>
    <row r="40" spans="1:4" x14ac:dyDescent="0.25">
      <c r="D40" s="15"/>
    </row>
    <row r="41" spans="1:4" x14ac:dyDescent="0.25">
      <c r="D41" s="15"/>
    </row>
    <row r="42" spans="1:4" x14ac:dyDescent="0.25">
      <c r="D42" s="15"/>
    </row>
    <row r="43" spans="1:4" x14ac:dyDescent="0.25">
      <c r="D43" s="15"/>
    </row>
    <row r="44" spans="1:4" x14ac:dyDescent="0.25">
      <c r="D44" s="15"/>
    </row>
    <row r="45" spans="1:4" x14ac:dyDescent="0.25">
      <c r="D45" s="15"/>
    </row>
    <row r="46" spans="1:4" x14ac:dyDescent="0.25">
      <c r="D46" s="15"/>
    </row>
    <row r="47" spans="1:4" x14ac:dyDescent="0.25">
      <c r="D47" s="15"/>
    </row>
    <row r="48" spans="1:4" x14ac:dyDescent="0.25">
      <c r="D48" s="15"/>
    </row>
    <row r="49" spans="4:4" x14ac:dyDescent="0.25">
      <c r="D49" s="15"/>
    </row>
    <row r="50" spans="4:4" x14ac:dyDescent="0.25">
      <c r="D50" s="15"/>
    </row>
    <row r="51" spans="4:4" x14ac:dyDescent="0.25">
      <c r="D51" s="15"/>
    </row>
    <row r="52" spans="4:4" x14ac:dyDescent="0.25">
      <c r="D52" s="15"/>
    </row>
    <row r="53" spans="4:4" x14ac:dyDescent="0.25">
      <c r="D53" s="15"/>
    </row>
    <row r="54" spans="4:4" x14ac:dyDescent="0.25">
      <c r="D54" s="15"/>
    </row>
    <row r="55" spans="4:4" x14ac:dyDescent="0.25">
      <c r="D55" s="15"/>
    </row>
    <row r="56" spans="4:4" x14ac:dyDescent="0.25">
      <c r="D56" s="15"/>
    </row>
    <row r="57" spans="4:4" x14ac:dyDescent="0.25">
      <c r="D57" s="15"/>
    </row>
    <row r="58" spans="4:4" x14ac:dyDescent="0.25">
      <c r="D58" s="15"/>
    </row>
    <row r="59" spans="4:4" x14ac:dyDescent="0.25">
      <c r="D59" s="15"/>
    </row>
    <row r="60" spans="4:4" x14ac:dyDescent="0.25">
      <c r="D60" s="15"/>
    </row>
    <row r="61" spans="4:4" x14ac:dyDescent="0.25">
      <c r="D61" s="15"/>
    </row>
    <row r="62" spans="4:4" x14ac:dyDescent="0.25">
      <c r="D62" s="15"/>
    </row>
    <row r="63" spans="4:4" x14ac:dyDescent="0.25">
      <c r="D63" s="15"/>
    </row>
    <row r="64" spans="4:4" x14ac:dyDescent="0.25">
      <c r="D64" s="15"/>
    </row>
    <row r="65" spans="4:4" x14ac:dyDescent="0.25">
      <c r="D65" s="15"/>
    </row>
    <row r="66" spans="4:4" x14ac:dyDescent="0.25">
      <c r="D66" s="15"/>
    </row>
    <row r="67" spans="4:4" x14ac:dyDescent="0.25">
      <c r="D67" s="15"/>
    </row>
    <row r="68" spans="4:4" x14ac:dyDescent="0.25">
      <c r="D68" s="15"/>
    </row>
    <row r="69" spans="4:4" x14ac:dyDescent="0.25">
      <c r="D69" s="15"/>
    </row>
    <row r="70" spans="4:4" x14ac:dyDescent="0.25">
      <c r="D70" s="15"/>
    </row>
    <row r="71" spans="4:4" x14ac:dyDescent="0.25">
      <c r="D71" s="15"/>
    </row>
    <row r="72" spans="4:4" x14ac:dyDescent="0.25">
      <c r="D72" s="15"/>
    </row>
    <row r="73" spans="4:4" x14ac:dyDescent="0.25">
      <c r="D73" s="15"/>
    </row>
    <row r="74" spans="4:4" x14ac:dyDescent="0.25">
      <c r="D74" s="15"/>
    </row>
    <row r="75" spans="4:4" x14ac:dyDescent="0.25">
      <c r="D75" s="15"/>
    </row>
    <row r="76" spans="4:4" x14ac:dyDescent="0.25">
      <c r="D76" s="15"/>
    </row>
    <row r="77" spans="4:4" x14ac:dyDescent="0.25">
      <c r="D77" s="15"/>
    </row>
    <row r="78" spans="4:4" x14ac:dyDescent="0.25">
      <c r="D78" s="15"/>
    </row>
    <row r="79" spans="4:4" x14ac:dyDescent="0.25">
      <c r="D79" s="15"/>
    </row>
    <row r="80" spans="4:4" x14ac:dyDescent="0.25">
      <c r="D80" s="15"/>
    </row>
    <row r="81" spans="4:4" x14ac:dyDescent="0.25">
      <c r="D81" s="15"/>
    </row>
    <row r="82" spans="4:4" x14ac:dyDescent="0.25">
      <c r="D82" s="15"/>
    </row>
    <row r="83" spans="4:4" x14ac:dyDescent="0.25">
      <c r="D83" s="15"/>
    </row>
    <row r="84" spans="4:4" x14ac:dyDescent="0.25">
      <c r="D84" s="15"/>
    </row>
    <row r="85" spans="4:4" x14ac:dyDescent="0.25">
      <c r="D85" s="15"/>
    </row>
    <row r="86" spans="4:4" x14ac:dyDescent="0.25">
      <c r="D86" s="15"/>
    </row>
    <row r="87" spans="4:4" x14ac:dyDescent="0.25">
      <c r="D87" s="15"/>
    </row>
    <row r="88" spans="4:4" x14ac:dyDescent="0.25">
      <c r="D88" s="15"/>
    </row>
    <row r="89" spans="4:4" x14ac:dyDescent="0.25">
      <c r="D89" s="15"/>
    </row>
    <row r="90" spans="4:4" x14ac:dyDescent="0.25">
      <c r="D90" s="15"/>
    </row>
    <row r="91" spans="4:4" x14ac:dyDescent="0.25">
      <c r="D91" s="15"/>
    </row>
    <row r="92" spans="4:4" x14ac:dyDescent="0.25">
      <c r="D92" s="15"/>
    </row>
    <row r="93" spans="4:4" x14ac:dyDescent="0.25">
      <c r="D93" s="15"/>
    </row>
    <row r="94" spans="4:4" x14ac:dyDescent="0.25">
      <c r="D94" s="15"/>
    </row>
    <row r="95" spans="4:4" x14ac:dyDescent="0.25">
      <c r="D95" s="15"/>
    </row>
    <row r="96" spans="4:4" x14ac:dyDescent="0.25">
      <c r="D96" s="15"/>
    </row>
    <row r="97" spans="4:4" x14ac:dyDescent="0.25">
      <c r="D97" s="15"/>
    </row>
    <row r="98" spans="4:4" x14ac:dyDescent="0.25">
      <c r="D98" s="15"/>
    </row>
    <row r="99" spans="4:4" x14ac:dyDescent="0.25">
      <c r="D99" s="15"/>
    </row>
    <row r="100" spans="4:4" x14ac:dyDescent="0.25">
      <c r="D100" s="15"/>
    </row>
    <row r="101" spans="4:4" x14ac:dyDescent="0.25">
      <c r="D101" s="15"/>
    </row>
    <row r="102" spans="4:4" x14ac:dyDescent="0.25">
      <c r="D102" s="15"/>
    </row>
    <row r="103" spans="4:4" x14ac:dyDescent="0.25">
      <c r="D103" s="15"/>
    </row>
    <row r="104" spans="4:4" x14ac:dyDescent="0.25">
      <c r="D104" s="15"/>
    </row>
    <row r="105" spans="4:4" x14ac:dyDescent="0.25">
      <c r="D105" s="15"/>
    </row>
    <row r="106" spans="4:4" x14ac:dyDescent="0.25">
      <c r="D106" s="15"/>
    </row>
    <row r="107" spans="4:4" x14ac:dyDescent="0.25">
      <c r="D107" s="15"/>
    </row>
    <row r="108" spans="4:4" x14ac:dyDescent="0.25">
      <c r="D108" s="15"/>
    </row>
    <row r="109" spans="4:4" x14ac:dyDescent="0.25">
      <c r="D109" s="15"/>
    </row>
    <row r="110" spans="4:4" x14ac:dyDescent="0.25">
      <c r="D110" s="15"/>
    </row>
    <row r="111" spans="4:4" x14ac:dyDescent="0.25">
      <c r="D111" s="15"/>
    </row>
    <row r="112" spans="4:4" x14ac:dyDescent="0.25">
      <c r="D112" s="15"/>
    </row>
    <row r="113" spans="4:4" x14ac:dyDescent="0.25">
      <c r="D113" s="15"/>
    </row>
    <row r="114" spans="4:4" x14ac:dyDescent="0.25">
      <c r="D114" s="15"/>
    </row>
    <row r="115" spans="4:4" x14ac:dyDescent="0.25">
      <c r="D115" s="15"/>
    </row>
    <row r="116" spans="4:4" x14ac:dyDescent="0.25">
      <c r="D116" s="15"/>
    </row>
    <row r="117" spans="4:4" x14ac:dyDescent="0.25">
      <c r="D117" s="15"/>
    </row>
    <row r="118" spans="4:4" x14ac:dyDescent="0.25">
      <c r="D118" s="15"/>
    </row>
    <row r="119" spans="4:4" x14ac:dyDescent="0.25">
      <c r="D119" s="15"/>
    </row>
    <row r="120" spans="4:4" x14ac:dyDescent="0.25">
      <c r="D120" s="15"/>
    </row>
  </sheetData>
  <mergeCells count="3">
    <mergeCell ref="F1:J1"/>
    <mergeCell ref="K1:O1"/>
    <mergeCell ref="A25:E2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A2" workbookViewId="0">
      <selection activeCell="H28" sqref="H28"/>
    </sheetView>
  </sheetViews>
  <sheetFormatPr defaultRowHeight="15.75" x14ac:dyDescent="0.25"/>
  <cols>
    <col min="1" max="1" width="9.875" bestFit="1" customWidth="1"/>
    <col min="2" max="2" width="14.75" bestFit="1" customWidth="1"/>
    <col min="4" max="4" width="11.125" bestFit="1" customWidth="1"/>
    <col min="5" max="5" width="22.25" style="3" bestFit="1" customWidth="1"/>
    <col min="6" max="6" width="15" style="3" customWidth="1"/>
    <col min="7" max="7" width="12.625" bestFit="1" customWidth="1"/>
    <col min="8" max="8" width="12.875" customWidth="1"/>
    <col min="10" max="12" width="14.75" bestFit="1" customWidth="1"/>
  </cols>
  <sheetData>
    <row r="1" spans="2:11" x14ac:dyDescent="0.25">
      <c r="B1" t="s">
        <v>1398</v>
      </c>
      <c r="H1" t="s">
        <v>1399</v>
      </c>
    </row>
    <row r="2" spans="2:11" x14ac:dyDescent="0.25">
      <c r="B2" t="s">
        <v>1400</v>
      </c>
      <c r="C2">
        <v>8330000</v>
      </c>
      <c r="H2">
        <f>900040000-250000000</f>
        <v>650040000</v>
      </c>
    </row>
    <row r="3" spans="2:11" x14ac:dyDescent="0.25">
      <c r="B3" t="s">
        <v>1401</v>
      </c>
      <c r="C3">
        <v>8000000</v>
      </c>
      <c r="H3">
        <f>H2*10.7/100</f>
        <v>69554280</v>
      </c>
    </row>
    <row r="4" spans="2:11" x14ac:dyDescent="0.25">
      <c r="H4" s="3">
        <f>H3/12</f>
        <v>5796190</v>
      </c>
    </row>
    <row r="5" spans="2:11" x14ac:dyDescent="0.25">
      <c r="B5" s="3">
        <v>130540000</v>
      </c>
      <c r="H5" s="3">
        <f>H3/365</f>
        <v>190559.67123287672</v>
      </c>
    </row>
    <row r="6" spans="2:11" x14ac:dyDescent="0.25">
      <c r="B6" s="3">
        <v>1205000</v>
      </c>
    </row>
    <row r="7" spans="2:11" x14ac:dyDescent="0.25">
      <c r="B7" s="95">
        <f>B5*10.7/100</f>
        <v>13967780</v>
      </c>
      <c r="G7" s="7">
        <f>D17-H5</f>
        <v>-190559.67123287672</v>
      </c>
    </row>
    <row r="8" spans="2:11" x14ac:dyDescent="0.25">
      <c r="B8" s="19">
        <f>B7/12</f>
        <v>1163981.6666666667</v>
      </c>
      <c r="G8" s="19">
        <f>G7*30</f>
        <v>-5716790.1369863013</v>
      </c>
    </row>
    <row r="10" spans="2:11" x14ac:dyDescent="0.25">
      <c r="B10" s="19">
        <f>B8+B6</f>
        <v>2368981.666666667</v>
      </c>
    </row>
    <row r="11" spans="2:11" x14ac:dyDescent="0.25">
      <c r="B11" s="19">
        <f>H4-B10</f>
        <v>3427208.333333333</v>
      </c>
      <c r="K11">
        <f>151500</f>
        <v>151500</v>
      </c>
    </row>
    <row r="12" spans="2:11" x14ac:dyDescent="0.25">
      <c r="H12">
        <f>250000000/8330000</f>
        <v>30.012004801920767</v>
      </c>
    </row>
    <row r="17" spans="1:13" x14ac:dyDescent="0.25">
      <c r="D17" s="3"/>
    </row>
    <row r="21" spans="1:13" s="21" customFormat="1" x14ac:dyDescent="0.25">
      <c r="A21" s="97" t="s">
        <v>1492</v>
      </c>
      <c r="B21" s="97" t="s">
        <v>1427</v>
      </c>
      <c r="C21" s="97" t="s">
        <v>1426</v>
      </c>
      <c r="D21" s="97" t="s">
        <v>1422</v>
      </c>
      <c r="E21" s="98" t="s">
        <v>1423</v>
      </c>
      <c r="F21" s="98" t="s">
        <v>1424</v>
      </c>
      <c r="G21" s="97" t="s">
        <v>1425</v>
      </c>
      <c r="H21" s="21" t="s">
        <v>1428</v>
      </c>
    </row>
    <row r="22" spans="1:13" x14ac:dyDescent="0.25">
      <c r="A22" s="51">
        <v>45103</v>
      </c>
      <c r="B22" s="74">
        <v>130540000</v>
      </c>
      <c r="C22" s="99">
        <v>0.107</v>
      </c>
      <c r="D22" s="49">
        <v>31</v>
      </c>
      <c r="E22" s="74">
        <v>1205000</v>
      </c>
      <c r="F22" s="74">
        <f>((B22*$C$22)/365)*D22</f>
        <v>1186304.6027397262</v>
      </c>
      <c r="G22" s="100">
        <f>E22+F22</f>
        <v>2391304.6027397262</v>
      </c>
      <c r="H22" s="7">
        <f>7800000-G22</f>
        <v>5408695.3972602738</v>
      </c>
    </row>
    <row r="23" spans="1:13" x14ac:dyDescent="0.25">
      <c r="A23" s="51">
        <v>45133</v>
      </c>
      <c r="B23" s="100">
        <f>B22-E22</f>
        <v>129335000</v>
      </c>
      <c r="C23" s="99">
        <v>0.107</v>
      </c>
      <c r="D23" s="49">
        <v>30</v>
      </c>
      <c r="E23" s="74">
        <v>1205000</v>
      </c>
      <c r="F23" s="74">
        <f>((B23*$C$22)/365)*D23</f>
        <v>1137439.3150684931</v>
      </c>
      <c r="G23" s="100">
        <f>E23+F23</f>
        <v>2342439.3150684931</v>
      </c>
      <c r="H23" s="7">
        <f>5075669-G23</f>
        <v>2733229.6849315069</v>
      </c>
    </row>
    <row r="24" spans="1:13" x14ac:dyDescent="0.25">
      <c r="A24" s="51">
        <v>45166</v>
      </c>
      <c r="B24" s="74">
        <f>B23-$E$23</f>
        <v>128130000</v>
      </c>
      <c r="C24" s="99">
        <v>0.107</v>
      </c>
      <c r="D24" s="49">
        <v>33</v>
      </c>
      <c r="E24" s="74">
        <v>1205000</v>
      </c>
      <c r="F24" s="74">
        <f>((B24*$C$22)/365)*D24</f>
        <v>1239526.1095890412</v>
      </c>
      <c r="G24" s="100">
        <f>E24+F24</f>
        <v>2444526.1095890412</v>
      </c>
      <c r="H24" s="7">
        <f>5087000-G24</f>
        <v>2642473.8904109588</v>
      </c>
    </row>
    <row r="25" spans="1:13" x14ac:dyDescent="0.25">
      <c r="A25" s="51">
        <v>45195</v>
      </c>
      <c r="B25" s="74">
        <f t="shared" ref="B25:B32" si="0">B24-$E$23</f>
        <v>126925000</v>
      </c>
      <c r="C25" s="99">
        <v>0.1</v>
      </c>
      <c r="D25" s="49">
        <v>29</v>
      </c>
      <c r="E25" s="74">
        <v>1205000</v>
      </c>
      <c r="F25" s="74">
        <f>((B25*$C$25)/365)*D25</f>
        <v>1008445.205479452</v>
      </c>
      <c r="G25" s="100">
        <f>E25+F25</f>
        <v>2213445.2054794519</v>
      </c>
      <c r="H25" s="7">
        <f>3235387-G25</f>
        <v>1021941.7945205481</v>
      </c>
    </row>
    <row r="26" spans="1:13" x14ac:dyDescent="0.25">
      <c r="A26" s="51">
        <v>45225</v>
      </c>
      <c r="B26" s="74">
        <f t="shared" si="0"/>
        <v>125720000</v>
      </c>
      <c r="C26" s="99">
        <v>0.1</v>
      </c>
      <c r="D26" s="49"/>
      <c r="E26" s="74"/>
      <c r="F26" s="74"/>
      <c r="G26" s="49"/>
    </row>
    <row r="27" spans="1:13" x14ac:dyDescent="0.25">
      <c r="A27" s="51">
        <v>45256</v>
      </c>
      <c r="B27" s="74">
        <f t="shared" si="0"/>
        <v>124515000</v>
      </c>
      <c r="C27" s="99">
        <v>0.1</v>
      </c>
      <c r="D27" s="49"/>
      <c r="E27" s="74"/>
      <c r="F27" s="74"/>
      <c r="G27" s="49"/>
      <c r="K27" s="7"/>
    </row>
    <row r="28" spans="1:13" x14ac:dyDescent="0.25">
      <c r="A28" s="51">
        <v>45286</v>
      </c>
      <c r="B28" s="74">
        <f t="shared" si="0"/>
        <v>123310000</v>
      </c>
      <c r="C28" s="99">
        <v>0.1</v>
      </c>
      <c r="D28" s="49"/>
      <c r="E28" s="74"/>
      <c r="F28" s="74"/>
      <c r="G28" s="49"/>
      <c r="J28" s="3"/>
      <c r="K28" s="3"/>
      <c r="L28" s="3"/>
      <c r="M28" s="3"/>
    </row>
    <row r="29" spans="1:13" x14ac:dyDescent="0.25">
      <c r="A29" s="51">
        <v>45317</v>
      </c>
      <c r="B29" s="74">
        <f t="shared" si="0"/>
        <v>122105000</v>
      </c>
      <c r="C29" s="99">
        <v>0.1</v>
      </c>
      <c r="D29" s="49"/>
      <c r="E29" s="74"/>
      <c r="F29" s="74"/>
      <c r="G29" s="49"/>
      <c r="J29" s="3"/>
      <c r="K29" s="3"/>
      <c r="L29" s="3"/>
      <c r="M29" s="3"/>
    </row>
    <row r="30" spans="1:13" x14ac:dyDescent="0.25">
      <c r="A30" s="51">
        <v>45348</v>
      </c>
      <c r="B30" s="74">
        <f t="shared" si="0"/>
        <v>120900000</v>
      </c>
      <c r="C30" s="99">
        <v>0.1</v>
      </c>
      <c r="D30" s="49"/>
      <c r="E30" s="74"/>
      <c r="F30" s="74"/>
      <c r="G30" s="49"/>
      <c r="J30" s="3"/>
      <c r="K30" s="3"/>
      <c r="L30" s="3"/>
      <c r="M30" s="3"/>
    </row>
    <row r="31" spans="1:13" x14ac:dyDescent="0.25">
      <c r="A31" s="51">
        <v>45377</v>
      </c>
      <c r="B31" s="74">
        <f t="shared" si="0"/>
        <v>119695000</v>
      </c>
      <c r="C31" s="99">
        <v>0.1</v>
      </c>
      <c r="D31" s="49"/>
      <c r="E31" s="74"/>
      <c r="F31" s="74"/>
      <c r="G31" s="49"/>
      <c r="J31" s="3"/>
      <c r="K31" s="3"/>
      <c r="L31" s="3"/>
      <c r="M31" s="3"/>
    </row>
    <row r="32" spans="1:13" x14ac:dyDescent="0.25">
      <c r="A32" s="51">
        <v>45408</v>
      </c>
      <c r="B32" s="74">
        <f t="shared" si="0"/>
        <v>118490000</v>
      </c>
      <c r="C32" s="99">
        <v>0.1</v>
      </c>
      <c r="D32" s="49"/>
      <c r="E32" s="74"/>
      <c r="F32" s="74"/>
      <c r="G32" s="49"/>
      <c r="J32" s="3"/>
      <c r="K32" s="3"/>
      <c r="L32" s="3"/>
      <c r="M32" s="3"/>
    </row>
    <row r="35" spans="6:11" x14ac:dyDescent="0.25">
      <c r="K35" s="7"/>
    </row>
    <row r="41" spans="6:11" x14ac:dyDescent="0.25">
      <c r="G41" s="7"/>
    </row>
    <row r="45" spans="6:11" x14ac:dyDescent="0.25">
      <c r="F45" s="106"/>
      <c r="H45" s="95"/>
    </row>
    <row r="46" spans="6:11" x14ac:dyDescent="0.25">
      <c r="H46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Tiền TK</vt:lpstr>
      <vt:lpstr>bảng tính đóng NH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2021-08-21T07:16:55Z</dcterms:created>
  <dcterms:modified xsi:type="dcterms:W3CDTF">2025-07-28T13:57:58Z</dcterms:modified>
</cp:coreProperties>
</file>