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baoqiang/xiao/python_repos/xiao-gorepos/"/>
    </mc:Choice>
  </mc:AlternateContent>
  <bookViews>
    <workbookView xWindow="6920" yWindow="3300" windowWidth="28800" windowHeight="1762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6" i="1" l="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5" i="1"/>
  <c r="B4" i="1"/>
  <c r="B3" i="1"/>
  <c r="B2" i="1"/>
</calcChain>
</file>

<file path=xl/sharedStrings.xml><?xml version="1.0" encoding="utf-8"?>
<sst xmlns="http://schemas.openxmlformats.org/spreadsheetml/2006/main" count="4788" uniqueCount="4689">
  <si>
    <t>id</t>
  </si>
  <si>
    <t>url</t>
  </si>
  <si>
    <t>name</t>
  </si>
  <si>
    <t>description</t>
  </si>
  <si>
    <t>forks</t>
  </si>
  <si>
    <t>stars</t>
  </si>
  <si>
    <t>created_at</t>
  </si>
  <si>
    <t>updated_at</t>
  </si>
  <si>
    <t>full_name</t>
  </si>
  <si>
    <t>awesome</t>
  </si>
  <si>
    <t>😎 Awesome lists about all kinds of interesting topics</t>
  </si>
  <si>
    <t>sindresorhus/awesome</t>
  </si>
  <si>
    <t>awesome-python</t>
  </si>
  <si>
    <t>A curated list of awesome Python frameworks, libraries, software and resources</t>
  </si>
  <si>
    <t>vinta/awesome-python</t>
  </si>
  <si>
    <t>moby</t>
  </si>
  <si>
    <t>Moby Project - a collaborative project for the container ecosystem to assemble container-based systems</t>
  </si>
  <si>
    <t>moby/moby</t>
  </si>
  <si>
    <t>kubernetes</t>
  </si>
  <si>
    <t>Production-Grade Container Scheduling and Management</t>
  </si>
  <si>
    <t>kubernetes/kubernetes</t>
  </si>
  <si>
    <t>awesome-go</t>
  </si>
  <si>
    <t>A curated list of awesome Go frameworks, libraries and software</t>
  </si>
  <si>
    <t>avelino/awesome-go</t>
  </si>
  <si>
    <t>build-web-application-with-golang</t>
  </si>
  <si>
    <t>A golang ebook intro how to build a web with golang</t>
  </si>
  <si>
    <t>astaxie/build-web-application-with-golang</t>
  </si>
  <si>
    <t>gin</t>
  </si>
  <si>
    <t>Gin is a HTTP web framework written in Go (Golang). It features a Martini-like API with much better performance -- up to 40 times faster. If you need smashing performance, get yourself some Gin.</t>
  </si>
  <si>
    <t>gin-gonic/gin</t>
  </si>
  <si>
    <t>etcd</t>
  </si>
  <si>
    <t>Distributed reliable key-value store for the most critical data of a distributed system</t>
  </si>
  <si>
    <t>etcd-io/etcd</t>
  </si>
  <si>
    <t>awesome-awesomeness</t>
  </si>
  <si>
    <t>A curated list of awesome awesomeness</t>
  </si>
  <si>
    <t>bayandin/awesome-awesomeness</t>
  </si>
  <si>
    <t>prometheus</t>
  </si>
  <si>
    <t>The Prometheus monitoring system and time series database.</t>
  </si>
  <si>
    <t>prometheus/prometheus</t>
  </si>
  <si>
    <t>traefik</t>
  </si>
  <si>
    <t>The Cloud Native Edge Router</t>
  </si>
  <si>
    <t>containous/traefik</t>
  </si>
  <si>
    <t>caddy</t>
  </si>
  <si>
    <t>Fast, cross-platform HTTP/2 web server with automatic HTTPS</t>
  </si>
  <si>
    <t>mholt/caddy</t>
  </si>
  <si>
    <t>fzf</t>
  </si>
  <si>
    <t>:cherry_blossom: A command-line fuzzy finder</t>
  </si>
  <si>
    <t>junegunn/fzf</t>
  </si>
  <si>
    <t>beego</t>
  </si>
  <si>
    <t>beego is an open-source, high-performance web framework for the Go programming language.</t>
  </si>
  <si>
    <t>astaxie/beego</t>
  </si>
  <si>
    <t>tidb</t>
  </si>
  <si>
    <t>TiDB is a distributed HTAP database compatible with the MySQL protocol</t>
  </si>
  <si>
    <t>pingcap/tidb</t>
  </si>
  <si>
    <t>drone</t>
  </si>
  <si>
    <t>Drone is a Container-Native, Continuous Delivery Platform</t>
  </si>
  <si>
    <t>drone/drone</t>
  </si>
  <si>
    <t>influxdb</t>
  </si>
  <si>
    <t>Scalable datastore for metrics, events, and real-time analytics</t>
  </si>
  <si>
    <t>influxdata/influxdb</t>
  </si>
  <si>
    <t>ngrok</t>
  </si>
  <si>
    <t>Introspected tunnels to localhost</t>
  </si>
  <si>
    <t>inconshreveable/ngrok</t>
  </si>
  <si>
    <t>cockroach</t>
  </si>
  <si>
    <t>CockroachDB - the open source, cloud-native SQL database.</t>
  </si>
  <si>
    <t>cockroachdb/cockroach</t>
  </si>
  <si>
    <t>hub</t>
  </si>
  <si>
    <t>A command-line tool that makes git easier to use with GitHub.</t>
  </si>
  <si>
    <t>github/hub</t>
  </si>
  <si>
    <t>minio</t>
  </si>
  <si>
    <t>MinIO is an open source object storage server compatible with Amazon S3 APIs</t>
  </si>
  <si>
    <t>minio/minio</t>
  </si>
  <si>
    <t>awesome-remote-job</t>
  </si>
  <si>
    <t>A curated list of awesome remote jobs and resources. Inspired by https://github.com/vinta/awesome-python</t>
  </si>
  <si>
    <t>lukasz-madon/awesome-remote-job</t>
  </si>
  <si>
    <t>echo</t>
  </si>
  <si>
    <t>High performance, minimalist Go web framework</t>
  </si>
  <si>
    <t>labstack/echo</t>
  </si>
  <si>
    <t>gitea</t>
  </si>
  <si>
    <t>Git with a cup of tea, painless self-hosted git service</t>
  </si>
  <si>
    <t>go-gitea/gitea</t>
  </si>
  <si>
    <t>kit</t>
  </si>
  <si>
    <t>A standard library for microservices.</t>
  </si>
  <si>
    <t>go-kit/kit</t>
  </si>
  <si>
    <t>gorm</t>
  </si>
  <si>
    <t>The fantastic ORM library for Golang, aims to be developer friendly</t>
  </si>
  <si>
    <t>jinzhu/gorm</t>
  </si>
  <si>
    <t>cayley</t>
  </si>
  <si>
    <t>An open-source graph database</t>
  </si>
  <si>
    <t>cayleygraph/cayley</t>
  </si>
  <si>
    <t>dep</t>
  </si>
  <si>
    <t>Go dependency management tool</t>
  </si>
  <si>
    <t>golang/dep</t>
  </si>
  <si>
    <t>cobra</t>
  </si>
  <si>
    <t>A Commander for modern Go CLI interactions</t>
  </si>
  <si>
    <t>spf13/cobra</t>
  </si>
  <si>
    <t>vegeta</t>
  </si>
  <si>
    <t>HTTP load testing tool and library. It's over 9000!</t>
  </si>
  <si>
    <t>tsenart/vegeta</t>
  </si>
  <si>
    <t>delve</t>
  </si>
  <si>
    <t>Delve is a debugger for the Go programming language.</t>
  </si>
  <si>
    <t>go-delve/delve</t>
  </si>
  <si>
    <t>revel</t>
  </si>
  <si>
    <t>A high productivity, full-stack web framework for the Go language.</t>
  </si>
  <si>
    <t>revel/revel</t>
  </si>
  <si>
    <t>goreplay</t>
  </si>
  <si>
    <t>GoReplay is an open-source tool for capturing and replaying live HTTP traffic into a test environment in order to continuously test your system with real data. It can be used to increase confidence in code deployments, configuration changes and infrastructure changes.</t>
  </si>
  <si>
    <t>buger/goreplay</t>
  </si>
  <si>
    <t>logrus</t>
  </si>
  <si>
    <t>Structured, pluggable logging for Go.</t>
  </si>
  <si>
    <t>sirupsen/logrus</t>
  </si>
  <si>
    <t>cli</t>
  </si>
  <si>
    <t>A simple, fast, and fun package for building command line apps in Go</t>
  </si>
  <si>
    <t>urfave/cli</t>
  </si>
  <si>
    <t>vim-go</t>
  </si>
  <si>
    <t>Go development plugin for Vim</t>
  </si>
  <si>
    <t>fatih/vim-go</t>
  </si>
  <si>
    <t>kcptun</t>
  </si>
  <si>
    <t>A Stable &amp; Secure Tunnel Based On KCP with N:M Multiplexing</t>
  </si>
  <si>
    <t>xtaci/kcptun</t>
  </si>
  <si>
    <t>bolt</t>
  </si>
  <si>
    <t>An embedded key/value database for Go.</t>
  </si>
  <si>
    <t>boltdb/bolt</t>
  </si>
  <si>
    <t>dgraph</t>
  </si>
  <si>
    <t>Fast, Distributed Graph DB</t>
  </si>
  <si>
    <t>dgraph-io/dgraph</t>
  </si>
  <si>
    <t>httprouter</t>
  </si>
  <si>
    <t>A high performance HTTP request router that scales well</t>
  </si>
  <si>
    <t>julienschmidt/httprouter</t>
  </si>
  <si>
    <t>packer</t>
  </si>
  <si>
    <t>Packer is a tool for creating identical machine images for multiple platforms from a single source configuration.</t>
  </si>
  <si>
    <t>hashicorp/packer</t>
  </si>
  <si>
    <t>mux</t>
  </si>
  <si>
    <t>A powerful URL router and dispatcher for golang.</t>
  </si>
  <si>
    <t>gorilla/mux</t>
  </si>
  <si>
    <t>rkt</t>
  </si>
  <si>
    <t>rkt is a pod-native container engine for Linux. It is composable, secure, and built on standards.</t>
  </si>
  <si>
    <t>rkt/rkt</t>
  </si>
  <si>
    <t>fasthttp</t>
  </si>
  <si>
    <t>Fast HTTP package for Go. Tuned for high performance. Zero memory allocations in hot paths. Up to 10x faster than net/http</t>
  </si>
  <si>
    <t>valyala/fasthttp</t>
  </si>
  <si>
    <t>termui</t>
  </si>
  <si>
    <t>Golang terminal dashboard</t>
  </si>
  <si>
    <t>gizak/termui</t>
  </si>
  <si>
    <t>ctop</t>
  </si>
  <si>
    <t>Top-like interface for container metrics</t>
  </si>
  <si>
    <t>bcicen/ctop</t>
  </si>
  <si>
    <t>viper</t>
  </si>
  <si>
    <t>Go configuration with fangs</t>
  </si>
  <si>
    <t>spf13/viper</t>
  </si>
  <si>
    <t>gopherjs</t>
  </si>
  <si>
    <t>A compiler from Go to JavaScript for running Go code in a browser</t>
  </si>
  <si>
    <t>gopherjs/gopherjs</t>
  </si>
  <si>
    <t>grpc-go</t>
  </si>
  <si>
    <t>The Go language implementation of gRPC. HTTP/2 based RPC</t>
  </si>
  <si>
    <t>grpc/grpc-go</t>
  </si>
  <si>
    <t>wuzz</t>
  </si>
  <si>
    <t>Interactive cli tool for HTTP inspection</t>
  </si>
  <si>
    <t>asciimoo/wuzz</t>
  </si>
  <si>
    <t>vitess</t>
  </si>
  <si>
    <t>Vitess is a database clustering system for horizontal scaling of MySQL.</t>
  </si>
  <si>
    <t>vitessio/vitess</t>
  </si>
  <si>
    <t>jaeger</t>
  </si>
  <si>
    <t>CNCF Jaeger, a Distributed Tracing System</t>
  </si>
  <si>
    <t>jaegertracing/jaeger</t>
  </si>
  <si>
    <t>seaweedfs</t>
  </si>
  <si>
    <t>SeaweedFS is a simple and highly scalable distributed file system. There are two objectives:  to store billions of files! to serve the files fast! SeaweedFS implements an object store with O(1) disk seek and an optional Filer with POSIX interface, supporting S3 API, FUSE mount, Hadoop compatible.</t>
  </si>
  <si>
    <t>chrislusf/seaweedfs</t>
  </si>
  <si>
    <t>glide</t>
  </si>
  <si>
    <t>Package Management for Golang</t>
  </si>
  <si>
    <t>Masterminds/glide</t>
  </si>
  <si>
    <t>colly</t>
  </si>
  <si>
    <t>Elegant Scraper and Crawler Framework for Golang</t>
  </si>
  <si>
    <t>gocolly/colly</t>
  </si>
  <si>
    <t>mysql</t>
  </si>
  <si>
    <t>Go MySQL Driver is a MySQL driver for Go's (golang) database/sql package</t>
  </si>
  <si>
    <t>go-sql-driver/mysql</t>
  </si>
  <si>
    <t>groupcache</t>
  </si>
  <si>
    <t>groupcache is a caching and cache-filling library, intended as a replacement for memcached in many cases.</t>
  </si>
  <si>
    <t>golang/groupcache</t>
  </si>
  <si>
    <t>testify</t>
  </si>
  <si>
    <t>A toolkit with common assertions and mocks that plays nicely with the standard library</t>
  </si>
  <si>
    <t>stretchr/testify</t>
  </si>
  <si>
    <t>goquery</t>
  </si>
  <si>
    <t>A little like that j-thing, only in Go.</t>
  </si>
  <si>
    <t>PuerkitoBio/goquery</t>
  </si>
  <si>
    <t>project-layout</t>
  </si>
  <si>
    <t>Standard Go Project Layout</t>
  </si>
  <si>
    <t>golang-standards/project-layout</t>
  </si>
  <si>
    <t>ui</t>
  </si>
  <si>
    <t>Platform-native GUI library for Go.</t>
  </si>
  <si>
    <t>andlabs/ui</t>
  </si>
  <si>
    <t>restic</t>
  </si>
  <si>
    <t>Fast, secure, efficient backup program</t>
  </si>
  <si>
    <t>restic/restic</t>
  </si>
  <si>
    <t>zap</t>
  </si>
  <si>
    <t>Blazing fast, structured, leveled logging in Go.</t>
  </si>
  <si>
    <t>uber-go/zap</t>
  </si>
  <si>
    <t>golearn</t>
  </si>
  <si>
    <t>Machine Learning for Go</t>
  </si>
  <si>
    <t>sjwhitworth/golearn</t>
  </si>
  <si>
    <t>GoBooks</t>
  </si>
  <si>
    <t>List of Golang books</t>
  </si>
  <si>
    <t>dariubs/GoBooks</t>
  </si>
  <si>
    <t>negroni</t>
  </si>
  <si>
    <t>Idiomatic HTTP Middleware for Golang</t>
  </si>
  <si>
    <t>urfave/negroni</t>
  </si>
  <si>
    <t>sqlx</t>
  </si>
  <si>
    <t>general purpose extensions to golang's database/sql</t>
  </si>
  <si>
    <t>jmoiron/sqlx</t>
  </si>
  <si>
    <t>tile38</t>
  </si>
  <si>
    <t>Tile38 is a geospatial database and realtime geofencing server. 🌐</t>
  </si>
  <si>
    <t>tidwall/tile38</t>
  </si>
  <si>
    <t>confd</t>
  </si>
  <si>
    <t>Manage local application configuration files using templates and data from etcd or consul</t>
  </si>
  <si>
    <t>kelseyhightower/confd</t>
  </si>
  <si>
    <t>comcast</t>
  </si>
  <si>
    <t>Simulating shitty network connections so you can build better systems.</t>
  </si>
  <si>
    <t>tylertreat/comcast</t>
  </si>
  <si>
    <t>micro</t>
  </si>
  <si>
    <t>A microservice toolkit</t>
  </si>
  <si>
    <t>micro/micro</t>
  </si>
  <si>
    <t>pgweb</t>
  </si>
  <si>
    <t>Cross-platform client for PostgreSQL databases</t>
  </si>
  <si>
    <t>sosedoff/pgweb</t>
  </si>
  <si>
    <t>redigo</t>
  </si>
  <si>
    <t>Go client for Redis</t>
  </si>
  <si>
    <t>gomodule/redigo</t>
  </si>
  <si>
    <t>godep</t>
  </si>
  <si>
    <t>dependency tool for go</t>
  </si>
  <si>
    <t>tools/godep</t>
  </si>
  <si>
    <t>badger</t>
  </si>
  <si>
    <t>Fast key-value DB in Go.</t>
  </si>
  <si>
    <t>dgraph-io/badger</t>
  </si>
  <si>
    <t>bleve</t>
  </si>
  <si>
    <t>A modern text indexing library for go</t>
  </si>
  <si>
    <t>blevesearch/bleve</t>
  </si>
  <si>
    <t>gods</t>
  </si>
  <si>
    <t>GoDS (Go Data Structures). Containers (Sets, Lists, Stacks, Maps, Trees), Sets (HashSet, TreeSet, LinkedHashSet), Lists (ArrayList, SinglyLinkedList, DoublyLinkedList), Stacks (LinkedListStack, ArrayStack), Maps (HashMap, TreeMap, HashBidiMap, TreeBidiMap, LinkedHashMap), Trees (RedBlackTree, AVLTree, BTree, BinaryHeap), Comparators, Iterators, Enumerables, Sort, JSON</t>
  </si>
  <si>
    <t>emirpasic/gods</t>
  </si>
  <si>
    <t>redis</t>
  </si>
  <si>
    <t>Type-safe Redis client for Golang</t>
  </si>
  <si>
    <t>go-redis/redis</t>
  </si>
  <si>
    <t>gnatsd</t>
  </si>
  <si>
    <t>High-Performance server for NATS, the cloud native messaging system.</t>
  </si>
  <si>
    <t>nats-io/gnatsd</t>
  </si>
  <si>
    <t>hey</t>
  </si>
  <si>
    <t>HTTP load generator, ApacheBench (ab) replacement, formerly known as rakyll/boom</t>
  </si>
  <si>
    <t>rakyll/hey</t>
  </si>
  <si>
    <t>qt</t>
  </si>
  <si>
    <t>Qt binding for Go (Golang) with support for Windows / macOS / Linux / Android / iOS / Sailfish OS / Raspberry Pi / AsteroidOS / Ubuntu Touch / JavaScript / WebAssembly</t>
  </si>
  <si>
    <t>therecipe/qt</t>
  </si>
  <si>
    <t>chi</t>
  </si>
  <si>
    <t>lightweight, idiomatic and composable router for building Go HTTP services</t>
  </si>
  <si>
    <t>go-chi/chi</t>
  </si>
  <si>
    <t>jwt-go</t>
  </si>
  <si>
    <t>Golang implementation of JSON Web Tokens (JWT)</t>
  </si>
  <si>
    <t>dgrijalva/jwt-go</t>
  </si>
  <si>
    <t>peco</t>
  </si>
  <si>
    <t>Simplistic interactive filtering tool</t>
  </si>
  <si>
    <t>peco/peco</t>
  </si>
  <si>
    <t>liteide</t>
  </si>
  <si>
    <t>LiteIDE is a simple, open source, cross-platform Go IDE.</t>
  </si>
  <si>
    <t>visualfc/liteide</t>
  </si>
  <si>
    <t>fyne</t>
  </si>
  <si>
    <t>Cross platform GUI in Go based on Material Design</t>
  </si>
  <si>
    <t>fyne-io/fyne</t>
  </si>
  <si>
    <t>go-datastructures</t>
  </si>
  <si>
    <t>Workiva/go-datastructures</t>
  </si>
  <si>
    <t>pq</t>
  </si>
  <si>
    <t>Pure Go Postgres driver for database/sql</t>
  </si>
  <si>
    <t>lib/pq</t>
  </si>
  <si>
    <t>drive</t>
  </si>
  <si>
    <t>Google Drive client for the commandline</t>
  </si>
  <si>
    <t>odeke-em/drive</t>
  </si>
  <si>
    <t>go</t>
  </si>
  <si>
    <t>A high-performance 100% compatible drop-in replacement of "encoding/json"</t>
  </si>
  <si>
    <t>json-iterator/go</t>
  </si>
  <si>
    <t>MailHog</t>
  </si>
  <si>
    <t>Web and API based SMTP testing</t>
  </si>
  <si>
    <t>mailhog/MailHog</t>
  </si>
  <si>
    <t>vscode-go</t>
  </si>
  <si>
    <t>An extension for VS Code which provides support for the Go language.</t>
  </si>
  <si>
    <t>Microsoft/vscode-go</t>
  </si>
  <si>
    <t>graphql</t>
  </si>
  <si>
    <t>An implementation of GraphQL for Go / Golang</t>
  </si>
  <si>
    <t>graphql-go/graphql</t>
  </si>
  <si>
    <t>aws-sdk-go</t>
  </si>
  <si>
    <t>AWS SDK for the Go programming language.</t>
  </si>
  <si>
    <t>aws/aws-sdk-go</t>
  </si>
  <si>
    <t>xorm</t>
  </si>
  <si>
    <t>Simple and Powerful ORM for Go, support mysql,postgres,tidb,sqlite3,mssql,oracle</t>
  </si>
  <si>
    <t>go-xorm/xorm</t>
  </si>
  <si>
    <t>gocode</t>
  </si>
  <si>
    <t>An autocompletion daemon for the Go programming language</t>
  </si>
  <si>
    <t>nsf/gocode</t>
  </si>
  <si>
    <t>usql</t>
  </si>
  <si>
    <t>Universal command-line interface for SQL databases</t>
  </si>
  <si>
    <t>xo/usql</t>
  </si>
  <si>
    <t>go-lang-idea-plugin</t>
  </si>
  <si>
    <t>Google Go language IDE built using the IntelliJ Platform</t>
  </si>
  <si>
    <t>go-lang-plugin-org/go-lang-idea-plugin</t>
  </si>
  <si>
    <t>otto</t>
  </si>
  <si>
    <t>A JavaScript interpreter in Go (golang)</t>
  </si>
  <si>
    <t>robertkrimen/otto</t>
  </si>
  <si>
    <t>protobuf</t>
  </si>
  <si>
    <t>Go support for Google's protocol buffers</t>
  </si>
  <si>
    <t>golang/protobuf</t>
  </si>
  <si>
    <t>go-github</t>
  </si>
  <si>
    <t>Go library for accessing the GitHub API</t>
  </si>
  <si>
    <t>google/go-github</t>
  </si>
  <si>
    <t>govendor</t>
  </si>
  <si>
    <t>Go vendor tool that works with the standard vendor file.</t>
  </si>
  <si>
    <t>kardianos/govendor</t>
  </si>
  <si>
    <t>riot</t>
  </si>
  <si>
    <t>Go Open Source, Distributed, Simple and efficient Search Engine</t>
  </si>
  <si>
    <t>go-ego/riot</t>
  </si>
  <si>
    <t>errors</t>
  </si>
  <si>
    <t>Simple error handling primitives</t>
  </si>
  <si>
    <t>pkg/errors</t>
  </si>
  <si>
    <t>rqlite</t>
  </si>
  <si>
    <t>The lightweight, distributed relational database built on SQLite.</t>
  </si>
  <si>
    <t>rqlite/rqlite</t>
  </si>
  <si>
    <t>kingshard</t>
  </si>
  <si>
    <t>A high-performance MySQL proxy</t>
  </si>
  <si>
    <t>flike/kingshard</t>
  </si>
  <si>
    <t>gjson</t>
  </si>
  <si>
    <t>Get JSON values quickly  - JSON Parser for Go</t>
  </si>
  <si>
    <t>tidwall/gjson</t>
  </si>
  <si>
    <t>gvm</t>
  </si>
  <si>
    <t>Go Version Manager</t>
  </si>
  <si>
    <t>moovweb/gvm</t>
  </si>
  <si>
    <t>robotgo</t>
  </si>
  <si>
    <t>RobotGo, Go Native cross-platform GUI automation</t>
  </si>
  <si>
    <t>go-vgo/robotgo</t>
  </si>
  <si>
    <t>webview</t>
  </si>
  <si>
    <t>Tiny cross-platform webview library for C/C++/Golang. Uses WebKit (Gtk/Cocoa) and MSHTML (Windows)</t>
  </si>
  <si>
    <t>zserge/webview</t>
  </si>
  <si>
    <t>casbin</t>
  </si>
  <si>
    <t>An authorization library that supports access control models like ACL, RBAC, ABAC in Golang</t>
  </si>
  <si>
    <t>casbin/casbin</t>
  </si>
  <si>
    <t>sarama</t>
  </si>
  <si>
    <t>Sarama is a Go library for Apache Kafka 0.8, and up.</t>
  </si>
  <si>
    <t>Shopify/sarama</t>
  </si>
  <si>
    <t>gocui</t>
  </si>
  <si>
    <t>Minimalist Go package aimed at creating Console User Interfaces.</t>
  </si>
  <si>
    <t>jroimartin/gocui</t>
  </si>
  <si>
    <t>nes</t>
  </si>
  <si>
    <t>NES emulator written in Go.</t>
  </si>
  <si>
    <t>fogleman/nes</t>
  </si>
  <si>
    <t>goreleaser</t>
  </si>
  <si>
    <t>Deliver Go binaries as fast and easily as possible</t>
  </si>
  <si>
    <t>goreleaser/goreleaser</t>
  </si>
  <si>
    <t>go-lang-cheat-sheet</t>
  </si>
  <si>
    <t>An overview of Go syntax and features.</t>
  </si>
  <si>
    <t>a8m/go-lang-cheat-sheet</t>
  </si>
  <si>
    <t>go-git</t>
  </si>
  <si>
    <t>A highly extensible Git implementation in pure Go.</t>
  </si>
  <si>
    <t>src-d/go-git</t>
  </si>
  <si>
    <t>webhook</t>
  </si>
  <si>
    <t>webhook is a lightweight incoming webhook server to run shell commands</t>
  </si>
  <si>
    <t>adnanh/webhook</t>
  </si>
  <si>
    <t>elastic</t>
  </si>
  <si>
    <t>Elasticsearch client for Go.</t>
  </si>
  <si>
    <t>olivere/elastic</t>
  </si>
  <si>
    <t>excelize</t>
  </si>
  <si>
    <t>Golang library for reading and writing Microsoft Excel™ (XLSX) files.</t>
  </si>
  <si>
    <t>360EntSecGroup-Skylar/excelize</t>
  </si>
  <si>
    <t>godropbox</t>
  </si>
  <si>
    <t>Common libraries for writing Go services/applications.</t>
  </si>
  <si>
    <t>dropbox/godropbox</t>
  </si>
  <si>
    <t>blackfriday</t>
  </si>
  <si>
    <t>Blackfriday: a markdown processor for Go</t>
  </si>
  <si>
    <t>russross/blackfriday</t>
  </si>
  <si>
    <t>toxiproxy</t>
  </si>
  <si>
    <t>:alarm_clock: :fire: A TCP proxy to simulate network and system conditions for chaos and resiliency testing</t>
  </si>
  <si>
    <t>Shopify/toxiproxy</t>
  </si>
  <si>
    <t>gaia</t>
  </si>
  <si>
    <t>Build powerful pipelines in any programming language.</t>
  </si>
  <si>
    <t>gaia-pipeline/gaia</t>
  </si>
  <si>
    <t>gopsutil</t>
  </si>
  <si>
    <t>psutil for golang</t>
  </si>
  <si>
    <t>shirou/gopsutil</t>
  </si>
  <si>
    <t>dns</t>
  </si>
  <si>
    <t>DNS library in Go</t>
  </si>
  <si>
    <t>miekg/dns</t>
  </si>
  <si>
    <t>go-torch</t>
  </si>
  <si>
    <t>Stochastic flame graph profiler for Go programs</t>
  </si>
  <si>
    <t>uber-archive/go-torch</t>
  </si>
  <si>
    <t>gometalinter</t>
  </si>
  <si>
    <t>DEPRECATED: Use https://github.com/golangci/golangci-lint</t>
  </si>
  <si>
    <t>alecthomas/gometalinter</t>
  </si>
  <si>
    <t>go-swagger</t>
  </si>
  <si>
    <t>Swagger 2.0 implementation for go</t>
  </si>
  <si>
    <t>go-swagger/go-swagger</t>
  </si>
  <si>
    <t>centrifugo</t>
  </si>
  <si>
    <t>Language-agnostic real-time messaging server (Websocket and SockJS)</t>
  </si>
  <si>
    <t>centrifugal/centrifugo</t>
  </si>
  <si>
    <t>learn-go-with-tests</t>
  </si>
  <si>
    <t>Learn Go with test-driven development</t>
  </si>
  <si>
    <t>quii/learn-go-with-tests</t>
  </si>
  <si>
    <t>gorush</t>
  </si>
  <si>
    <t>A push notification server written in Go (Golang).</t>
  </si>
  <si>
    <t>appleboy/gorush</t>
  </si>
  <si>
    <t>OctoLinker</t>
  </si>
  <si>
    <t>OctoLinker – Available on Chrome, Firefox and Opera</t>
  </si>
  <si>
    <t>OctoLinker/OctoLinker</t>
  </si>
  <si>
    <t>rpcx</t>
  </si>
  <si>
    <t>Faster multil-language  bidirectional RPC framework in Go, like alibaba Dubbo, but with more features, Scale easily. Try it. Test it. If you feel it's better, use it!</t>
  </si>
  <si>
    <t>smallnest/rpcx</t>
  </si>
  <si>
    <t>walk</t>
  </si>
  <si>
    <t>A Windows GUI toolkit for the Go Programming Language</t>
  </si>
  <si>
    <t>lxn/walk</t>
  </si>
  <si>
    <t>termbox-go</t>
  </si>
  <si>
    <t>Pure Go termbox implementation</t>
  </si>
  <si>
    <t>nsf/termbox-go</t>
  </si>
  <si>
    <t>goa</t>
  </si>
  <si>
    <t>Design-based APIs and microservices in Go</t>
  </si>
  <si>
    <t>goadesign/goa</t>
  </si>
  <si>
    <t>httplab</t>
  </si>
  <si>
    <t>The interactive web server</t>
  </si>
  <si>
    <t>gchaincl/httplab</t>
  </si>
  <si>
    <t>govalidator</t>
  </si>
  <si>
    <t>[Go] Package of validators and sanitizers for strings, numerics, slices and structs</t>
  </si>
  <si>
    <t>asaskevich/govalidator</t>
  </si>
  <si>
    <t>go-json-rest</t>
  </si>
  <si>
    <t>A quick and easy way to setup a RESTful JSON API</t>
  </si>
  <si>
    <t>ant0ine/go-json-rest</t>
  </si>
  <si>
    <t>lego</t>
  </si>
  <si>
    <t>Let's Encrypt client and ACME library written in Go</t>
  </si>
  <si>
    <t>go-acme/lego</t>
  </si>
  <si>
    <t>gox</t>
  </si>
  <si>
    <t>A dead simple, no frills Go cross compile tool</t>
  </si>
  <si>
    <t>mitchellh/gox</t>
  </si>
  <si>
    <t>go-sqlite3</t>
  </si>
  <si>
    <t>sqlite3 driver for go using database/sql</t>
  </si>
  <si>
    <t>mattn/go-sqlite3</t>
  </si>
  <si>
    <t>GoSublime</t>
  </si>
  <si>
    <t>A Golang plugin collection for SublimeText 3, providing code completion and other IDE-like features.</t>
  </si>
  <si>
    <t>DisposaBoy/GoSublime</t>
  </si>
  <si>
    <t>xlsx</t>
  </si>
  <si>
    <t>Google Go (golang) library for reading and writing XLSX files.  You should probably also checkout: https://github.com/360EntSecGroup-Skylar/excelize</t>
  </si>
  <si>
    <t>tealeg/xlsx</t>
  </si>
  <si>
    <t>machinery</t>
  </si>
  <si>
    <t>Machinery is an asynchronous task queue/job queue based on distributed message passing.</t>
  </si>
  <si>
    <t>RichardKnop/machinery</t>
  </si>
  <si>
    <t>go-spew</t>
  </si>
  <si>
    <t>Implements a deep pretty printer for Go data structures to aid in debugging</t>
  </si>
  <si>
    <t>davecgh/go-spew</t>
  </si>
  <si>
    <t>chromedp</t>
  </si>
  <si>
    <t>A faster, simpler way to drive browsers supporting the Chrome DevTools Protocol.</t>
  </si>
  <si>
    <t>chromedp/chromedp</t>
  </si>
  <si>
    <t>gorp</t>
  </si>
  <si>
    <t>Go Relational Persistence - an ORM-ish library for Go</t>
  </si>
  <si>
    <t>go-gorp/gorp</t>
  </si>
  <si>
    <t>validator</t>
  </si>
  <si>
    <t>:100:Go Struct and Field validation, including Cross Field, Cross Struct, Map, Slice and Array diving</t>
  </si>
  <si>
    <t>go-playground/validator</t>
  </si>
  <si>
    <t>lint</t>
  </si>
  <si>
    <t>[mirror] This is a linter for Go source code.</t>
  </si>
  <si>
    <t>golang/lint</t>
  </si>
  <si>
    <t>goleveldb</t>
  </si>
  <si>
    <t>LevelDB key/value database in Go.</t>
  </si>
  <si>
    <t>syndtr/goleveldb</t>
  </si>
  <si>
    <t>realize</t>
  </si>
  <si>
    <t>Realize is the #1 Golang Task Runner which enhance your workflow by automating the most common tasks and using the best performing Golang live reloading.</t>
  </si>
  <si>
    <t>oxequa/realize</t>
  </si>
  <si>
    <t>ledisdb</t>
  </si>
  <si>
    <t>a high performance NoSQL powered by Go</t>
  </si>
  <si>
    <t>siddontang/ledisdb</t>
  </si>
  <si>
    <t>go.uuid</t>
  </si>
  <si>
    <t>UUID package for Go</t>
  </si>
  <si>
    <t>satori/go.uuid</t>
  </si>
  <si>
    <t>color</t>
  </si>
  <si>
    <t>Color package for Go (golang)</t>
  </si>
  <si>
    <t>fatih/color</t>
  </si>
  <si>
    <t>tendermint</t>
  </si>
  <si>
    <t>⟁ Tendermint Core (BFT Consensus) in Go</t>
  </si>
  <si>
    <t>tendermint/tendermint</t>
  </si>
  <si>
    <t>roadrunner</t>
  </si>
  <si>
    <t>High-performance PHP application server, load-balancer and process manager written in Golang</t>
  </si>
  <si>
    <t>spiral/roadrunner</t>
  </si>
  <si>
    <t>app</t>
  </si>
  <si>
    <t>A WebAssembly framework to build GUI with Go, HTML and CSS.</t>
  </si>
  <si>
    <t>maxence-charriere/app</t>
  </si>
  <si>
    <t>gofpdf</t>
  </si>
  <si>
    <t>A PDF document generator with high level support for text, drawing and images</t>
  </si>
  <si>
    <t>jung-kurt/gofpdf</t>
  </si>
  <si>
    <t>leaf</t>
  </si>
  <si>
    <t>A game server framework in Go (golang)</t>
  </si>
  <si>
    <t>name5566/leaf</t>
  </si>
  <si>
    <t>bosun</t>
  </si>
  <si>
    <t>Time Series Alerting Framework</t>
  </si>
  <si>
    <t>bosun-monitor/bosun</t>
  </si>
  <si>
    <t>gopher-lua</t>
  </si>
  <si>
    <t>GopherLua: VM and compiler for Lua in Go</t>
  </si>
  <si>
    <t>yuin/gopher-lua</t>
  </si>
  <si>
    <t>devd</t>
  </si>
  <si>
    <t>A local webserver for developers</t>
  </si>
  <si>
    <t>cortesi/devd</t>
  </si>
  <si>
    <t>orchestrator</t>
  </si>
  <si>
    <t>MySQL replication topology management and HA</t>
  </si>
  <si>
    <t>github/orchestrator</t>
  </si>
  <si>
    <t>gizmo</t>
  </si>
  <si>
    <t>A Microservice Toolkit from The New York Times</t>
  </si>
  <si>
    <t>nytimes/gizmo</t>
  </si>
  <si>
    <t>macaron</t>
  </si>
  <si>
    <t>Package macaron is a high productive and modular web framework in Go.</t>
  </si>
  <si>
    <t>go-macaron/macaron</t>
  </si>
  <si>
    <t>go-socket.io</t>
  </si>
  <si>
    <t>socket.io library for golang, a realtime application framework.</t>
  </si>
  <si>
    <t>googollee/go-socket.io</t>
  </si>
  <si>
    <t>torrent</t>
  </si>
  <si>
    <t>Full-featured BitTorrent-client package and utilities</t>
  </si>
  <si>
    <t>anacrolix/torrent</t>
  </si>
  <si>
    <t>go-fuzz</t>
  </si>
  <si>
    <t>Randomized testing for Go</t>
  </si>
  <si>
    <t>dvyukov/go-fuzz</t>
  </si>
  <si>
    <t>gonum</t>
  </si>
  <si>
    <t>Gonum is a set of numeric libraries for the Go programming language. It contains libraries for matrices, statistics, optimization, and more</t>
  </si>
  <si>
    <t>gonum/gonum</t>
  </si>
  <si>
    <t>gopacket</t>
  </si>
  <si>
    <t>Provides packet processing capabilities for Go</t>
  </si>
  <si>
    <t>google/gopacket</t>
  </si>
  <si>
    <t>raft</t>
  </si>
  <si>
    <t>Golang implementation of the Raft consensus protocol</t>
  </si>
  <si>
    <t>hashicorp/raft</t>
  </si>
  <si>
    <t>quic-go</t>
  </si>
  <si>
    <t>A QUIC implementation in pure go</t>
  </si>
  <si>
    <t>lucas-clemente/quic-go</t>
  </si>
  <si>
    <t>pg</t>
  </si>
  <si>
    <t>Golang ORM with focus on PostgreSQL features and performance</t>
  </si>
  <si>
    <t>go-pg/pg</t>
  </si>
  <si>
    <t>Protocol Buffers for Go with Gadgets</t>
  </si>
  <si>
    <t>gogo/protobuf</t>
  </si>
  <si>
    <t>duplicacy</t>
  </si>
  <si>
    <t>A new generation cloud backup tool</t>
  </si>
  <si>
    <t>gilbertchen/duplicacy</t>
  </si>
  <si>
    <t>go-cache</t>
  </si>
  <si>
    <t>An in-memory key:value store/cache (similar to Memcached) library for Go, suitable for single-machine applications.</t>
  </si>
  <si>
    <t>patrickmn/go-cache</t>
  </si>
  <si>
    <t>toml</t>
  </si>
  <si>
    <t>TOML parser for Golang with reflection.</t>
  </si>
  <si>
    <t>BurntSushi/toml</t>
  </si>
  <si>
    <t>graphql-go</t>
  </si>
  <si>
    <t>GraphQL server with a focus on ease of use</t>
  </si>
  <si>
    <t>graph-gophers/graphql-go</t>
  </si>
  <si>
    <t>gorgonia</t>
  </si>
  <si>
    <t>Gorgonia is a library that helps facilitate machine learning in Go.</t>
  </si>
  <si>
    <t>gorgonia/gorgonia</t>
  </si>
  <si>
    <t>mongo-go-driver</t>
  </si>
  <si>
    <t>The Go driver for MongoDB</t>
  </si>
  <si>
    <t>mongodb/mongo-go-driver</t>
  </si>
  <si>
    <t>go-astilectron</t>
  </si>
  <si>
    <t>Build cross platform GUI apps with GO and HTML/JS/CSS (powered by Electron)</t>
  </si>
  <si>
    <t>asticode/go-astilectron</t>
  </si>
  <si>
    <t>fleet</t>
  </si>
  <si>
    <t>fleet ties together systemd and etcd into a distributed init system</t>
  </si>
  <si>
    <t>coreos/fleet</t>
  </si>
  <si>
    <t>imaginary</t>
  </si>
  <si>
    <t>Fast, simple, scalable HTTP microservice for high-level image processing with first-class Docker support</t>
  </si>
  <si>
    <t>h2non/imaginary</t>
  </si>
  <si>
    <t>ln</t>
  </si>
  <si>
    <t>3D line art engine.</t>
  </si>
  <si>
    <t>fogleman/ln</t>
  </si>
  <si>
    <t>glow</t>
  </si>
  <si>
    <t>Glow is an easy-to-use distributed computation system written in Go, similar to Hadoop Map Reduce, Spark, Flink, Storm, etc. I am also working on another similar pure Go system, https://github.com/chrislusf/gleam , which is more flexible and more performant.</t>
  </si>
  <si>
    <t>chrislusf/glow</t>
  </si>
  <si>
    <t>kingpin</t>
  </si>
  <si>
    <t>A Go (golang) command line and flag parser</t>
  </si>
  <si>
    <t>alecthomas/kingpin</t>
  </si>
  <si>
    <t>goreporter</t>
  </si>
  <si>
    <t>A Golang tool that does static analysis, unit testing, code review and generate code quality report.</t>
  </si>
  <si>
    <t>360EntSecGroup-Skylar/goreporter</t>
  </si>
  <si>
    <t>mock</t>
  </si>
  <si>
    <t>GoMock is a mocking framework for the Go programming language.</t>
  </si>
  <si>
    <t>golang/mock</t>
  </si>
  <si>
    <t>buntdb</t>
  </si>
  <si>
    <t>BuntDB is an embeddable, in-memory key/value database for Go with custom indexing and geospatial support</t>
  </si>
  <si>
    <t>tidwall/buntdb</t>
  </si>
  <si>
    <t>tiedot</t>
  </si>
  <si>
    <t>Your NoSQL database powered by Golang</t>
  </si>
  <si>
    <t>HouzuoGuo/tiedot</t>
  </si>
  <si>
    <t>pipe</t>
  </si>
  <si>
    <t>🎷 一款小而美的博客平台，专为程序员设计。https://hacpai.com/tag/pipe</t>
  </si>
  <si>
    <t>b3log/pipe</t>
  </si>
  <si>
    <t>go-metrics</t>
  </si>
  <si>
    <t>Go port of Coda Hale's Metrics library</t>
  </si>
  <si>
    <t>rcrowley/go-metrics</t>
  </si>
  <si>
    <t>imaging</t>
  </si>
  <si>
    <t>Imaging is a simple image processing package for Go</t>
  </si>
  <si>
    <t>disintegration/imaging</t>
  </si>
  <si>
    <t>migrate</t>
  </si>
  <si>
    <t>Database migrations. CLI and Golang library.</t>
  </si>
  <si>
    <t>mattes/migrate</t>
  </si>
  <si>
    <t>gopm</t>
  </si>
  <si>
    <t>Go Package Manager (gopm) is a package manager and build tool for Go.</t>
  </si>
  <si>
    <t>gpmgo/gopm</t>
  </si>
  <si>
    <t>go-nats</t>
  </si>
  <si>
    <t>Golang client for NATS, the cloud native messaging system.</t>
  </si>
  <si>
    <t>nats-io/go-nats</t>
  </si>
  <si>
    <t>envconfig</t>
  </si>
  <si>
    <t>Golang library for managing configuration data from environment variables</t>
  </si>
  <si>
    <t>kelseyhightower/envconfig</t>
  </si>
  <si>
    <t>pixel</t>
  </si>
  <si>
    <t>A hand-crafted 2D game library in Go</t>
  </si>
  <si>
    <t>faiface/pixel</t>
  </si>
  <si>
    <t>oauth2</t>
  </si>
  <si>
    <t>Go OAuth2</t>
  </si>
  <si>
    <t>golang/oauth2</t>
  </si>
  <si>
    <t>slack</t>
  </si>
  <si>
    <t>Slack API in Go</t>
  </si>
  <si>
    <t>nlopes/slack</t>
  </si>
  <si>
    <t>glog</t>
  </si>
  <si>
    <t>Leveled execution logs for Go</t>
  </si>
  <si>
    <t>golang/glog</t>
  </si>
  <si>
    <t>gorequest</t>
  </si>
  <si>
    <t>GoRequest -- Simplified HTTP client ( inspired by nodejs SuperAgent )</t>
  </si>
  <si>
    <t>parnurzeal/gorequest</t>
  </si>
  <si>
    <t>archiver</t>
  </si>
  <si>
    <t>Easily create and extract .zip, .tar, .tar.gz, .tar.bz2, .tar.xz, .tar.lz4, .tar.sz, and .rar (extract-only) files with Go</t>
  </si>
  <si>
    <t>mholt/archiver</t>
  </si>
  <si>
    <t>goworker</t>
  </si>
  <si>
    <t>goworker is a Go-based background worker that runs 10 to 100,000* times faster than Ruby-based workers.</t>
  </si>
  <si>
    <t>benmanns/goworker</t>
  </si>
  <si>
    <t>mapstructure</t>
  </si>
  <si>
    <t>Go library for decoding generic map values into native Go structures.</t>
  </si>
  <si>
    <t>mitchellh/mapstructure</t>
  </si>
  <si>
    <t>gocv</t>
  </si>
  <si>
    <t>Go package for computer vision using OpenCV 4 and beyond.</t>
  </si>
  <si>
    <t>hybridgroup/gocv</t>
  </si>
  <si>
    <t>go-prompt</t>
  </si>
  <si>
    <t>Building powerful interactive prompts in Go, inspired by python-prompt-toolkit.</t>
  </si>
  <si>
    <t>c-bata/go-prompt</t>
  </si>
  <si>
    <t>mylg</t>
  </si>
  <si>
    <t>Network Diagnostic Tool</t>
  </si>
  <si>
    <t>mehrdadrad/mylg</t>
  </si>
  <si>
    <t>go-mysql-elasticsearch</t>
  </si>
  <si>
    <t>Sync MySQL data into elasticsearch</t>
  </si>
  <si>
    <t>siddontang/go-mysql-elasticsearch</t>
  </si>
  <si>
    <t>utron</t>
  </si>
  <si>
    <t>A lightweight MVC framework for Go(Golang)</t>
  </si>
  <si>
    <t>gernest/utron</t>
  </si>
  <si>
    <t>goth</t>
  </si>
  <si>
    <t>Package goth provides a simple, clean, and idiomatic way to write authentication packages for Go web applications.</t>
  </si>
  <si>
    <t>markbates/goth</t>
  </si>
  <si>
    <t>squirrel</t>
  </si>
  <si>
    <t>Fluent SQL generation for golang</t>
  </si>
  <si>
    <t>Masterminds/squirrel</t>
  </si>
  <si>
    <t>resize</t>
  </si>
  <si>
    <t>Pure golang image resizing</t>
  </si>
  <si>
    <t>nfnt/resize</t>
  </si>
  <si>
    <t>now</t>
  </si>
  <si>
    <t>Now is a time toolkit for golang</t>
  </si>
  <si>
    <t>jinzhu/now</t>
  </si>
  <si>
    <t>sqlboiler</t>
  </si>
  <si>
    <t>Generate a Go ORM tailored to your database schema.</t>
  </si>
  <si>
    <t>volatiletech/sqlboiler</t>
  </si>
  <si>
    <t>afero</t>
  </si>
  <si>
    <t>A FileSystem Abstraction System for Go</t>
  </si>
  <si>
    <t>spf13/afero</t>
  </si>
  <si>
    <t>xo</t>
  </si>
  <si>
    <t>Command line tool to generate idiomatic Go code for SQL databases supporting PostgreSQL, MySQL, SQLite, Oracle, and Microsoft SQL Server</t>
  </si>
  <si>
    <t>xo/xo</t>
  </si>
  <si>
    <t>goboy</t>
  </si>
  <si>
    <t>Multi-platform Nintendo Game Boy Color emulator written in Go</t>
  </si>
  <si>
    <t>Humpheh/goboy</t>
  </si>
  <si>
    <t>kcp-go</t>
  </si>
  <si>
    <t>A Production-Grade Reliable-UDP Library for golang</t>
  </si>
  <si>
    <t>xtaci/kcp-go</t>
  </si>
  <si>
    <t>prest</t>
  </si>
  <si>
    <t>pREST is a way to serve a RESTful API from any databases written in Go</t>
  </si>
  <si>
    <t>prest/prest</t>
  </si>
  <si>
    <t>bigcache</t>
  </si>
  <si>
    <t>Efficient cache for gigabytes of data written in Go.</t>
  </si>
  <si>
    <t>allegro/bigcache</t>
  </si>
  <si>
    <t>golang-migrate/migrate</t>
  </si>
  <si>
    <t>apns2</t>
  </si>
  <si>
    <t>⚡ HTTP/2 Apple Push Notification Service (APNs) push provider for Go — Send push notifications to iOS, tvOS, Safari and OSX apps, using the APNs HTTP/2 protocol.</t>
  </si>
  <si>
    <t>sideshow/apns2</t>
  </si>
  <si>
    <t>prose</t>
  </si>
  <si>
    <t>:book: A Golang library for text processing, including tokenization, part-of-speech tagging, and named-entity extraction.</t>
  </si>
  <si>
    <t>jdkato/prose</t>
  </si>
  <si>
    <t>bild</t>
  </si>
  <si>
    <t>A collection of parallel image processing algorithms in pure Go</t>
  </si>
  <si>
    <t>anthonynsimon/bild</t>
  </si>
  <si>
    <t>gojson</t>
  </si>
  <si>
    <t>Automatically generate Go (golang) struct definitions from example JSON</t>
  </si>
  <si>
    <t>ChimeraCoder/gojson</t>
  </si>
  <si>
    <t>gotests</t>
  </si>
  <si>
    <t>Generate Go tests from your source code.</t>
  </si>
  <si>
    <t>cweill/gotests</t>
  </si>
  <si>
    <t>sup</t>
  </si>
  <si>
    <t>Super simple deployment tool - think of it like 'make' for a network of servers</t>
  </si>
  <si>
    <t>pressly/sup</t>
  </si>
  <si>
    <t>gleam</t>
  </si>
  <si>
    <t>Fast, efficient, and scalable distributed map/reduce system, DAG execution, in memory or on disk, written in pure Go, runs standalone or distributedly.</t>
  </si>
  <si>
    <t>chrislusf/gleam</t>
  </si>
  <si>
    <t>statik</t>
  </si>
  <si>
    <t>Embed files into a Go executable</t>
  </si>
  <si>
    <t>rakyll/statik</t>
  </si>
  <si>
    <t>zerolog</t>
  </si>
  <si>
    <t>Zero Allocation JSON Logger</t>
  </si>
  <si>
    <t>rs/zerolog</t>
  </si>
  <si>
    <t>qml</t>
  </si>
  <si>
    <t>QML support for the Go language</t>
  </si>
  <si>
    <t>go-qml/qml</t>
  </si>
  <si>
    <t>godotenv</t>
  </si>
  <si>
    <t>A Go port of Ruby's dotenv library (Loads environment variables from `.env`.)</t>
  </si>
  <si>
    <t>joho/godotenv</t>
  </si>
  <si>
    <t>panicparse</t>
  </si>
  <si>
    <t>Crash your app in style (Golang)</t>
  </si>
  <si>
    <t>maruel/panicparse</t>
  </si>
  <si>
    <t>authboss</t>
  </si>
  <si>
    <t>The boss of http auth.</t>
  </si>
  <si>
    <t>volatiletech/authboss</t>
  </si>
  <si>
    <t>google-api-go-client</t>
  </si>
  <si>
    <t>Auto-generated Google APIs for Go.</t>
  </si>
  <si>
    <t>googleapis/google-api-go-client</t>
  </si>
  <si>
    <t>packr</t>
  </si>
  <si>
    <t>The simple and easy way to embed static files into Go binaries.</t>
  </si>
  <si>
    <t>gobuffalo/packr</t>
  </si>
  <si>
    <t>sh</t>
  </si>
  <si>
    <t>A shell parser, formatter, and interpreter (POSIX/Bash/mksh)</t>
  </si>
  <si>
    <t>mvdan/sh</t>
  </si>
  <si>
    <t>gopush-cluster</t>
  </si>
  <si>
    <t>Golang push server cluster</t>
  </si>
  <si>
    <t>Terry-Mao/gopush-cluster</t>
  </si>
  <si>
    <t>snap</t>
  </si>
  <si>
    <t>The open telemetry framework</t>
  </si>
  <si>
    <t>intelsdi-x/snap</t>
  </si>
  <si>
    <t>benthos</t>
  </si>
  <si>
    <t>A stream processor for dull stuff written in Go</t>
  </si>
  <si>
    <t>Jeffail/benthos</t>
  </si>
  <si>
    <t>go-callvis</t>
  </si>
  <si>
    <t>Visualize call graph of a Go program using dot format.</t>
  </si>
  <si>
    <t>TrueFurby/go-callvis</t>
  </si>
  <si>
    <t>go-humanize</t>
  </si>
  <si>
    <t>Go Humans! (formatters for units to human friendly sizes)</t>
  </si>
  <si>
    <t>dustin/go-humanize</t>
  </si>
  <si>
    <t>task</t>
  </si>
  <si>
    <t>A task runner / simpler Make alternative written in Go</t>
  </si>
  <si>
    <t>go-task/task</t>
  </si>
  <si>
    <t>gg</t>
  </si>
  <si>
    <t>Go Graphics - 2D rendering in Go with a simple API.</t>
  </si>
  <si>
    <t>fogleman/gg</t>
  </si>
  <si>
    <t>alice</t>
  </si>
  <si>
    <t>Painless middleware chaining for Go</t>
  </si>
  <si>
    <t>justinas/alice</t>
  </si>
  <si>
    <t>circuit</t>
  </si>
  <si>
    <t>Circuit: Dynamic cloud orchestration http://gocircuit.org</t>
  </si>
  <si>
    <t>gocircuit/circuit</t>
  </si>
  <si>
    <t>db</t>
  </si>
  <si>
    <t>Productive data access layer for Go.</t>
  </si>
  <si>
    <t>upper/db</t>
  </si>
  <si>
    <t>emitter</t>
  </si>
  <si>
    <t>High performance, distributed and low latency publish-subscribe platform.</t>
  </si>
  <si>
    <t>emitter-io/emitter</t>
  </si>
  <si>
    <t>hystrix-go</t>
  </si>
  <si>
    <t>Netflix's Hystrix latency and fault tolerance library, for Go</t>
  </si>
  <si>
    <t>afex/hystrix-go</t>
  </si>
  <si>
    <t>pgx</t>
  </si>
  <si>
    <t>PostgreSQL driver and toolkit for Go</t>
  </si>
  <si>
    <t>jackc/pgx</t>
  </si>
  <si>
    <t>gophers</t>
  </si>
  <si>
    <t>Gopher Artwork by Ashley McNamara</t>
  </si>
  <si>
    <t>ashleymcnamara/gophers</t>
  </si>
  <si>
    <t>pt</t>
  </si>
  <si>
    <t>A path tracer written in Go.</t>
  </si>
  <si>
    <t>fogleman/pt</t>
  </si>
  <si>
    <t>minify</t>
  </si>
  <si>
    <t>Go minifiers for web formats</t>
  </si>
  <si>
    <t>tdewolff/minify</t>
  </si>
  <si>
    <t>go-linq</t>
  </si>
  <si>
    <t>.NET LINQ capabilities in Go</t>
  </si>
  <si>
    <t>ahmetb/go-linq</t>
  </si>
  <si>
    <t>aptly</t>
  </si>
  <si>
    <t>aptly - Debian repository management tool</t>
  </si>
  <si>
    <t>aptly-dev/aptly</t>
  </si>
  <si>
    <t>lgo</t>
  </si>
  <si>
    <t>Interactive Go programming with Jupyter</t>
  </si>
  <si>
    <t>yunabe/lgo</t>
  </si>
  <si>
    <t>acme</t>
  </si>
  <si>
    <t>:lock: acmetool, an automatic certificate acquisition tool for ACME (Let's Encrypt)</t>
  </si>
  <si>
    <t>hlandau/acme</t>
  </si>
  <si>
    <t>go-mysql</t>
  </si>
  <si>
    <t>a powerful mysql toolset with Go</t>
  </si>
  <si>
    <t>siddontang/go-mysql</t>
  </si>
  <si>
    <t>cameradar</t>
  </si>
  <si>
    <t>Cameradar hacks its way into RTSP videosurveillance cameras</t>
  </si>
  <si>
    <t>Ullaakut/cameradar</t>
  </si>
  <si>
    <t>resty</t>
  </si>
  <si>
    <t>Simple HTTP and REST client library for Go</t>
  </si>
  <si>
    <t>go-resty/resty</t>
  </si>
  <si>
    <t>google-cloud-go</t>
  </si>
  <si>
    <t>Google Cloud Client Libraries for Go.</t>
  </si>
  <si>
    <t>googleapis/google-cloud-go</t>
  </si>
  <si>
    <t>ebiten</t>
  </si>
  <si>
    <t>A dead simple 2D game library in Go</t>
  </si>
  <si>
    <t>hajimehoshi/ebiten</t>
  </si>
  <si>
    <t>goxc</t>
  </si>
  <si>
    <t>a build tool for Go, with a focus on cross-compiling, packaging and deployment</t>
  </si>
  <si>
    <t>laher/goxc</t>
  </si>
  <si>
    <t>gobgp</t>
  </si>
  <si>
    <t>BGP implemented in the Go Programming Language</t>
  </si>
  <si>
    <t>osrg/gobgp</t>
  </si>
  <si>
    <t>go-lua</t>
  </si>
  <si>
    <t>A Lua VM in Go</t>
  </si>
  <si>
    <t>Shopify/go-lua</t>
  </si>
  <si>
    <t>fac</t>
  </si>
  <si>
    <t>Easy-to-use CUI for fixing git conflicts</t>
  </si>
  <si>
    <t>mkchoi212/fac</t>
  </si>
  <si>
    <t>go.rice</t>
  </si>
  <si>
    <t>go.rice is a Go package that makes working with resources such as html,js,css,images,templates, etc very easy.</t>
  </si>
  <si>
    <t>GeertJohan/go.rice</t>
  </si>
  <si>
    <t>bombardier</t>
  </si>
  <si>
    <t>Fast cross-platform HTTP benchmarking tool written in Go</t>
  </si>
  <si>
    <t>codesenberg/bombardier</t>
  </si>
  <si>
    <t>algernon</t>
  </si>
  <si>
    <t>:tophat: Small self-contained pure-Go web server with Lua, Markdown, HTTP/2, QUIC, Redis and PostgreSQL support</t>
  </si>
  <si>
    <t>xyproto/algernon</t>
  </si>
  <si>
    <t>mangos-v1</t>
  </si>
  <si>
    <t>The pure golang implementation of nanomsg (version 1, frozen)</t>
  </si>
  <si>
    <t>nanomsg/mangos-v1</t>
  </si>
  <si>
    <t>webrtc</t>
  </si>
  <si>
    <t>Pure Go implementation of the WebRTC API</t>
  </si>
  <si>
    <t>pion/webrtc</t>
  </si>
  <si>
    <t>hermes</t>
  </si>
  <si>
    <t>Golang package that generates clean, responsive HTML e-mails for sending transactional mail</t>
  </si>
  <si>
    <t>matcornic/hermes</t>
  </si>
  <si>
    <t>osin</t>
  </si>
  <si>
    <t>Golang OAuth2 server library</t>
  </si>
  <si>
    <t>openshift/osin</t>
  </si>
  <si>
    <t>mgo</t>
  </si>
  <si>
    <t>The MongoDB driver for Go</t>
  </si>
  <si>
    <t>globalsign/mgo</t>
  </si>
  <si>
    <t>ants</t>
  </si>
  <si>
    <t>🐜⚡️A high-performance goroutine pool for Go, inspired by fasthttp.</t>
  </si>
  <si>
    <t>panjf2000/ants</t>
  </si>
  <si>
    <t>Free gophers</t>
  </si>
  <si>
    <t>egonelbre/gophers</t>
  </si>
  <si>
    <t>go-plus</t>
  </si>
  <si>
    <t>An Enhanced Go Experience For The Atom Editor</t>
  </si>
  <si>
    <t>joefitzgerald/go-plus</t>
  </si>
  <si>
    <t>telegram-bot-api</t>
  </si>
  <si>
    <t>Golang bindings for the Telegram Bot API</t>
  </si>
  <si>
    <t>go-telegram-bot-api/telegram-bot-api</t>
  </si>
  <si>
    <t>krakend</t>
  </si>
  <si>
    <t>Ultra performant API Gateway with middlewares</t>
  </si>
  <si>
    <t>devopsfaith/krakend</t>
  </si>
  <si>
    <t>go-sqlmock</t>
  </si>
  <si>
    <t>Sql mock driver for golang to test database interactions</t>
  </si>
  <si>
    <t>DATA-DOG/go-sqlmock</t>
  </si>
  <si>
    <t>rethinkdb-go</t>
  </si>
  <si>
    <t>Go language driver for RethinkDB</t>
  </si>
  <si>
    <t>rethinkdb/rethinkdb-go</t>
  </si>
  <si>
    <t>mmake</t>
  </si>
  <si>
    <t>Modern Make</t>
  </si>
  <si>
    <t>tj/mmake</t>
  </si>
  <si>
    <t>pongo2</t>
  </si>
  <si>
    <t>Django-syntax like template-engine for Go</t>
  </si>
  <si>
    <t>flosch/pongo2</t>
  </si>
  <si>
    <t>decimal</t>
  </si>
  <si>
    <t>Arbitrary-precision fixed-point decimal numbers in go</t>
  </si>
  <si>
    <t>shopspring/decimal</t>
  </si>
  <si>
    <t>go-flags</t>
  </si>
  <si>
    <t>go command line option parser</t>
  </si>
  <si>
    <t>jessevdk/go-flags</t>
  </si>
  <si>
    <t>tail</t>
  </si>
  <si>
    <t>Go package for reading from continously updated files (tail -f)</t>
  </si>
  <si>
    <t>hpcloud/tail</t>
  </si>
  <si>
    <t>ini</t>
  </si>
  <si>
    <t>Package ini provides INI file read and write functionality in Go.</t>
  </si>
  <si>
    <t>go-ini/ini</t>
  </si>
  <si>
    <t>borg</t>
  </si>
  <si>
    <t>Search and save shell snippets without leaving your terminal</t>
  </si>
  <si>
    <t>ok-borg/borg</t>
  </si>
  <si>
    <t>goqt</t>
  </si>
  <si>
    <t>Golang bindings to the Qt cross-platform application framework.</t>
  </si>
  <si>
    <t>visualfc/goqt</t>
  </si>
  <si>
    <t>melody</t>
  </si>
  <si>
    <t>:notes: Minimalist websocket framework for Go</t>
  </si>
  <si>
    <t>olahol/melody</t>
  </si>
  <si>
    <t>go-nsq</t>
  </si>
  <si>
    <t>The official Go package for NSQ</t>
  </si>
  <si>
    <t>nsqio/go-nsq</t>
  </si>
  <si>
    <t>web</t>
  </si>
  <si>
    <t>Go Router + Middleware. Your Contexts.</t>
  </si>
  <si>
    <t>gocraft/web</t>
  </si>
  <si>
    <t>go-sciter</t>
  </si>
  <si>
    <t>Golang bindings of Sciter: the Embeddable HTML/CSS/script engine for modern UI development</t>
  </si>
  <si>
    <t>sciter-sdk/go-sciter</t>
  </si>
  <si>
    <t>hoverfly</t>
  </si>
  <si>
    <t>Lightweight service virtualization/API simulation tool for developers and testers</t>
  </si>
  <si>
    <t>SpectoLabs/hoverfly</t>
  </si>
  <si>
    <t>gom</t>
  </si>
  <si>
    <t>Go Manager - bundle for go</t>
  </si>
  <si>
    <t>mattn/gom</t>
  </si>
  <si>
    <t>grequests</t>
  </si>
  <si>
    <t>A Go "clone" of the great and famous Requests library</t>
  </si>
  <si>
    <t>levigross/grequests</t>
  </si>
  <si>
    <t>free-gophers-pack</t>
  </si>
  <si>
    <t>✨ This pack of 100+ gopher pictures and elements will help you to build own design of almost anything related to Go Programming Language: presentations, posts in blogs or social media, courses, videos and many, many more.</t>
  </si>
  <si>
    <t>MariaLetta/free-gophers-pack</t>
  </si>
  <si>
    <t>readline</t>
  </si>
  <si>
    <t>Readline is a pure go(golang) implementation for GNU-Readline kind library</t>
  </si>
  <si>
    <t>chzyer/readline</t>
  </si>
  <si>
    <t>kala</t>
  </si>
  <si>
    <t>Modern Job Scheduler</t>
  </si>
  <si>
    <t>ajvb/kala</t>
  </si>
  <si>
    <t>streamtools</t>
  </si>
  <si>
    <t>tools for working with streams of data</t>
  </si>
  <si>
    <t>nytlabs/streamtools</t>
  </si>
  <si>
    <t>sql-migrate</t>
  </si>
  <si>
    <t>SQL schema migration tool for Go.</t>
  </si>
  <si>
    <t>rubenv/sql-migrate</t>
  </si>
  <si>
    <t>git2go</t>
  </si>
  <si>
    <t>Git to Go; bindings for libgit2. Like McDonald's but tastier.</t>
  </si>
  <si>
    <t>libgit2/git2go</t>
  </si>
  <si>
    <t>seelog</t>
  </si>
  <si>
    <t>Seelog is a native Go logging library that provides flexible asynchronous dispatching, filtering, and formatting.</t>
  </si>
  <si>
    <t>cihub/seelog</t>
  </si>
  <si>
    <t>quicktemplate</t>
  </si>
  <si>
    <t>Fast, powerful, yet easy to use template engine for Go. Optimized for speed, zero memory allocations in hot paths. Up to 20x faster than html/template</t>
  </si>
  <si>
    <t>valyala/quicktemplate</t>
  </si>
  <si>
    <t>storm</t>
  </si>
  <si>
    <t>Simple and powerful toolkit for BoltDB</t>
  </si>
  <si>
    <t>asdine/storm</t>
  </si>
  <si>
    <t>stats</t>
  </si>
  <si>
    <t>A well tested and comprehensive Golang statistics library package with no dependencies.</t>
  </si>
  <si>
    <t>montanaflynn/stats</t>
  </si>
  <si>
    <t>errcheck</t>
  </si>
  <si>
    <t>errcheck checks that you checked errors.</t>
  </si>
  <si>
    <t>kisielk/errcheck</t>
  </si>
  <si>
    <t>mercure</t>
  </si>
  <si>
    <t>Server-sent live updates: protocol and reference implementation</t>
  </si>
  <si>
    <t>dunglas/mercure</t>
  </si>
  <si>
    <t>svgo</t>
  </si>
  <si>
    <t>Go Language Library for SVG generation</t>
  </si>
  <si>
    <t>ajstarks/svgo</t>
  </si>
  <si>
    <t>gosl</t>
  </si>
  <si>
    <t>Go scientific library for machine learning, linear algebra, FFT, Bessel, elliptic, orthogonal polys, geometry, NURBS, numerical quadrature, 3D transfinite interpolation, random numbers, Mersenne twister, probability distributions, optimisation, graph, plotting, visualisation, tensors, eigenvalues, differential equations, more.</t>
  </si>
  <si>
    <t>cpmech/gosl</t>
  </si>
  <si>
    <t>uiprogress</t>
  </si>
  <si>
    <t>A go library to render progress bars in terminal applications</t>
  </si>
  <si>
    <t>gosuri/uiprogress</t>
  </si>
  <si>
    <t>lumberjack</t>
  </si>
  <si>
    <t>lumberjack is a log rolling package for Go</t>
  </si>
  <si>
    <t>natefinch/lumberjack</t>
  </si>
  <si>
    <t>mole</t>
  </si>
  <si>
    <t>cli app to create ssh tunnels</t>
  </si>
  <si>
    <t>davrodpin/mole</t>
  </si>
  <si>
    <t>go-http-routing-benchmark</t>
  </si>
  <si>
    <t>Go HTTP request router and web framework benchmark</t>
  </si>
  <si>
    <t>julienschmidt/go-http-routing-benchmark</t>
  </si>
  <si>
    <t>render</t>
  </si>
  <si>
    <t>Go package for easily rendering JSON, XML, binary data, and HTML templates responses.</t>
  </si>
  <si>
    <t>unrolled/render</t>
  </si>
  <si>
    <t>smartcrop</t>
  </si>
  <si>
    <t>smartcrop finds good image crops for arbitrary crop sizes</t>
  </si>
  <si>
    <t>muesli/smartcrop</t>
  </si>
  <si>
    <t>coop</t>
  </si>
  <si>
    <t>Cheat sheet for some of the common concurrent flows in Go</t>
  </si>
  <si>
    <t>rakyll/coop</t>
  </si>
  <si>
    <t>gosms</t>
  </si>
  <si>
    <t>:mailbox_closed: Your own local SMS gateway in Go</t>
  </si>
  <si>
    <t>haxpax/gosms</t>
  </si>
  <si>
    <t>bone</t>
  </si>
  <si>
    <t>Lightning Fast HTTP Multiplexer</t>
  </si>
  <si>
    <t>go-zoo/bone</t>
  </si>
  <si>
    <t>gpm</t>
  </si>
  <si>
    <t>Barebones dependency manager for Go.</t>
  </si>
  <si>
    <t>pote/gpm</t>
  </si>
  <si>
    <t>tunny</t>
  </si>
  <si>
    <t>A goroutine pool for Go</t>
  </si>
  <si>
    <t>Jeffail/tunny</t>
  </si>
  <si>
    <t>tengo</t>
  </si>
  <si>
    <t>A fast script language for Go</t>
  </si>
  <si>
    <t>d5/tengo</t>
  </si>
  <si>
    <t>go-oauth2-server</t>
  </si>
  <si>
    <t>A standalone, specification-compliant,  OAuth2 server written in Golang.</t>
  </si>
  <si>
    <t>RichardKnop/go-oauth2-server</t>
  </si>
  <si>
    <t>jennifer</t>
  </si>
  <si>
    <t>Jennifer is a code generator for Go</t>
  </si>
  <si>
    <t>dave/jennifer</t>
  </si>
  <si>
    <t>gift</t>
  </si>
  <si>
    <t>Go Image Filtering Toolkit</t>
  </si>
  <si>
    <t>disintegration/gift</t>
  </si>
  <si>
    <t>bluemonday</t>
  </si>
  <si>
    <t>bluemonday: a fast golang HTML sanitizer (inspired by the OWASP Java HTML Sanitizer) to scrub user generated content of XSS</t>
  </si>
  <si>
    <t>microcosm-cc/bluemonday</t>
  </si>
  <si>
    <t>pat</t>
  </si>
  <si>
    <t>bmizerany/pat</t>
  </si>
  <si>
    <t>hero</t>
  </si>
  <si>
    <t>A handy, fast and powerful go template engine.</t>
  </si>
  <si>
    <t>shiyanhui/hero</t>
  </si>
  <si>
    <t>idiomatic codec and rpc lib for msgpack, cbor, json, etc. msgpack.org[Go]</t>
  </si>
  <si>
    <t>ugorji/go</t>
  </si>
  <si>
    <t>secure</t>
  </si>
  <si>
    <t>HTTP middleware for Go that facilitates some quick security wins.</t>
  </si>
  <si>
    <t>unrolled/secure</t>
  </si>
  <si>
    <t>tollbooth</t>
  </si>
  <si>
    <t>Simple middleware to rate-limit HTTP requests.</t>
  </si>
  <si>
    <t>didip/tollbooth</t>
  </si>
  <si>
    <t>plot</t>
  </si>
  <si>
    <t>A repository for plotting and visualizing data</t>
  </si>
  <si>
    <t>gonum/plot</t>
  </si>
  <si>
    <t>working-with-go</t>
  </si>
  <si>
    <t>A set of example golang code to start learning Go</t>
  </si>
  <si>
    <t>mkaz/working-with-go</t>
  </si>
  <si>
    <t>tfgo</t>
  </si>
  <si>
    <t>Tensorflow + Go, the gopher way</t>
  </si>
  <si>
    <t>galeone/tfgo</t>
  </si>
  <si>
    <t>inject</t>
  </si>
  <si>
    <t>Package inject provides a reflect based injector.</t>
  </si>
  <si>
    <t>facebookarchive/inject</t>
  </si>
  <si>
    <t>docopt.go</t>
  </si>
  <si>
    <t>A command-line arguments parser that will make you smile.</t>
  </si>
  <si>
    <t>docopt/docopt.go</t>
  </si>
  <si>
    <t>cors</t>
  </si>
  <si>
    <t>Go net/http configurable handler to handle CORS requests</t>
  </si>
  <si>
    <t>rs/cors</t>
  </si>
  <si>
    <t>terminal-table</t>
  </si>
  <si>
    <t>Ruby ASCII Table Generator, simple and feature rich.</t>
  </si>
  <si>
    <t>tj/terminal-table</t>
  </si>
  <si>
    <t>BoomFilters</t>
  </si>
  <si>
    <t>Probabilistic data structures for processing continuous, unbounded streams.</t>
  </si>
  <si>
    <t>tylertreat/BoomFilters</t>
  </si>
  <si>
    <t>go-sdl2</t>
  </si>
  <si>
    <t>SDL2 binding for Go</t>
  </si>
  <si>
    <t>veandco/go-sdl2</t>
  </si>
  <si>
    <t>statusok</t>
  </si>
  <si>
    <t>Monitor your Website and APIs from your Computer. Get Notified through Slack, E-mail when your server is down or response time is more than expected.</t>
  </si>
  <si>
    <t>sanathp/statusok</t>
  </si>
  <si>
    <t>uniqush-push</t>
  </si>
  <si>
    <t>Uniqush is a free and open source software system which provides a unified push service for server side notification to apps on mobile devices.</t>
  </si>
  <si>
    <t>uniqush/uniqush-push</t>
  </si>
  <si>
    <t>asciigraph</t>
  </si>
  <si>
    <t>Go package to make lightweight ASCII line graph ╭┈╯ in command line apps with no other dependencies.</t>
  </si>
  <si>
    <t>guptarohit/asciigraph</t>
  </si>
  <si>
    <t>httpexpect</t>
  </si>
  <si>
    <t>End-to-end HTTP and REST API testing for Go.</t>
  </si>
  <si>
    <t>gavv/httpexpect</t>
  </si>
  <si>
    <t>selenoid</t>
  </si>
  <si>
    <t>Selenium Hub successor running browsers within containers. Scalable, immutable, self hosted Selenium-Grid on any platform with single binary.</t>
  </si>
  <si>
    <t>aerokube/selenoid</t>
  </si>
  <si>
    <t>banshee</t>
  </si>
  <si>
    <t>Anomalies detection system for periodic metrics.</t>
  </si>
  <si>
    <t>eleme/banshee</t>
  </si>
  <si>
    <t>go-opencv</t>
  </si>
  <si>
    <t>Go bindings for OpenCV / 2.x API in gocv / 1.x API in opencv</t>
  </si>
  <si>
    <t>go-opencv/go-opencv</t>
  </si>
  <si>
    <t>go-jose</t>
  </si>
  <si>
    <t>An implementation of JOSE standards (JWE, JWS, JWT) in Go</t>
  </si>
  <si>
    <t>square/go-jose</t>
  </si>
  <si>
    <t>gofeed</t>
  </si>
  <si>
    <t>Parse RSS and Atom feeds in Go</t>
  </si>
  <si>
    <t>mmcdole/gofeed</t>
  </si>
  <si>
    <t>go-underscore</t>
  </si>
  <si>
    <t>Helpfully Functional Go -  A useful collection of Go utilities. Designed for programmer happiness.</t>
  </si>
  <si>
    <t>tobyhede/go-underscore</t>
  </si>
  <si>
    <t>golang-set</t>
  </si>
  <si>
    <t>A simple set type for the Go language. Also used by Docker, 1Password, Ethereum.</t>
  </si>
  <si>
    <t>deckarep/golang-set</t>
  </si>
  <si>
    <t>ssh</t>
  </si>
  <si>
    <t>Easy SSH servers in Golang</t>
  </si>
  <si>
    <t>gliderlabs/ssh</t>
  </si>
  <si>
    <t>email</t>
  </si>
  <si>
    <t>Robust and flexible email library for Go</t>
  </si>
  <si>
    <t>jordan-wright/email</t>
  </si>
  <si>
    <t>gonet</t>
  </si>
  <si>
    <t>A Game Server Skeleton in golang.</t>
  </si>
  <si>
    <t>xtaci/gonet</t>
  </si>
  <si>
    <t>flogo</t>
  </si>
  <si>
    <t>Project Flogo is an open source ecosystem of opinionated  event-driven capabilities to simplify building efficient &amp; modern serverless functions, microservices &amp; edge apps.</t>
  </si>
  <si>
    <t>TIBCOSoftware/flogo</t>
  </si>
  <si>
    <t>goworld</t>
  </si>
  <si>
    <t>Scalable Distributed Game Server Engine with Hot Swapping in Golang</t>
  </si>
  <si>
    <t>xiaonanln/goworld</t>
  </si>
  <si>
    <t>engo</t>
  </si>
  <si>
    <t>Engo is an open-source 2D game engine written in Go.</t>
  </si>
  <si>
    <t>EngoEngine/engo</t>
  </si>
  <si>
    <t>mc</t>
  </si>
  <si>
    <t>MinIO Client is a replacement for ls, cp, mkdir, diff and rsync commands for filesystems and object storage.</t>
  </si>
  <si>
    <t>minio/mc</t>
  </si>
  <si>
    <t>gen</t>
  </si>
  <si>
    <t>Type-driven code generation for Go</t>
  </si>
  <si>
    <t>clipperhouse/gen</t>
  </si>
  <si>
    <t>geopattern</t>
  </si>
  <si>
    <t>:triangular_ruler: Create beautiful generative image patterns from a string in golang.</t>
  </si>
  <si>
    <t>pravj/geopattern</t>
  </si>
  <si>
    <t>termloop</t>
  </si>
  <si>
    <t>Terminal-based game engine for Go, built on top of Termbox</t>
  </si>
  <si>
    <t>JoelOtter/termloop</t>
  </si>
  <si>
    <t>picfit</t>
  </si>
  <si>
    <t>An image resizing server written in Go</t>
  </si>
  <si>
    <t>thoas/picfit</t>
  </si>
  <si>
    <t>go-tigertonic</t>
  </si>
  <si>
    <t>A Go framework for building JSON web services inspired by Dropwizard</t>
  </si>
  <si>
    <t>rcrowley/go-tigertonic</t>
  </si>
  <si>
    <t>gse</t>
  </si>
  <si>
    <t>Go efficient text segmentation; support english, chinese, japanese and other. Go 语言高性能分词</t>
  </si>
  <si>
    <t>go-ego/gse</t>
  </si>
  <si>
    <t>gologin</t>
  </si>
  <si>
    <t>Go login handlers for authentication providers (OAuth1, OAuth2)</t>
  </si>
  <si>
    <t>dghubble/gologin</t>
  </si>
  <si>
    <t>goml</t>
  </si>
  <si>
    <t>On-line Machine Learning in Go (and so much more)</t>
  </si>
  <si>
    <t>cdipaolo/goml</t>
  </si>
  <si>
    <t>s3gof3r</t>
  </si>
  <si>
    <t>Fast, concurrent, streaming access to Amazon S3, including gof3r, a CLI. http://godoc.org/github.com/rlmcpherson/s3gof3r</t>
  </si>
  <si>
    <t>rlmcpherson/s3gof3r</t>
  </si>
  <si>
    <t>llgo</t>
  </si>
  <si>
    <t>LLVM-based compiler for Go</t>
  </si>
  <si>
    <t>go-llvm/llgo</t>
  </si>
  <si>
    <t>anaconda</t>
  </si>
  <si>
    <t>A Go client library for the Twitter 1.1 API</t>
  </si>
  <si>
    <t>ChimeraCoder/anaconda</t>
  </si>
  <si>
    <t>mustache</t>
  </si>
  <si>
    <t>The mustache template language in Go</t>
  </si>
  <si>
    <t>hoisie/mustache</t>
  </si>
  <si>
    <t>A Go library for implementing command-line interfaces.</t>
  </si>
  <si>
    <t>mitchellh/cli</t>
  </si>
  <si>
    <t>hprose-golang</t>
  </si>
  <si>
    <t>Hprose is a cross-language RPC. This project is Hprose 2.0 for Golang.</t>
  </si>
  <si>
    <t>hprose/hprose-golang</t>
  </si>
  <si>
    <t>ozzo-validation</t>
  </si>
  <si>
    <t>An idiomatic Go (golang) validation package. Supports configurable and extensible validation rules (validators) using normal language constructs instead of error-prone struct tags.</t>
  </si>
  <si>
    <t>go-ozzo/ozzo-validation</t>
  </si>
  <si>
    <t>go-mssqldb</t>
  </si>
  <si>
    <t>Microsoft SQL server driver written in go language</t>
  </si>
  <si>
    <t>denisenkom/go-mssqldb</t>
  </si>
  <si>
    <t>elastigo</t>
  </si>
  <si>
    <t>A Go (golang) based Elasticsearch client library.</t>
  </si>
  <si>
    <t>mattbaird/elastigo</t>
  </si>
  <si>
    <t>nosurf</t>
  </si>
  <si>
    <t>CSRF protection middleware for Go.</t>
  </si>
  <si>
    <t>justinas/nosurf</t>
  </si>
  <si>
    <t>go-web-framework-benchmark</t>
  </si>
  <si>
    <t>:zap: Go web framework benchmark</t>
  </si>
  <si>
    <t>smallnest/go-web-framework-benchmark</t>
  </si>
  <si>
    <t>heimdall</t>
  </si>
  <si>
    <t>An enhanced HTTP client for Go</t>
  </si>
  <si>
    <t>gojektech/heimdall</t>
  </si>
  <si>
    <t>memguard</t>
  </si>
  <si>
    <t>Easy and secure handling of sensitive data, in pure Go.</t>
  </si>
  <si>
    <t>awnumar/memguard</t>
  </si>
  <si>
    <t>imagick</t>
  </si>
  <si>
    <t>Go binding to ImageMagick's MagickWand C API</t>
  </si>
  <si>
    <t>gographics/imagick</t>
  </si>
  <si>
    <t>when</t>
  </si>
  <si>
    <t>A natural language date/time parser with pluggable rules</t>
  </si>
  <si>
    <t>olebedev/when</t>
  </si>
  <si>
    <t>profile</t>
  </si>
  <si>
    <t>Simple profiling for Go</t>
  </si>
  <si>
    <t>pkg/profile</t>
  </si>
  <si>
    <t>go-mode.el</t>
  </si>
  <si>
    <t>Emacs mode for the Go programming language</t>
  </si>
  <si>
    <t>dominikh/go-mode.el</t>
  </si>
  <si>
    <t>skynet</t>
  </si>
  <si>
    <t>Skynet 1M threads microbenchmark</t>
  </si>
  <si>
    <t>atemerev/skynet</t>
  </si>
  <si>
    <t>gcvis</t>
  </si>
  <si>
    <t>Visualise Go program GC trace data in real time</t>
  </si>
  <si>
    <t>davecheney/gcvis</t>
  </si>
  <si>
    <t>nano</t>
  </si>
  <si>
    <t>Lightweight, facility, high performance golang based game server framework</t>
  </si>
  <si>
    <t>lonng/nano</t>
  </si>
  <si>
    <t>filetype</t>
  </si>
  <si>
    <t>Small, dependency-free, fast Go package to infer file types based on the magic numbers signature</t>
  </si>
  <si>
    <t>h2non/filetype</t>
  </si>
  <si>
    <t>Go-Package-Store</t>
  </si>
  <si>
    <t>An app that displays updates for the Go packages in your GOPATH.</t>
  </si>
  <si>
    <t>shurcooL/Go-Package-Store</t>
  </si>
  <si>
    <t>stripe-go</t>
  </si>
  <si>
    <t>Go library for the Stripe API.</t>
  </si>
  <si>
    <t>stripe/stripe-go</t>
  </si>
  <si>
    <t>boilr</t>
  </si>
  <si>
    <t>:zap: boilerplate template manager that generates files or directories from template repositories</t>
  </si>
  <si>
    <t>tmrts/boilr</t>
  </si>
  <si>
    <t>genny</t>
  </si>
  <si>
    <t>Elegant generics for Go</t>
  </si>
  <si>
    <t>cheekybits/genny</t>
  </si>
  <si>
    <t>cache2go</t>
  </si>
  <si>
    <t>Concurrency-safe Go caching library with expiration capabilities and access counters</t>
  </si>
  <si>
    <t>muesli/cache2go</t>
  </si>
  <si>
    <t>telebot</t>
  </si>
  <si>
    <t>Telebot is a Telegram bot framework in Go.</t>
  </si>
  <si>
    <t>tucnak/telebot</t>
  </si>
  <si>
    <t>go-cmp</t>
  </si>
  <si>
    <t>Package for comparing Go values in tests</t>
  </si>
  <si>
    <t>google/go-cmp</t>
  </si>
  <si>
    <t>log15</t>
  </si>
  <si>
    <t>Structured, composable logging for Go</t>
  </si>
  <si>
    <t>inconshreveable/log15</t>
  </si>
  <si>
    <t>go-hardware</t>
  </si>
  <si>
    <t>A directory of hardware related libs, tools, and tutorials for Go</t>
  </si>
  <si>
    <t>rakyll/go-hardware</t>
  </si>
  <si>
    <t>gcli</t>
  </si>
  <si>
    <t>The easy way to build Golang command-line application.</t>
  </si>
  <si>
    <t>tcnksm/gcli</t>
  </si>
  <si>
    <t>anko</t>
  </si>
  <si>
    <t>Scriptable interpreter written in golang</t>
  </si>
  <si>
    <t>mattn/anko</t>
  </si>
  <si>
    <t>gorbac</t>
  </si>
  <si>
    <t>goRBAC provides a lightweight role-based access control (RBAC) implementation in Golang.</t>
  </si>
  <si>
    <t>mikespook/gorbac</t>
  </si>
  <si>
    <t>discordgo</t>
  </si>
  <si>
    <t>(Golang) Go bindings for Discord</t>
  </si>
  <si>
    <t>bwmarrin/discordgo</t>
  </si>
  <si>
    <t>dateparse</t>
  </si>
  <si>
    <t>GoLang Parse many date strings without knowing format in advance.</t>
  </si>
  <si>
    <t>araddon/dateparse</t>
  </si>
  <si>
    <t>go-python</t>
  </si>
  <si>
    <t>naive go bindings to the CPython C-API</t>
  </si>
  <si>
    <t>sbinet/go-python</t>
  </si>
  <si>
    <t>pdfcpu</t>
  </si>
  <si>
    <t>A PDF processor written in Go.</t>
  </si>
  <si>
    <t>hhrutter/pdfcpu</t>
  </si>
  <si>
    <t>geo</t>
  </si>
  <si>
    <t>S2 geometry library in Go</t>
  </si>
  <si>
    <t>golang/geo</t>
  </si>
  <si>
    <t>go-funk</t>
  </si>
  <si>
    <t>A modern Go utility library which provides helpers (map, find, contains, filter, ...)</t>
  </si>
  <si>
    <t>thoas/go-funk</t>
  </si>
  <si>
    <t>sling</t>
  </si>
  <si>
    <t>A Go HTTP client library for creating and sending API requests</t>
  </si>
  <si>
    <t>dghubble/sling</t>
  </si>
  <si>
    <t>amber</t>
  </si>
  <si>
    <t>Amber is an elegant templating engine for Go Programming Language, inspired from HAML and Jade</t>
  </si>
  <si>
    <t>eknkc/amber</t>
  </si>
  <si>
    <t>goclipse</t>
  </si>
  <si>
    <t>Eclipse IDE for the Go programming language:</t>
  </si>
  <si>
    <t>GoClipse/goclipse</t>
  </si>
  <si>
    <t>go_serialization_benchmarks</t>
  </si>
  <si>
    <t>Benchmarks of Go serialization methods</t>
  </si>
  <si>
    <t>alecthomas/go_serialization_benchmarks</t>
  </si>
  <si>
    <t>nutsdb</t>
  </si>
  <si>
    <t>A simple, fast, embeddable, persistent key/value store written in pure Go. It supports fully serializable transactions and many data structures such as  list, set, sorted set.</t>
  </si>
  <si>
    <t>xujiajun/nutsdb</t>
  </si>
  <si>
    <t>tango</t>
  </si>
  <si>
    <t>Micro &amp; pluggable web framework for Go</t>
  </si>
  <si>
    <t>lunny/tango</t>
  </si>
  <si>
    <t>gosseract</t>
  </si>
  <si>
    <t>Go package for OCR (Optical Character Recognition), by using Tesseract C++ library</t>
  </si>
  <si>
    <t>otiai10/gosseract</t>
  </si>
  <si>
    <t>gota</t>
  </si>
  <si>
    <t>Gota: DataFrames and data wrangling in Go (Golang)</t>
  </si>
  <si>
    <t>go-gota/gota</t>
  </si>
  <si>
    <t>water</t>
  </si>
  <si>
    <t>A simple TUN/TAP library written in native Go.</t>
  </si>
  <si>
    <t>songgao/water</t>
  </si>
  <si>
    <t>go-resiliency</t>
  </si>
  <si>
    <t>Resiliency patterns for golang</t>
  </si>
  <si>
    <t>eapache/go-resiliency</t>
  </si>
  <si>
    <t>gatt</t>
  </si>
  <si>
    <t>Gatt is a Go package for building Bluetooth Low Energy peripherals</t>
  </si>
  <si>
    <t>paypal/gatt</t>
  </si>
  <si>
    <t>gojsonq</t>
  </si>
  <si>
    <t>A simple Go package to Query over JSON/YAML/XML/CSV Data</t>
  </si>
  <si>
    <t>thedevsaddam/gojsonq</t>
  </si>
  <si>
    <t>goop</t>
  </si>
  <si>
    <t>A simple dependency manager for Go (golang), inspired by Bundler.</t>
  </si>
  <si>
    <t>petejkim/goop</t>
  </si>
  <si>
    <t>env</t>
  </si>
  <si>
    <t>Simple lib to parse envs to structs</t>
  </si>
  <si>
    <t>caarlos0/env</t>
  </si>
  <si>
    <t>uilive</t>
  </si>
  <si>
    <t>uilive is a go library for updating terminal output in realtime</t>
  </si>
  <si>
    <t>gosuri/uilive</t>
  </si>
  <si>
    <t>reform</t>
  </si>
  <si>
    <t>A better ORM for Go, based on non-empty interfaces and code generation.</t>
  </si>
  <si>
    <t>go-reform/reform</t>
  </si>
  <si>
    <t>gcache</t>
  </si>
  <si>
    <t>Cache library for golang. It supports expirable Cache, LFU, LRU and ARC.</t>
  </si>
  <si>
    <t>bluele/gcache</t>
  </si>
  <si>
    <t>loginsrv</t>
  </si>
  <si>
    <t>JWT login microservice with plugable backends such as OAuth2, Google, Github, htpasswd, osiam, ..</t>
  </si>
  <si>
    <t>tarent/loginsrv</t>
  </si>
  <si>
    <t>ace</t>
  </si>
  <si>
    <t>HTML template engine for Go</t>
  </si>
  <si>
    <t>yosssi/ace</t>
  </si>
  <si>
    <t>gvt</t>
  </si>
  <si>
    <t>gvt was a minimal go vendoring tool, based on gb-vendor. Today, you want to use modules instead.</t>
  </si>
  <si>
    <t>FiloSottile/gvt</t>
  </si>
  <si>
    <t>gojieba</t>
  </si>
  <si>
    <t>"结巴"中文分词的Golang版本</t>
  </si>
  <si>
    <t>yanyiwu/gojieba</t>
  </si>
  <si>
    <t>mergo</t>
  </si>
  <si>
    <t>Mergo: merging Go structs and maps since 2013.</t>
  </si>
  <si>
    <t>imdario/mergo</t>
  </si>
  <si>
    <t>zmq4</t>
  </si>
  <si>
    <t>A Go interface to ZeroMQ version 4</t>
  </si>
  <si>
    <t>pebbe/zmq4</t>
  </si>
  <si>
    <t>circuitbreaker</t>
  </si>
  <si>
    <t>Circuit Breakers in Go</t>
  </si>
  <si>
    <t>rubyist/circuitbreaker</t>
  </si>
  <si>
    <t>gollum</t>
  </si>
  <si>
    <t>An n:m message multiplexer written in Go</t>
  </si>
  <si>
    <t>trivago/gollum</t>
  </si>
  <si>
    <t>binding</t>
  </si>
  <si>
    <t>Reflectionless data binding for Go's net/http (not yet a stable 1.0, but not likely to change much either)</t>
  </si>
  <si>
    <t>mholt/binding</t>
  </si>
  <si>
    <t>facebook</t>
  </si>
  <si>
    <t>A Facebook Graph API SDK For Go.</t>
  </si>
  <si>
    <t>huandu/facebook</t>
  </si>
  <si>
    <t>CovenantSQL</t>
  </si>
  <si>
    <t>Decentralized, GDPR-compliant, Trusted, SQL database with Blockchain features</t>
  </si>
  <si>
    <t>CovenantSQL/CovenantSQL</t>
  </si>
  <si>
    <t>goji</t>
  </si>
  <si>
    <t>Goji is a minimalistic and flexible HTTP request multiplexer for Go (golang)</t>
  </si>
  <si>
    <t>goji/goji</t>
  </si>
  <si>
    <t>go-server-timing</t>
  </si>
  <si>
    <t>Go (golang) library for creating and consuming HTTP Server-Timing headers</t>
  </si>
  <si>
    <t>mitchellh/go-server-timing</t>
  </si>
  <si>
    <t>dig</t>
  </si>
  <si>
    <t>A reflection based dependency injection toolkit for Go.</t>
  </si>
  <si>
    <t>uber-go/dig</t>
  </si>
  <si>
    <t>postman</t>
  </si>
  <si>
    <t>Command-line utility for batch-sending email.</t>
  </si>
  <si>
    <t>zachlatta/postman</t>
  </si>
  <si>
    <t>bimg</t>
  </si>
  <si>
    <t>Small Go package for fast high-level image processing powered by libvips C library</t>
  </si>
  <si>
    <t>h2non/bimg</t>
  </si>
  <si>
    <t>scc</t>
  </si>
  <si>
    <t>Sloc, Cloc and Code: scc is a very fast accurate code counter with complexity calculations and COCOMO estimates written in pure Go</t>
  </si>
  <si>
    <t>boyter/scc</t>
  </si>
  <si>
    <t>interfacer</t>
  </si>
  <si>
    <t>A linter that suggests interface types</t>
  </si>
  <si>
    <t>mvdan/interfacer</t>
  </si>
  <si>
    <t>diskv</t>
  </si>
  <si>
    <t>A disk-backed key-value store.</t>
  </si>
  <si>
    <t>peterbourgon/diskv</t>
  </si>
  <si>
    <t>fider</t>
  </si>
  <si>
    <t>Open platform to collect and prioritize product feedback</t>
  </si>
  <si>
    <t>getfider/fider</t>
  </si>
  <si>
    <t>spinner</t>
  </si>
  <si>
    <t>Go (golang) package for providing a terminal spinner/progress indicator with options.</t>
  </si>
  <si>
    <t>briandowns/spinner</t>
  </si>
  <si>
    <t>gock</t>
  </si>
  <si>
    <t>Expressive HTTP traffic mocking and testing made easy in Go ༼ʘ̚ل͜ʘ̚༽</t>
  </si>
  <si>
    <t>h2non/gock</t>
  </si>
  <si>
    <t>fortio</t>
  </si>
  <si>
    <t>Fortio load testing library, command line tool, advanced echo server and web UI in go (golang). Allows to specify a set query-per-second load and record latency histograms and other useful stats.</t>
  </si>
  <si>
    <t>fortio/fortio</t>
  </si>
  <si>
    <t>moss</t>
  </si>
  <si>
    <t>moss - a simple, fast, ordered, persistable, key-val storage library for golang</t>
  </si>
  <si>
    <t>couchbase/moss</t>
  </si>
  <si>
    <t>community</t>
  </si>
  <si>
    <t>Open source Confluence alternative for internal &amp; external docs built with Golang + EmberJS</t>
  </si>
  <si>
    <t>documize/community</t>
  </si>
  <si>
    <t>goreq</t>
  </si>
  <si>
    <t>Minimal and simple request library for Go language</t>
  </si>
  <si>
    <t>franela/goreq</t>
  </si>
  <si>
    <t>log</t>
  </si>
  <si>
    <t>Structured logging package for Go.</t>
  </si>
  <si>
    <t>apex/log</t>
  </si>
  <si>
    <t>gtm</t>
  </si>
  <si>
    <t>Simple, seamless, lightweight time tracking for Git</t>
  </si>
  <si>
    <t>git-time-metric/gtm</t>
  </si>
  <si>
    <t>fasthttprouter</t>
  </si>
  <si>
    <t>A high performance fasthttp request router that scales well</t>
  </si>
  <si>
    <t>buaazp/fasthttprouter</t>
  </si>
  <si>
    <t>jackal</t>
  </si>
  <si>
    <t>An XMPP server written in Go (Golang).</t>
  </si>
  <si>
    <t>ortuman/jackal</t>
  </si>
  <si>
    <t>goderive</t>
  </si>
  <si>
    <t>Functional programming for Golang</t>
  </si>
  <si>
    <t>awalterschulze/goderive</t>
  </si>
  <si>
    <t>systray</t>
  </si>
  <si>
    <t>a cross platfrom Go library to place an icon and menu in the notification area</t>
  </si>
  <si>
    <t>getlantern/systray</t>
  </si>
  <si>
    <t>goamz</t>
  </si>
  <si>
    <t>Golang Amazon Library</t>
  </si>
  <si>
    <t>mitchellh/goamz</t>
  </si>
  <si>
    <t>Beaver</t>
  </si>
  <si>
    <t>💨A real time messaging server to build a scalable in-app notifications, multiplayer games, chat apps in web and mobile apps.</t>
  </si>
  <si>
    <t>Clivern/Beaver</t>
  </si>
  <si>
    <t>go-multierror</t>
  </si>
  <si>
    <t>A Go (golang) package for representing a list of errors as a single error.</t>
  </si>
  <si>
    <t>hashicorp/go-multierror</t>
  </si>
  <si>
    <t>gotk3</t>
  </si>
  <si>
    <t>Go bindings for GTK3</t>
  </si>
  <si>
    <t>gotk3/gotk3</t>
  </si>
  <si>
    <t>sftp</t>
  </si>
  <si>
    <t>SFTP support for the go.crypto/ssh package</t>
  </si>
  <si>
    <t>pkg/sftp</t>
  </si>
  <si>
    <t>goav</t>
  </si>
  <si>
    <t>Golang bindings for FFmpeg</t>
  </si>
  <si>
    <t>giorgisio/goav</t>
  </si>
  <si>
    <t>glfw</t>
  </si>
  <si>
    <t>Go bindings for GLFW 3</t>
  </si>
  <si>
    <t>go-gl/glfw</t>
  </si>
  <si>
    <t>pflag</t>
  </si>
  <si>
    <t>Drop-in replacement for Go's flag package, implementing POSIX/GNU-style --flags.</t>
  </si>
  <si>
    <t>spf13/pflag</t>
  </si>
  <si>
    <t>engine</t>
  </si>
  <si>
    <t>Go 3D Game Engine</t>
  </si>
  <si>
    <t>g3n/engine</t>
  </si>
  <si>
    <t>gorazor</t>
  </si>
  <si>
    <t>Razor view engine for Golang</t>
  </si>
  <si>
    <t>sipin/gorazor</t>
  </si>
  <si>
    <t>minio-go</t>
  </si>
  <si>
    <t>MinIO Client SDK for Go</t>
  </si>
  <si>
    <t>minio/minio-go</t>
  </si>
  <si>
    <t>go-getter</t>
  </si>
  <si>
    <t>Package for downloading things from a string URL using a variety of protocols.</t>
  </si>
  <si>
    <t>hashicorp/go-getter</t>
  </si>
  <si>
    <t>go-imap</t>
  </si>
  <si>
    <t>:inbox_tray: An IMAP library for clients and servers</t>
  </si>
  <si>
    <t>emersion/go-imap</t>
  </si>
  <si>
    <t>go-twitter</t>
  </si>
  <si>
    <t>Go Twitter REST and Streaming API v1.1</t>
  </si>
  <si>
    <t>dghubble/go-twitter</t>
  </si>
  <si>
    <t>godog</t>
  </si>
  <si>
    <t>Cucumber for golang</t>
  </si>
  <si>
    <t>DATA-DOG/godog</t>
  </si>
  <si>
    <t>hyperloglog</t>
  </si>
  <si>
    <t>HyperLogLog with lots of sugar (Sparse, LogLog-Beta bias correction and TailCut space reduction)</t>
  </si>
  <si>
    <t>axiomhq/hyperloglog</t>
  </si>
  <si>
    <t>go-duktape</t>
  </si>
  <si>
    <t>Duktape JavaScript engine bindings for Go</t>
  </si>
  <si>
    <t>olebedev/go-duktape</t>
  </si>
  <si>
    <t>go-selfupdate</t>
  </si>
  <si>
    <t>Enable your Go applications to self update</t>
  </si>
  <si>
    <t>sanbornm/go-selfupdate</t>
  </si>
  <si>
    <t>gentleman</t>
  </si>
  <si>
    <t>Full-featured, plugin-oriented, extensible HTTP client toolkit for Go</t>
  </si>
  <si>
    <t>h2non/gentleman</t>
  </si>
  <si>
    <t>flagr</t>
  </si>
  <si>
    <t>Flagr is a feature flagging, A/B testing and dynamic configuration microservice</t>
  </si>
  <si>
    <t>checkr/flagr</t>
  </si>
  <si>
    <t>leaps</t>
  </si>
  <si>
    <t>A pair programming service using operational transforms</t>
  </si>
  <si>
    <t>Jeffail/leaps</t>
  </si>
  <si>
    <t>go-php</t>
  </si>
  <si>
    <t>PHP bindings for the Go programming language (Golang)</t>
  </si>
  <si>
    <t>deuill/go-php</t>
  </si>
  <si>
    <t>CloudForest</t>
  </si>
  <si>
    <t>Ensembles of decision trees in go/golang.</t>
  </si>
  <si>
    <t>ryanbressler/CloudForest</t>
  </si>
  <si>
    <t>gendry</t>
  </si>
  <si>
    <t>a golang library for sql builder</t>
  </si>
  <si>
    <t>didi/gendry</t>
  </si>
  <si>
    <t>baloo</t>
  </si>
  <si>
    <t>Expressive end-to-end HTTP API testing made easy in Go</t>
  </si>
  <si>
    <t>h2non/baloo</t>
  </si>
  <si>
    <t>go-arg</t>
  </si>
  <si>
    <t>Struct-based argument parsing in Go</t>
  </si>
  <si>
    <t>alexflint/go-arg</t>
  </si>
  <si>
    <t>pop</t>
  </si>
  <si>
    <t>A Tasty Treat For All Your Database Needs</t>
  </si>
  <si>
    <t>gobuffalo/pop</t>
  </si>
  <si>
    <t>go-commons-pool</t>
  </si>
  <si>
    <t>a generic object pool for golang</t>
  </si>
  <si>
    <t>jolestar/go-commons-pool</t>
  </si>
  <si>
    <t>go-dsp</t>
  </si>
  <si>
    <t>Digital Signal Processing for Go</t>
  </si>
  <si>
    <t>mjibson/go-dsp</t>
  </si>
  <si>
    <t>jump</t>
  </si>
  <si>
    <t>Jump helps you navigate faster by learning your habits. ✌️</t>
  </si>
  <si>
    <t>gsamokovarov/jump</t>
  </si>
  <si>
    <t>bayesian</t>
  </si>
  <si>
    <t>Naive Bayesian Classification for Golang.</t>
  </si>
  <si>
    <t>jbrukh/bayesian</t>
  </si>
  <si>
    <t>bloom</t>
  </si>
  <si>
    <t>Go package implementing Bloom filters</t>
  </si>
  <si>
    <t>willf/bloom</t>
  </si>
  <si>
    <t>gl</t>
  </si>
  <si>
    <t>Go bindings for OpenGL (generated via glow)</t>
  </si>
  <si>
    <t>go-gl/gl</t>
  </si>
  <si>
    <t>mow.cli</t>
  </si>
  <si>
    <t>A versatile library for building CLI applications in Go</t>
  </si>
  <si>
    <t>jawher/mow.cli</t>
  </si>
  <si>
    <t>nff-go</t>
  </si>
  <si>
    <t>NFF-Go -Network Function Framework for GO (former YANFF)</t>
  </si>
  <si>
    <t>intel-go/nff-go</t>
  </si>
  <si>
    <t>oak</t>
  </si>
  <si>
    <t>A pure Go game engine</t>
  </si>
  <si>
    <t>oakmound/oak</t>
  </si>
  <si>
    <t>goblin</t>
  </si>
  <si>
    <t>Minimal and Beautiful Go testing framework</t>
  </si>
  <si>
    <t>franela/goblin</t>
  </si>
  <si>
    <t>php-parser</t>
  </si>
  <si>
    <t>PHP parser written in Go</t>
  </si>
  <si>
    <t>z7zmey/php-parser</t>
  </si>
  <si>
    <t>Validate Golang request data with simple rules. Highly inspired by Laravel's request validation.</t>
  </si>
  <si>
    <t>thedevsaddam/govalidator</t>
  </si>
  <si>
    <t>eaopt</t>
  </si>
  <si>
    <t>:four_leaf_clover: Evolutionary optimization library for Go (genetic algorithm, partical swarm optimization, differential evolution)</t>
  </si>
  <si>
    <t>MaxHalford/eaopt</t>
  </si>
  <si>
    <t>immortal</t>
  </si>
  <si>
    <t>⭕  A *nix cross-platform (OS agnostic) supervisor</t>
  </si>
  <si>
    <t>immortal/immortal</t>
  </si>
  <si>
    <t>roaring</t>
  </si>
  <si>
    <t>Roaring bitmaps in Go (golang)</t>
  </si>
  <si>
    <t>RoaringBitmap/roaring</t>
  </si>
  <si>
    <t>goraph</t>
  </si>
  <si>
    <t>Package goraph implements graph data structure and algorithms.</t>
  </si>
  <si>
    <t>gyuho/goraph</t>
  </si>
  <si>
    <t>gron</t>
  </si>
  <si>
    <t>gron, Cron Jobs in Go.</t>
  </si>
  <si>
    <t>roylee0704/gron</t>
  </si>
  <si>
    <t>A simple, powerful Redis client for Go</t>
  </si>
  <si>
    <t>hoisie/redis</t>
  </si>
  <si>
    <t>complete</t>
  </si>
  <si>
    <t>bash completion written in go + bash completion for go command</t>
  </si>
  <si>
    <t>posener/complete</t>
  </si>
  <si>
    <t>go-money</t>
  </si>
  <si>
    <t>Go implementation of Fowler's Money pattern</t>
  </si>
  <si>
    <t>Rhymond/go-money</t>
  </si>
  <si>
    <t>xstrings</t>
  </si>
  <si>
    <t>Package xstrings: A collection of useful string functions in Go.</t>
  </si>
  <si>
    <t>huandu/xstrings</t>
  </si>
  <si>
    <t>peg</t>
  </si>
  <si>
    <t>Peg, Parsing Expression Grammar, is an implementation of a Packrat parser generator.</t>
  </si>
  <si>
    <t>pointlander/peg</t>
  </si>
  <si>
    <t>fx</t>
  </si>
  <si>
    <t>A dependency injection based application framework for Go.</t>
  </si>
  <si>
    <t>uber-go/fx</t>
  </si>
  <si>
    <t>jet</t>
  </si>
  <si>
    <t>Jet  template engine</t>
  </si>
  <si>
    <t>CloudyKit/jet</t>
  </si>
  <si>
    <t>dat</t>
  </si>
  <si>
    <t>Go Postgres Data Access Toolkit</t>
  </si>
  <si>
    <t>mgutz/dat</t>
  </si>
  <si>
    <t>go-toml</t>
  </si>
  <si>
    <t>Go library for the TOML language</t>
  </si>
  <si>
    <t>pelletier/go-toml</t>
  </si>
  <si>
    <t>vflow</t>
  </si>
  <si>
    <t>Enterprise Network Flow Collector (IPFIX, sFlow, Netflow) from Verizon Digital Media Services</t>
  </si>
  <si>
    <t>VerizonDigital/vflow</t>
  </si>
  <si>
    <t>chart</t>
  </si>
  <si>
    <t>Provide basic charts in go</t>
  </si>
  <si>
    <t>vdobler/chart</t>
  </si>
  <si>
    <t>gophericons</t>
  </si>
  <si>
    <t>34 gopher images for Go developers community</t>
  </si>
  <si>
    <t>shalakhin/gophericons</t>
  </si>
  <si>
    <t>The new location for this repository is https://github.com/gobuffalo/pop.</t>
  </si>
  <si>
    <t>markbates/pop</t>
  </si>
  <si>
    <t>liner</t>
  </si>
  <si>
    <t>Pure Go line editor with history, inspired by linenoise</t>
  </si>
  <si>
    <t>peterh/liner</t>
  </si>
  <si>
    <t>golang-for-nodejs-developers</t>
  </si>
  <si>
    <t>Examples of Golang compared to Node.js for learning</t>
  </si>
  <si>
    <t>miguelmota/golang-for-nodejs-developers</t>
  </si>
  <si>
    <t>goveralls</t>
  </si>
  <si>
    <t>mattn/goveralls</t>
  </si>
  <si>
    <t>ringpop-go</t>
  </si>
  <si>
    <t>Scalable, fault-tolerant application-layer sharding for Go applications</t>
  </si>
  <si>
    <t>uber/ringpop-go</t>
  </si>
  <si>
    <t>go-finance</t>
  </si>
  <si>
    <t>:warning: Deprecrated in favor of https://github.com/piquette/finance-go :warning:</t>
  </si>
  <si>
    <t>FlashBoys/go-finance</t>
  </si>
  <si>
    <t>jobrunner</t>
  </si>
  <si>
    <t>Framework for performing work asynchronously, outside of the request flow</t>
  </si>
  <si>
    <t>bamzi/jobrunner</t>
  </si>
  <si>
    <t>base64Captcha</t>
  </si>
  <si>
    <t>golang base64-captcha supports digits, numbers,alphabet, arithmetic, audio and digit-alphabet captcha</t>
  </si>
  <si>
    <t>mojocn/base64Captcha</t>
  </si>
  <si>
    <t>aurora</t>
  </si>
  <si>
    <t>Golang ultimate ANSI-colors that supports Printf/Sprintf methods</t>
  </si>
  <si>
    <t>logrusorgru/aurora</t>
  </si>
  <si>
    <t>commonregex</t>
  </si>
  <si>
    <t>🍫 A collection of common regular expressions for Go</t>
  </si>
  <si>
    <t>mingrammer/commonregex</t>
  </si>
  <si>
    <t>gorpc</t>
  </si>
  <si>
    <t>Simple, fast and scalable golang rpc library for high load</t>
  </si>
  <si>
    <t>valyala/gorpc</t>
  </si>
  <si>
    <t>A Go middleware that stores various information about your web application (response time, status code count, etc.)</t>
  </si>
  <si>
    <t>thoas/stats</t>
  </si>
  <si>
    <t>qbs</t>
  </si>
  <si>
    <t>QBS stands for Query By Struct. A Go ORM.</t>
  </si>
  <si>
    <t>coocood/qbs</t>
  </si>
  <si>
    <t>vfsgen</t>
  </si>
  <si>
    <t>Takes an input http.FileSystem (likely at go generate time) and generates Go code that statically implements it.</t>
  </si>
  <si>
    <t>shurcooL/vfsgen</t>
  </si>
  <si>
    <t>skm</t>
  </si>
  <si>
    <t>A simple and powerful SSH keys manager</t>
  </si>
  <si>
    <t>TimothyYe/skm</t>
  </si>
  <si>
    <t>eliasdb</t>
  </si>
  <si>
    <t>EliasDB is a graph-based database.</t>
  </si>
  <si>
    <t>krotik/eliasdb</t>
  </si>
  <si>
    <t>progressbar</t>
  </si>
  <si>
    <t>A really basic thread-safe progress bar for Golang applications</t>
  </si>
  <si>
    <t>schollz/progressbar</t>
  </si>
  <si>
    <t>errorx</t>
  </si>
  <si>
    <t>A comprehensive error handling library for Go</t>
  </si>
  <si>
    <t>joomcode/errorx</t>
  </si>
  <si>
    <t>mdns</t>
  </si>
  <si>
    <t>Simple mDNS client/server library in Golang</t>
  </si>
  <si>
    <t>hashicorp/mdns</t>
  </si>
  <si>
    <t>go-critic</t>
  </si>
  <si>
    <t>The most opinionated Go source code linter for code audit.</t>
  </si>
  <si>
    <t>go-critic/go-critic</t>
  </si>
  <si>
    <t>traffic</t>
  </si>
  <si>
    <t>Sinatra inspired regexp/pattern mux and web framework for Go [NOT MAINTAINED]</t>
  </si>
  <si>
    <t>gravityblast/traffic</t>
  </si>
  <si>
    <t>limiter</t>
  </si>
  <si>
    <t>Dead simple rate limit middleware for Go.</t>
  </si>
  <si>
    <t>ulule/limiter</t>
  </si>
  <si>
    <t>go-ole</t>
  </si>
  <si>
    <t>win32 ole implementation for golang</t>
  </si>
  <si>
    <t>go-ole/go-ole</t>
  </si>
  <si>
    <t>scaleway-cli</t>
  </si>
  <si>
    <t>:computer: Manage BareMetal Servers from Command Line (as easily as with Docker)</t>
  </si>
  <si>
    <t>scaleway/scaleway-cli</t>
  </si>
  <si>
    <t>goqu</t>
  </si>
  <si>
    <t>SQL builder and query library for golang</t>
  </si>
  <si>
    <t>doug-martin/goqu</t>
  </si>
  <si>
    <t>EventBus</t>
  </si>
  <si>
    <t>[Go] Lightweight eventbus with async compatibility for Go</t>
  </si>
  <si>
    <t>asaskevich/EventBus</t>
  </si>
  <si>
    <t>grab</t>
  </si>
  <si>
    <t>A download manager package for Go</t>
  </si>
  <si>
    <t>cavaliercoder/grab</t>
  </si>
  <si>
    <t>discovery</t>
  </si>
  <si>
    <t>A registry for resilient mid-tier load balancing and failover.</t>
  </si>
  <si>
    <t>bilibili/discovery</t>
  </si>
  <si>
    <t>uuid</t>
  </si>
  <si>
    <t>A UUID package originally forked from github.com/satori/go.uuid</t>
  </si>
  <si>
    <t>gofrs/uuid</t>
  </si>
  <si>
    <t>sendgrid-go</t>
  </si>
  <si>
    <t>The Official SendGrid Led, Community Driven Golang API Library</t>
  </si>
  <si>
    <t>sendgrid/sendgrid-go</t>
  </si>
  <si>
    <t>gofuzz</t>
  </si>
  <si>
    <t>Fuzz testing for go.</t>
  </si>
  <si>
    <t>google/gofuzz</t>
  </si>
  <si>
    <t>gmf</t>
  </si>
  <si>
    <t>Go Media Framework</t>
  </si>
  <si>
    <t>3d0c/gmf</t>
  </si>
  <si>
    <t>gosx-notifier</t>
  </si>
  <si>
    <t>gosx-notifier is a Go framework for sending desktop notifications to OSX 10.8 or higher</t>
  </si>
  <si>
    <t>deckarep/gosx-notifier</t>
  </si>
  <si>
    <t>go-pinyin</t>
  </si>
  <si>
    <t>汉字转拼音</t>
  </si>
  <si>
    <t>mozillazg/go-pinyin</t>
  </si>
  <si>
    <t>lhttp</t>
  </si>
  <si>
    <t>go websocket, a better way to buid your IM server</t>
  </si>
  <si>
    <t>fanux/lhttp</t>
  </si>
  <si>
    <t>httpcontrol</t>
  </si>
  <si>
    <t>Package httpcontrol allows for HTTP transport level control around timeouts and retries.</t>
  </si>
  <si>
    <t>facebookarchive/httpcontrol</t>
  </si>
  <si>
    <t>mainflux</t>
  </si>
  <si>
    <t>Industrial IoT Messaging and Device Management Server</t>
  </si>
  <si>
    <t>mainflux/mainflux</t>
  </si>
  <si>
    <t>grpool</t>
  </si>
  <si>
    <t>Lightweight Goroutine pool</t>
  </si>
  <si>
    <t>ivpusic/grpool</t>
  </si>
  <si>
    <t>htcat</t>
  </si>
  <si>
    <t>Parallel and Pipelined HTTP GET Utility</t>
  </si>
  <si>
    <t>htcat/htcat</t>
  </si>
  <si>
    <t>uitable</t>
  </si>
  <si>
    <t>A go library to improve readability in terminal apps using tabular data</t>
  </si>
  <si>
    <t>gosuri/uitable</t>
  </si>
  <si>
    <t>notify</t>
  </si>
  <si>
    <t>File system event notification library on steroids.</t>
  </si>
  <si>
    <t>rjeczalik/notify</t>
  </si>
  <si>
    <t>accounting</t>
  </si>
  <si>
    <t>money and currency formatting for golang</t>
  </si>
  <si>
    <t>leekchan/accounting</t>
  </si>
  <si>
    <t>httpmock</t>
  </si>
  <si>
    <t>HTTP mocking for Golang</t>
  </si>
  <si>
    <t>jarcoal/httpmock</t>
  </si>
  <si>
    <t>matrix</t>
  </si>
  <si>
    <t>Matrix packages for the Go language [DEPRECATED]</t>
  </si>
  <si>
    <t>gonum/matrix</t>
  </si>
  <si>
    <t>mpb</t>
  </si>
  <si>
    <t>multi progress bar for Go cli applications</t>
  </si>
  <si>
    <t>vbauerster/mpb</t>
  </si>
  <si>
    <t>pool</t>
  </si>
  <si>
    <t>:speedboat: a limited consumer goroutine or unlimited goroutine pool for easier goroutine handling and cancellation</t>
  </si>
  <si>
    <t>go-playground/pool</t>
  </si>
  <si>
    <t>gfile</t>
  </si>
  <si>
    <t>Direct file transfer over WebRTC</t>
  </si>
  <si>
    <t>Antonito/gfile</t>
  </si>
  <si>
    <t>bitset</t>
  </si>
  <si>
    <t>Go package implementing bitsets</t>
  </si>
  <si>
    <t>willf/bitset</t>
  </si>
  <si>
    <t>cuckoofilter</t>
  </si>
  <si>
    <t>Cuckoo Filter: Practically Better Than Bloom</t>
  </si>
  <si>
    <t>seiflotfy/cuckoofilter</t>
  </si>
  <si>
    <t>ftp</t>
  </si>
  <si>
    <t>FTP client package for Go</t>
  </si>
  <si>
    <t>jlaffaye/ftp</t>
  </si>
  <si>
    <t>tracerr</t>
  </si>
  <si>
    <t>Golang errors with stack trace and source fragments.</t>
  </si>
  <si>
    <t>ztrue/tracerr</t>
  </si>
  <si>
    <t>CLI - A package for building command line app with go</t>
  </si>
  <si>
    <t>mkideal/cli</t>
  </si>
  <si>
    <t>go-health</t>
  </si>
  <si>
    <t>Library for enabling asynchronous health checks in your service</t>
  </si>
  <si>
    <t>InVisionApp/go-health</t>
  </si>
  <si>
    <t>colfer</t>
  </si>
  <si>
    <t>binary serialization format</t>
  </si>
  <si>
    <t>pascaldekloe/colfer</t>
  </si>
  <si>
    <t>jobs</t>
  </si>
  <si>
    <t>A persistent and flexible background jobs library for go.</t>
  </si>
  <si>
    <t>albrow/jobs</t>
  </si>
  <si>
    <t>nacl</t>
  </si>
  <si>
    <t>Pure Go implementation of the NaCL set of API's</t>
  </si>
  <si>
    <t>kevinburke/nacl</t>
  </si>
  <si>
    <t>go-jira</t>
  </si>
  <si>
    <t>Go client library for Atlassian JIRA</t>
  </si>
  <si>
    <t>andygrunwald/go-jira</t>
  </si>
  <si>
    <t>bot</t>
  </si>
  <si>
    <t>IRC, Slack, Telegram and RocketChat bot written in go</t>
  </si>
  <si>
    <t>go-chat-bot/bot</t>
  </si>
  <si>
    <t>xurls</t>
  </si>
  <si>
    <t>Extract urls from text</t>
  </si>
  <si>
    <t>mvdan/xurls</t>
  </si>
  <si>
    <t>golua</t>
  </si>
  <si>
    <t>Go bindings for Lua C API - in progress</t>
  </si>
  <si>
    <t>aarzilli/golua</t>
  </si>
  <si>
    <t>gorouter</t>
  </si>
  <si>
    <t>xujiajun/gorouter is a simple and fast HTTP router for Go. It is easy to build RESTful APIs and your web framework.</t>
  </si>
  <si>
    <t>xujiajun/gorouter</t>
  </si>
  <si>
    <t>flaggy</t>
  </si>
  <si>
    <t>Idiomatic Go input parsing with subcommands, positional values, and flags at any position. No required project or package layout and no external dependencies.</t>
  </si>
  <si>
    <t>integrii/flaggy</t>
  </si>
  <si>
    <t>esc</t>
  </si>
  <si>
    <t>A simple file embedder for Go</t>
  </si>
  <si>
    <t>mjibson/esc</t>
  </si>
  <si>
    <t>go-queryset</t>
  </si>
  <si>
    <t>100% type-safe ORM for Go (Golang) with code generation and MySQL, PostgreSQL, Sqlite3, SQL Server support. GORM under the hood.</t>
  </si>
  <si>
    <t>jirfag/go-queryset</t>
  </si>
  <si>
    <t>go-dry</t>
  </si>
  <si>
    <t>DRY (don't repeat yourself) package for Go</t>
  </si>
  <si>
    <t>ungerik/go-dry</t>
  </si>
  <si>
    <t>githubv4</t>
  </si>
  <si>
    <t>Package githubv4 is a client library for accessing GitHub GraphQL API v4 (https://developer.github.com/v4/).</t>
  </si>
  <si>
    <t>shurcooL/githubv4</t>
  </si>
  <si>
    <t>dotsql</t>
  </si>
  <si>
    <t>A Golang library for using SQL.</t>
  </si>
  <si>
    <t>gchaincl/dotsql</t>
  </si>
  <si>
    <t>gopher-stickers</t>
  </si>
  <si>
    <t>gopher stickers</t>
  </si>
  <si>
    <t>tenntenn/gopher-stickers</t>
  </si>
  <si>
    <t>gopencils</t>
  </si>
  <si>
    <t>Easily consume REST APIs with Go (golang)</t>
  </si>
  <si>
    <t>bndr/gopencils</t>
  </si>
  <si>
    <t>ozzo-dbx</t>
  </si>
  <si>
    <t>A Go (golang) package that enhances the standard database/sql package by providing powerful data retrieval methods as well as DB-agnostic query building capabilities.</t>
  </si>
  <si>
    <t>go-ozzo/ozzo-dbx</t>
  </si>
  <si>
    <t>gisp</t>
  </si>
  <si>
    <t>Simple LISP in Go</t>
  </si>
  <si>
    <t>jcla1/gisp</t>
  </si>
  <si>
    <t>c6</t>
  </si>
  <si>
    <t>Compile SASS Faster ! C6 is a SASS-compatible compiler</t>
  </si>
  <si>
    <t>c9s/c6</t>
  </si>
  <si>
    <t>gcss</t>
  </si>
  <si>
    <t>Pure Go CSS Preprocessor</t>
  </si>
  <si>
    <t>yosssi/gcss</t>
  </si>
  <si>
    <t>shortid</t>
  </si>
  <si>
    <t>Super short, fully unique, non-sequential and URL friendly Ids</t>
  </si>
  <si>
    <t>teris-io/shortid</t>
  </si>
  <si>
    <t>hercules</t>
  </si>
  <si>
    <t>Gaining advanced insights from Git repository history.</t>
  </si>
  <si>
    <t>src-d/hercules</t>
  </si>
  <si>
    <t>stegify</t>
  </si>
  <si>
    <t>Go tool for LSB steganography, capable of hiding any file within an image.</t>
  </si>
  <si>
    <t>DimitarPetrov/stegify</t>
  </si>
  <si>
    <t>Azul3D - A 3D game engine written in Go!</t>
  </si>
  <si>
    <t>azul3d/engine</t>
  </si>
  <si>
    <t>gongular</t>
  </si>
  <si>
    <t>A different approach to Go web frameworks</t>
  </si>
  <si>
    <t>mustafaakin/gongular</t>
  </si>
  <si>
    <t>golongpoll</t>
  </si>
  <si>
    <t>golang long polling library.  Makes web pub-sub easy via HTTP long-poll server :smiley: :coffee: :computer:</t>
  </si>
  <si>
    <t>jcuga/golongpoll</t>
  </si>
  <si>
    <t>gosnmp</t>
  </si>
  <si>
    <t>An SNMP library written in GoLang.</t>
  </si>
  <si>
    <t>soniah/gosnmp</t>
  </si>
  <si>
    <t>goreturns</t>
  </si>
  <si>
    <t>A gofmt/goimports-like tool for Go programmers that fills in Go return statements with zero values to match the func return types</t>
  </si>
  <si>
    <t>sqs/goreturns</t>
  </si>
  <si>
    <t>acra</t>
  </si>
  <si>
    <t>Database encryption proxy for data-driven apps: strong selective encryption, SQL injections prevention, intrusion detection, honeypots.</t>
  </si>
  <si>
    <t>cossacklabs/acra</t>
  </si>
  <si>
    <t>ego</t>
  </si>
  <si>
    <t>An ERB-style templating language for Go.</t>
  </si>
  <si>
    <t>benbjohnson/ego</t>
  </si>
  <si>
    <t>fileb0x</t>
  </si>
  <si>
    <t>a better customizable tool to embed files in go; also update embedded files remotely without restarting the server</t>
  </si>
  <si>
    <t>UnnoTed/fileb0x</t>
  </si>
  <si>
    <t>mockingjay-server</t>
  </si>
  <si>
    <t>Fake server, Consumer Driven Contracts and help with testing performance from one configuration file with zero system dependencies and no coding whatsoever</t>
  </si>
  <si>
    <t>quii/mockingjay-server</t>
  </si>
  <si>
    <t>fastcache</t>
  </si>
  <si>
    <t>Fast thread-safe inmemory cache for big number of entries in Go. Minimzes GC overhead</t>
  </si>
  <si>
    <t>VictoriaMetrics/fastcache</t>
  </si>
  <si>
    <t>gotcp</t>
  </si>
  <si>
    <t>A Go package for quickly building tcp servers</t>
  </si>
  <si>
    <t>gansidui/gotcp</t>
  </si>
  <si>
    <t>godaemon</t>
  </si>
  <si>
    <t>Daemonize Go applications deviously.</t>
  </si>
  <si>
    <t>VividCortex/godaemon</t>
  </si>
  <si>
    <t>ethereum-development-with-go-book</t>
  </si>
  <si>
    <t>A little book on Ethereum Development with Go (golang)</t>
  </si>
  <si>
    <t>miguelmota/ethereum-development-with-go-book</t>
  </si>
  <si>
    <t>csrf</t>
  </si>
  <si>
    <t>gorilla/csrf provides Cross Site Request Forgery (CSRF) prevention middleware for Go web applications &amp; services.</t>
  </si>
  <si>
    <t>gorilla/csrf</t>
  </si>
  <si>
    <t>neo</t>
  </si>
  <si>
    <t>Go Web Framework</t>
  </si>
  <si>
    <t>ivpusic/neo</t>
  </si>
  <si>
    <t>trie</t>
  </si>
  <si>
    <t>Data structure and relevant algorithms for extremely fast prefix/fuzzy string searching.</t>
  </si>
  <si>
    <t>derekparker/trie</t>
  </si>
  <si>
    <t>tardisgo</t>
  </si>
  <si>
    <t>Golang-&gt;Haxe-&gt;CPP/CSharp/Java/JavaScript transpiler</t>
  </si>
  <si>
    <t>tardisgo/tardisgo</t>
  </si>
  <si>
    <t>gorse</t>
  </si>
  <si>
    <t>An offline recommender system backend based on collaborative filtering written in Go</t>
  </si>
  <si>
    <t>zhenghaoz/gorse</t>
  </si>
  <si>
    <t>godns</t>
  </si>
  <si>
    <t>A dynamic DNS client tool, supports AliDNS, Cloudflare, DNSPod &amp; HE.net, written in Go.</t>
  </si>
  <si>
    <t>TimothyYe/godns</t>
  </si>
  <si>
    <t>llvm</t>
  </si>
  <si>
    <t>Library for interacting with LLVM IR in pure Go.</t>
  </si>
  <si>
    <t>llir/llvm</t>
  </si>
  <si>
    <t>httptreemux</t>
  </si>
  <si>
    <t>High-speed, flexible tree-based HTTP router for Go.</t>
  </si>
  <si>
    <t>dimfeld/httptreemux</t>
  </si>
  <si>
    <t>go-oci8</t>
  </si>
  <si>
    <t>oracle driver for go that using database/sql</t>
  </si>
  <si>
    <t>mattn/go-oci8</t>
  </si>
  <si>
    <t>lars</t>
  </si>
  <si>
    <t>:rotating_light: Is a lightweight, fast and extensible zero allocation HTTP router for Go used to create customizable frameworks.</t>
  </si>
  <si>
    <t>go-playground/lars</t>
  </si>
  <si>
    <t>Cross-platform beanstalkd queue server admin console.</t>
  </si>
  <si>
    <t>xuri/aurora</t>
  </si>
  <si>
    <t>go-bindata</t>
  </si>
  <si>
    <t>Hard fork of jteeuwen/go-bindata because it disappeared, Please refer to issues#5 for details.</t>
  </si>
  <si>
    <t>jteeuwen/go-bindata</t>
  </si>
  <si>
    <t>kagome</t>
  </si>
  <si>
    <t>Self-contained Japanese Morphological Analyzer written in pure Go</t>
  </si>
  <si>
    <t>ikawaha/kagome</t>
  </si>
  <si>
    <t>go-peerflix</t>
  </si>
  <si>
    <t>Go Peerflix</t>
  </si>
  <si>
    <t>Sioro-Neoku/go-peerflix</t>
  </si>
  <si>
    <t>shell2http</t>
  </si>
  <si>
    <t>Executing shell commands via HTTP server</t>
  </si>
  <si>
    <t>msoap/shell2http</t>
  </si>
  <si>
    <t>raylib-go</t>
  </si>
  <si>
    <t>Go bindings for raylib, a simple and easy-to-use library to learn videogames programming.</t>
  </si>
  <si>
    <t>gen2brain/raylib-go</t>
  </si>
  <si>
    <t>levigo</t>
  </si>
  <si>
    <t>levigo is a Go wrapper for LevelDB</t>
  </si>
  <si>
    <t>jmhodges/levigo</t>
  </si>
  <si>
    <t>oto</t>
  </si>
  <si>
    <t>♪ A low-level library to play sound on multiple platforms ♪</t>
  </si>
  <si>
    <t>hajimehoshi/oto</t>
  </si>
  <si>
    <t>cidranger</t>
  </si>
  <si>
    <t>Fast IP to CIDR lookup in Golang</t>
  </si>
  <si>
    <t>yl2chen/cidranger</t>
  </si>
  <si>
    <t>govvv</t>
  </si>
  <si>
    <t>"go build" wrapper to add version info to Golang applications</t>
  </si>
  <si>
    <t>ahmetb/govvv</t>
  </si>
  <si>
    <t>richgo</t>
  </si>
  <si>
    <t>Enrich `go test` outputs with text decorations.</t>
  </si>
  <si>
    <t>kyoh86/richgo</t>
  </si>
  <si>
    <t>mort</t>
  </si>
  <si>
    <t>Storage and image processing server written in Go</t>
  </si>
  <si>
    <t>aldor007/mort</t>
  </si>
  <si>
    <t>gofakeit</t>
  </si>
  <si>
    <t>Random fake data generator written in go</t>
  </si>
  <si>
    <t>brianvoe/gofakeit</t>
  </si>
  <si>
    <t>go-colorable</t>
  </si>
  <si>
    <t>mattn/go-colorable</t>
  </si>
  <si>
    <t>health</t>
  </si>
  <si>
    <t>An easy to use, extensible health check library for Go applications.</t>
  </si>
  <si>
    <t>dimiro1/health</t>
  </si>
  <si>
    <t>flipt</t>
  </si>
  <si>
    <t>A self contained feature flag solution</t>
  </si>
  <si>
    <t>markphelps/flipt</t>
  </si>
  <si>
    <t>neoism</t>
  </si>
  <si>
    <t>Neo4j client for Golang</t>
  </si>
  <si>
    <t>jmcvetta/neoism</t>
  </si>
  <si>
    <t>nlp</t>
  </si>
  <si>
    <t>[UNMANTEINED] Extract values from strings and fill your structs with nlp.</t>
  </si>
  <si>
    <t>shixzie/nlp</t>
  </si>
  <si>
    <t>ozzo-routing</t>
  </si>
  <si>
    <t>An extremely fast Go (golang) HTTP router that supports regular expression route matching. Comes with full support for building RESTful APIs.</t>
  </si>
  <si>
    <t>go-ozzo/ozzo-routing</t>
  </si>
  <si>
    <t>pomerium</t>
  </si>
  <si>
    <t>Pomerium is an identity-aware access proxy.</t>
  </si>
  <si>
    <t>pomerium/pomerium</t>
  </si>
  <si>
    <t>siesta</t>
  </si>
  <si>
    <t>Composable framework for writing HTTP handlers in Go.</t>
  </si>
  <si>
    <t>VividCortex/siesta</t>
  </si>
  <si>
    <t>gobrain</t>
  </si>
  <si>
    <t>Neural Networks written in go</t>
  </si>
  <si>
    <t>goml/gobrain</t>
  </si>
  <si>
    <t>go.auth</t>
  </si>
  <si>
    <t>[DEPRECATED] authentication API for Go web applications</t>
  </si>
  <si>
    <t>bradrydzewski/go.auth</t>
  </si>
  <si>
    <t>goast-viewer</t>
  </si>
  <si>
    <t>Golang AST visualizer</t>
  </si>
  <si>
    <t>yuroyoro/goast-viewer</t>
  </si>
  <si>
    <t>gopcap</t>
  </si>
  <si>
    <t>A simple wrapper around libpcap for the Go programming language</t>
  </si>
  <si>
    <t>akrennmair/gopcap</t>
  </si>
  <si>
    <t>peerdiscovery</t>
  </si>
  <si>
    <t>Pure-Go library for cross-platform local peer discovery using UDP multicast :woman: :repeat: :woman:</t>
  </si>
  <si>
    <t>schollz/peerdiscovery</t>
  </si>
  <si>
    <t>slug</t>
  </si>
  <si>
    <t>URL-friendly slugify with multiple languages support.</t>
  </si>
  <si>
    <t>gosimple/slug</t>
  </si>
  <si>
    <t>request</t>
  </si>
  <si>
    <t>A developer-friendly HTTP request library for Gopher.</t>
  </si>
  <si>
    <t>mozillazg/request</t>
  </si>
  <si>
    <t>form</t>
  </si>
  <si>
    <t>:steam_locomotive: Decodes url.Values into Go value(s) and Encodes Go value(s) into url.Values. Dual Array and Full map support.</t>
  </si>
  <si>
    <t>go-playground/form</t>
  </si>
  <si>
    <t>dbus</t>
  </si>
  <si>
    <t>Native Go bindings for D-Bus</t>
  </si>
  <si>
    <t>godbus/dbus</t>
  </si>
  <si>
    <t>mango</t>
  </si>
  <si>
    <t>Mango is a modular web-application framework for Go, inspired by Rack, and PEP333.</t>
  </si>
  <si>
    <t>paulbellamy/mango</t>
  </si>
  <si>
    <t>go-conv</t>
  </si>
  <si>
    <t>Fast conversions across various Go types with a simple API.</t>
  </si>
  <si>
    <t>cstockton/go-conv</t>
  </si>
  <si>
    <t>permissions2</t>
  </si>
  <si>
    <t>:closed_lock_with_key: Middleware for keeping track of users, login states and permissions</t>
  </si>
  <si>
    <t>xyproto/permissions2</t>
  </si>
  <si>
    <t>gopher-vector</t>
  </si>
  <si>
    <t>Vector data of gopher</t>
  </si>
  <si>
    <t>golang-samples/gopher-vector</t>
  </si>
  <si>
    <t>whatlanggo</t>
  </si>
  <si>
    <t>Natural language detection library for Go</t>
  </si>
  <si>
    <t>abadojack/whatlanggo</t>
  </si>
  <si>
    <t>counterfeiter</t>
  </si>
  <si>
    <t>A tool for generating self-contained, type-safe test doubles in go</t>
  </si>
  <si>
    <t>maxbrunsfeld/counterfeiter</t>
  </si>
  <si>
    <t>depth</t>
  </si>
  <si>
    <t>Visualize Go Dependency Trees</t>
  </si>
  <si>
    <t>KyleBanks/depth</t>
  </si>
  <si>
    <t>elasticsql</t>
  </si>
  <si>
    <t>convert sql to elasticsearch DSL in golang(go)</t>
  </si>
  <si>
    <t>cch123/elasticsql</t>
  </si>
  <si>
    <t>logxi</t>
  </si>
  <si>
    <t>A 12-factor app logger built for performance and happy development</t>
  </si>
  <si>
    <t>mgutz/logxi</t>
  </si>
  <si>
    <t>expr</t>
  </si>
  <si>
    <t>Expr is an engine that can evaluate expressions.</t>
  </si>
  <si>
    <t>antonmedv/expr</t>
  </si>
  <si>
    <t>gocc</t>
  </si>
  <si>
    <t>Parser / Scanner Generator</t>
  </si>
  <si>
    <t>goccmack/gocc</t>
  </si>
  <si>
    <t>raymond</t>
  </si>
  <si>
    <t>Handlebars for golang</t>
  </si>
  <si>
    <t>aymerick/raymond</t>
  </si>
  <si>
    <t>go-isatty</t>
  </si>
  <si>
    <t>mattn/go-isatty</t>
  </si>
  <si>
    <t>mxj</t>
  </si>
  <si>
    <t>Decode / encode XML to/from map[string]interface{} (or JSON); extract values with dot-notation paths and wildcards.  Replaces x2j and j2x packages.</t>
  </si>
  <si>
    <t>clbanning/mxj</t>
  </si>
  <si>
    <t>onelog</t>
  </si>
  <si>
    <t>Dead simple, super fast, zero allocation and modular logger for Golang</t>
  </si>
  <si>
    <t>francoispqt/onelog</t>
  </si>
  <si>
    <t>carbon</t>
  </si>
  <si>
    <t>Carbon for Golang, an extension for Time</t>
  </si>
  <si>
    <t>uniplaces/carbon</t>
  </si>
  <si>
    <t>agora</t>
  </si>
  <si>
    <t>a dynamically typed, garbage collected, embeddable programming language built with Go</t>
  </si>
  <si>
    <t>mna/agora</t>
  </si>
  <si>
    <t>go-astar</t>
  </si>
  <si>
    <t>Go implementation of the A* search algorithm</t>
  </si>
  <si>
    <t>beefsack/go-astar</t>
  </si>
  <si>
    <t>gondola</t>
  </si>
  <si>
    <t>The web framework for writing faster sites, faster</t>
  </si>
  <si>
    <t>rainycape/gondola</t>
  </si>
  <si>
    <t>pester</t>
  </si>
  <si>
    <t>Go (golang) http calls with retries and backoff</t>
  </si>
  <si>
    <t>sethgrid/pester</t>
  </si>
  <si>
    <t>gonative</t>
  </si>
  <si>
    <t>Build Go Toolchains /w native libs for cross-compilation</t>
  </si>
  <si>
    <t>inconshreveable/gonative</t>
  </si>
  <si>
    <t>GarageEngine</t>
  </si>
  <si>
    <t>Game engine written in Go (golang).</t>
  </si>
  <si>
    <t>vova616/GarageEngine</t>
  </si>
  <si>
    <t>go-stun</t>
  </si>
  <si>
    <t>A go implementation of the STUN client (RFC 3489 and RFC 5389)</t>
  </si>
  <si>
    <t>ccding/go-stun</t>
  </si>
  <si>
    <t>go.matrix</t>
  </si>
  <si>
    <t>linear algebra for go</t>
  </si>
  <si>
    <t>skelterjohn/go.matrix</t>
  </si>
  <si>
    <t>webhooks</t>
  </si>
  <si>
    <t>:fishing_pole_and_fish: Webhook receiver for GitHub, Bitbucket and GitLab</t>
  </si>
  <si>
    <t>go-playground/webhooks</t>
  </si>
  <si>
    <t>go-geoindex</t>
  </si>
  <si>
    <t>Go native library for fast point tracking and K-Nearest queries</t>
  </si>
  <si>
    <t>hailocab/go-geoindex</t>
  </si>
  <si>
    <t>glue</t>
  </si>
  <si>
    <t>Glue - Robust Go and Javascript Socket Library (Alternative to Socket.io)</t>
  </si>
  <si>
    <t>desertbit/glue</t>
  </si>
  <si>
    <t>cdp</t>
  </si>
  <si>
    <t>Package cdp provides type-safe bindings for the Chrome DevTools Protocol (CDP), written in the Go programming language.</t>
  </si>
  <si>
    <t>mafredri/cdp</t>
  </si>
  <si>
    <t>gopherize.me</t>
  </si>
  <si>
    <t>Gopherize.me app</t>
  </si>
  <si>
    <t>matryer/gopherize.me</t>
  </si>
  <si>
    <t>aerospike-client-go</t>
  </si>
  <si>
    <t>Aerospike Client Go</t>
  </si>
  <si>
    <t>aerospike/aerospike-client-go</t>
  </si>
  <si>
    <t>sleuth</t>
  </si>
  <si>
    <t>A Go library for master-less peer-to-peer autodiscovery and RPC between HTTP services</t>
  </si>
  <si>
    <t>ursiform/sleuth</t>
  </si>
  <si>
    <t>govatar</t>
  </si>
  <si>
    <t>Avatar generator library for GO language</t>
  </si>
  <si>
    <t>o1egl/govatar</t>
  </si>
  <si>
    <t>Emits events in Go way, with wildcard, predicates, cancellation possibilities and many other good wins</t>
  </si>
  <si>
    <t>olebedev/emitter</t>
  </si>
  <si>
    <t>chalk</t>
  </si>
  <si>
    <t>Intuitive package for prettifying terminal/console output. http://godoc.org/github.com/ttacon/chalk</t>
  </si>
  <si>
    <t>ttacon/chalk</t>
  </si>
  <si>
    <t>air</t>
  </si>
  <si>
    <t>An ideally refined web framework for Go.</t>
  </si>
  <si>
    <t>aofei/air</t>
  </si>
  <si>
    <t>interpose</t>
  </si>
  <si>
    <t>Minimalist net/http middleware for golang</t>
  </si>
  <si>
    <t>carbocation/interpose</t>
  </si>
  <si>
    <t>geo-golang</t>
  </si>
  <si>
    <t>Go library to access geocoding and reverse geocoding APIs</t>
  </si>
  <si>
    <t>codingsince1985/geo-golang</t>
  </si>
  <si>
    <t>ergo</t>
  </si>
  <si>
    <t>The management of multiple local services running on different ports made easy</t>
  </si>
  <si>
    <t>cristianoliveira/ergo</t>
  </si>
  <si>
    <t>wellington</t>
  </si>
  <si>
    <t>Spriting that sass has been missing</t>
  </si>
  <si>
    <t>wellington/wellington</t>
  </si>
  <si>
    <t>go-couchbase</t>
  </si>
  <si>
    <t>Couchbase client in Go</t>
  </si>
  <si>
    <t>couchbase/go-couchbase</t>
  </si>
  <si>
    <t>go-vcr</t>
  </si>
  <si>
    <t>Record and replay your HTTP interactions for fast, deterministic and accurate tests</t>
  </si>
  <si>
    <t>dnaeon/go-vcr</t>
  </si>
  <si>
    <t>gocb</t>
  </si>
  <si>
    <t>The Couchbase Go SDK</t>
  </si>
  <si>
    <t>couchbase/gocb</t>
  </si>
  <si>
    <t>digota</t>
  </si>
  <si>
    <t>ecommerce microservice</t>
  </si>
  <si>
    <t>digota/digota</t>
  </si>
  <si>
    <t>csvutil</t>
  </si>
  <si>
    <t>csvutil provides fast and idiomatic mapping between CSV and Go (golang) values.</t>
  </si>
  <si>
    <t>jszwec/csvutil</t>
  </si>
  <si>
    <t>go-rate</t>
  </si>
  <si>
    <t>A timed rate limiter for Go</t>
  </si>
  <si>
    <t>beefsack/go-rate</t>
  </si>
  <si>
    <t>portaudio</t>
  </si>
  <si>
    <t>Go bindings for the PortAudio audio I/O library</t>
  </si>
  <si>
    <t>gordonklaus/portaudio</t>
  </si>
  <si>
    <t>PayPal-Go-SDK</t>
  </si>
  <si>
    <t>Golang client for PayPal REST API</t>
  </si>
  <si>
    <t>logpacker/PayPal-Go-SDK</t>
  </si>
  <si>
    <t>testfixtures</t>
  </si>
  <si>
    <t>Rails-like test fixtures for Go. Write tests against a real database</t>
  </si>
  <si>
    <t>go-testfixtures/testfixtures</t>
  </si>
  <si>
    <t>slacker</t>
  </si>
  <si>
    <t>Slack Bot Framework</t>
  </si>
  <si>
    <t>shomali11/slacker</t>
  </si>
  <si>
    <t>scheduler</t>
  </si>
  <si>
    <t>Job scheduling made easy.</t>
  </si>
  <si>
    <t>carlescere/scheduler</t>
  </si>
  <si>
    <t>gormigrate</t>
  </si>
  <si>
    <t>Minimalistic database migration helper for Gorm ORM</t>
  </si>
  <si>
    <t>go-gormigrate/gormigrate</t>
  </si>
  <si>
    <t>go-nude</t>
  </si>
  <si>
    <t>Nudity detection with Go.</t>
  </si>
  <si>
    <t>koyachi/go-nude</t>
  </si>
  <si>
    <t>mathgl</t>
  </si>
  <si>
    <t>A pure Go 3D math library.</t>
  </si>
  <si>
    <t>go-gl/mathgl</t>
  </si>
  <si>
    <t>An efficient and feature complete Hystrix like Go implementation of the circuit breaker pattern.</t>
  </si>
  <si>
    <t>cep21/circuit</t>
  </si>
  <si>
    <t>mafsa</t>
  </si>
  <si>
    <t>Package mafsa implements Minimal Acyclic Finite State Automata in Go, essentially a high-speed, memory-efficient, Unicode-friendly set of strings.</t>
  </si>
  <si>
    <t>smartystreets/mafsa</t>
  </si>
  <si>
    <t>raw</t>
  </si>
  <si>
    <t>Package raw enables reading and writing data at the device driver level for a network interface.  MIT Licensed.</t>
  </si>
  <si>
    <t>mdlayher/raw</t>
  </si>
  <si>
    <t>go-capnproto</t>
  </si>
  <si>
    <t>Cap'n Proto library and parser for go. This is go-capnproto-1.0, and does not have rpc. See https://github.com/zombiezen/go-capnproto2 for 2.0 which has rpc and capabilities.</t>
  </si>
  <si>
    <t>glycerine/go-capnproto</t>
  </si>
  <si>
    <t>chproxy</t>
  </si>
  <si>
    <t>ClickHouse http proxy and load balancer</t>
  </si>
  <si>
    <t>Vertamedia/chproxy</t>
  </si>
  <si>
    <t>fasttemplate</t>
  </si>
  <si>
    <t>Simple and fast template engine for Go</t>
  </si>
  <si>
    <t>valyala/fasttemplate</t>
  </si>
  <si>
    <t>gographviz</t>
  </si>
  <si>
    <t>Parses the Graphviz DOT language in golang</t>
  </si>
  <si>
    <t>awalterschulze/gographviz</t>
  </si>
  <si>
    <t>tcp_server</t>
  </si>
  <si>
    <t>golang tcp server</t>
  </si>
  <si>
    <t>firstrow/tcp_server</t>
  </si>
  <si>
    <t>mora</t>
  </si>
  <si>
    <t>MongoDB generic REST server in Go</t>
  </si>
  <si>
    <t>emicklei/mora</t>
  </si>
  <si>
    <t>:green_book: Simple, configurable and scalable Structured Logging for Go.</t>
  </si>
  <si>
    <t>go-playground/log</t>
  </si>
  <si>
    <t>ipe</t>
  </si>
  <si>
    <t>An open source Pusher server implementation compatible with Pusher client libraries written in GO</t>
  </si>
  <si>
    <t>dimiro1/ipe</t>
  </si>
  <si>
    <t>pubsub</t>
  </si>
  <si>
    <t>A simple pubsub package for go.</t>
  </si>
  <si>
    <t>cskr/pubsub</t>
  </si>
  <si>
    <t>ewma</t>
  </si>
  <si>
    <t>Exponentially Weighted Moving Average algorithms for Go.</t>
  </si>
  <si>
    <t>VividCortex/ewma</t>
  </si>
  <si>
    <t>image2ascii</t>
  </si>
  <si>
    <t>:foggy: Convert image to ASCII</t>
  </si>
  <si>
    <t>qeesung/image2ascii</t>
  </si>
  <si>
    <t>sentences</t>
  </si>
  <si>
    <t>A multilingual command line sentence tokenizer in Golang</t>
  </si>
  <si>
    <t>neurosnap/sentences</t>
  </si>
  <si>
    <t>unconvert</t>
  </si>
  <si>
    <t>Remove unnecessary type conversions from Go source</t>
  </si>
  <si>
    <t>mdempsky/unconvert</t>
  </si>
  <si>
    <t>koazee</t>
  </si>
  <si>
    <t>A StreamLike, Immutable, Lazy Loading and smart Golang Library to deal with slices.</t>
  </si>
  <si>
    <t>wesovilabs/koazee</t>
  </si>
  <si>
    <t>go-cleanarch</t>
  </si>
  <si>
    <t>Clean architecture validator for go, like a The Dependency Rule and interaction between packages in your Go projects.</t>
  </si>
  <si>
    <t>roblaszczak/go-cleanarch</t>
  </si>
  <si>
    <t>wuid</t>
  </si>
  <si>
    <t>An extremely fast UUID alternative written in golang</t>
  </si>
  <si>
    <t>edwingeng/wuid</t>
  </si>
  <si>
    <t>dataflowkit</t>
  </si>
  <si>
    <t>Extract structured data from web sites. Web sites scraping.</t>
  </si>
  <si>
    <t>slotix/dataflowkit</t>
  </si>
  <si>
    <t>vestigo</t>
  </si>
  <si>
    <t>Echo Inspired Stand Alone URL Router</t>
  </si>
  <si>
    <t>husobee/vestigo</t>
  </si>
  <si>
    <t>redeo</t>
  </si>
  <si>
    <t>High-performance framework for building redis-protocol compatible TCP servers/services</t>
  </si>
  <si>
    <t>bsm/redeo</t>
  </si>
  <si>
    <t>nut</t>
  </si>
  <si>
    <t>Vendor Go dependencies</t>
  </si>
  <si>
    <t>jingweno/nut</t>
  </si>
  <si>
    <t>gohper</t>
  </si>
  <si>
    <t>[UNMATAINED] common libs here.</t>
  </si>
  <si>
    <t>cosiner/gohper</t>
  </si>
  <si>
    <t>music-theory</t>
  </si>
  <si>
    <t>Go models of Note, Scale, Chord and Key</t>
  </si>
  <si>
    <t>go-music-theory/music-theory</t>
  </si>
  <si>
    <t>IDE</t>
  </si>
  <si>
    <t>IDE for web browser, built for Go with Go.</t>
  </si>
  <si>
    <t>thestrukture/IDE</t>
  </si>
  <si>
    <t>pitaya</t>
  </si>
  <si>
    <t>Scalable game server framework with clustering support and client libraries for iOS, Android, Unity and others through the C SDK.</t>
  </si>
  <si>
    <t>topfreegames/pitaya</t>
  </si>
  <si>
    <t>logutils</t>
  </si>
  <si>
    <t>Utilities for slightly better logging in Go (Golang).</t>
  </si>
  <si>
    <t>hashicorp/logutils</t>
  </si>
  <si>
    <t>frisby</t>
  </si>
  <si>
    <t>API testing framework inspired by frisby-js</t>
  </si>
  <si>
    <t>verdverm/frisby</t>
  </si>
  <si>
    <t>go-astits</t>
  </si>
  <si>
    <t>Parse and demux MPEG Transport Streams (.ts) natively in GO</t>
  </si>
  <si>
    <t>asticode/go-astits</t>
  </si>
  <si>
    <t>gofight</t>
  </si>
  <si>
    <t>Testing API Handler written in Golang.</t>
  </si>
  <si>
    <t>appleboy/gofight</t>
  </si>
  <si>
    <t>store</t>
  </si>
  <si>
    <t>A dead simple configuration manager for Go applications</t>
  </si>
  <si>
    <t>tucnak/store</t>
  </si>
  <si>
    <t>go-jump</t>
  </si>
  <si>
    <t>go-jump: Jump consistent hashing</t>
  </si>
  <si>
    <t>dgryski/go-jump</t>
  </si>
  <si>
    <t>regommend</t>
  </si>
  <si>
    <t>Recommendation engine for Go</t>
  </si>
  <si>
    <t>muesli/regommend</t>
  </si>
  <si>
    <t>badactor</t>
  </si>
  <si>
    <t>BadActor.org An in-memory application driven jailer written in Go</t>
  </si>
  <si>
    <t>jaredfolkins/badactor</t>
  </si>
  <si>
    <t>tabby</t>
  </si>
  <si>
    <t>A tiny library for super simple Golang tables</t>
  </si>
  <si>
    <t>cheynewallace/tabby</t>
  </si>
  <si>
    <t>gostatus</t>
  </si>
  <si>
    <t>A command line tool that shows the status of Go repositories.</t>
  </si>
  <si>
    <t>shurcooL/gostatus</t>
  </si>
  <si>
    <t>waveform</t>
  </si>
  <si>
    <t>Go package capable of generating waveform images from audio streams. MIT Licensed.</t>
  </si>
  <si>
    <t>mdlayher/waveform</t>
  </si>
  <si>
    <t>zoom</t>
  </si>
  <si>
    <t>A blazing-fast datastore and querying engine for Go built on Redis.</t>
  </si>
  <si>
    <t>albrow/zoom</t>
  </si>
  <si>
    <t>go-mutesting</t>
  </si>
  <si>
    <t>Mutation testing for Go source code</t>
  </si>
  <si>
    <t>zimmski/go-mutesting</t>
  </si>
  <si>
    <t>golf</t>
  </si>
  <si>
    <t>:golf: The Golf web framework</t>
  </si>
  <si>
    <t>dinever/golf</t>
  </si>
  <si>
    <t>gowrap</t>
  </si>
  <si>
    <t>GoWrap is a command line tool for generating decorators for Go interfaces</t>
  </si>
  <si>
    <t>hexdigest/gowrap</t>
  </si>
  <si>
    <t>confita</t>
  </si>
  <si>
    <t>Load configuration in cascade from multiple backends into a struct</t>
  </si>
  <si>
    <t>heetch/confita</t>
  </si>
  <si>
    <t>go-logger</t>
  </si>
  <si>
    <t>Simple logger for Go programs. Allows custom formats for messages.</t>
  </si>
  <si>
    <t>apsdehal/go-logger</t>
  </si>
  <si>
    <t>devices</t>
  </si>
  <si>
    <t>Suite of libraries for IoT devices (written in Go), experimental for x/exp/io</t>
  </si>
  <si>
    <t>goiot/devices</t>
  </si>
  <si>
    <t>buffstreams</t>
  </si>
  <si>
    <t>A library to simplify writing applications using TCP sockets to stream protobuff messages</t>
  </si>
  <si>
    <t>StabbyCutyou/buffstreams</t>
  </si>
  <si>
    <t>gotext</t>
  </si>
  <si>
    <t>Go (Golang) GNU gettext utilities package</t>
  </si>
  <si>
    <t>leonelquinteros/gotext</t>
  </si>
  <si>
    <t>passlib</t>
  </si>
  <si>
    <t>:key: Idiotproof golang password validation library inspired by Python's passlib</t>
  </si>
  <si>
    <t>hlandau/passlib</t>
  </si>
  <si>
    <t>durafmt</t>
  </si>
  <si>
    <t>:clock8: Better time duration formatting in Go!</t>
  </si>
  <si>
    <t>hako/durafmt</t>
  </si>
  <si>
    <t>godbg</t>
  </si>
  <si>
    <t>Web-based gdb front-end application</t>
  </si>
  <si>
    <t>sirnewton01/godbg</t>
  </si>
  <si>
    <t>stun</t>
  </si>
  <si>
    <t>Fast RFC 5389 STUN implementation in go</t>
  </si>
  <si>
    <t>gortc/stun</t>
  </si>
  <si>
    <t>go-aws-auth</t>
  </si>
  <si>
    <t>[DEPRECATED] Signs requests to Amazon Web Services (AWS) using IAM roles or signed signature versions 2, 3, and 4. Supports S3 and STS.</t>
  </si>
  <si>
    <t>smartystreets/go-aws-auth</t>
  </si>
  <si>
    <t>lstags</t>
  </si>
  <si>
    <t>Manipulate Docker images across different registries</t>
  </si>
  <si>
    <t>ivanilves/lstags</t>
  </si>
  <si>
    <t>johnny-deps</t>
  </si>
  <si>
    <t>VividCortex/johnny-deps</t>
  </si>
  <si>
    <t>banner</t>
  </si>
  <si>
    <t>An easy way to add useful startup banners into your Go applications</t>
  </si>
  <si>
    <t>dimiro1/banner</t>
  </si>
  <si>
    <t>dogo</t>
  </si>
  <si>
    <t>Monitoring changes in the source file and automatically compile and run (restart).</t>
  </si>
  <si>
    <t>liudng/dogo</t>
  </si>
  <si>
    <t>termtables</t>
  </si>
  <si>
    <t>Go ASCII Table Generator, ported from the Ruby terminal-tables library</t>
  </si>
  <si>
    <t>apcera/termtables</t>
  </si>
  <si>
    <t>graph</t>
  </si>
  <si>
    <t>Graph algorithms and data structures</t>
  </si>
  <si>
    <t>yourbasic/graph</t>
  </si>
  <si>
    <t>muxchain</t>
  </si>
  <si>
    <t>Lightweight Middleware for net/http</t>
  </si>
  <si>
    <t>stephens2424/muxchain</t>
  </si>
  <si>
    <t>paseto</t>
  </si>
  <si>
    <t>Platform-Agnostic Security Tokens implementation in GO (Golang)</t>
  </si>
  <si>
    <t>o1egl/paseto</t>
  </si>
  <si>
    <t>go-deep</t>
  </si>
  <si>
    <t>Artificial Neural Network</t>
  </si>
  <si>
    <t>patrikeh/go-deep</t>
  </si>
  <si>
    <t>config</t>
  </si>
  <si>
    <t>JSON or YAML configuration wrapper with convenient access methods.</t>
  </si>
  <si>
    <t>olebedev/config</t>
  </si>
  <si>
    <t>tavor</t>
  </si>
  <si>
    <t>A generic fuzzing and delta-debugging framework</t>
  </si>
  <si>
    <t>zimmski/tavor</t>
  </si>
  <si>
    <t>clockwork</t>
  </si>
  <si>
    <t>a fake clock for golang</t>
  </si>
  <si>
    <t>jonboulle/clockwork</t>
  </si>
  <si>
    <t>ocrserver</t>
  </si>
  <si>
    <t>A simple OCR API server, seriously easy to be deployed by Docker, on Heroku as well</t>
  </si>
  <si>
    <t>otiai10/ocrserver</t>
  </si>
  <si>
    <t>winrm</t>
  </si>
  <si>
    <t>Command-line tool and library for Windows remote command execution in Go</t>
  </si>
  <si>
    <t>masterzen/winrm</t>
  </si>
  <si>
    <t>gountries</t>
  </si>
  <si>
    <t>Gountries provides: Countries (ISO-3166-1), Country Subdivisions(ISO-3166-2), Currencies (ISO 4217), Geo Coordinates(ISO-6709) as well as translations, country borders and other stuff exposed as struct data.</t>
  </si>
  <si>
    <t>pariz/gountries</t>
  </si>
  <si>
    <t>portmidi</t>
  </si>
  <si>
    <t>Go bindings for libportmidi</t>
  </si>
  <si>
    <t>rakyll/portmidi</t>
  </si>
  <si>
    <t>tbot</t>
  </si>
  <si>
    <t>Telegram Bot Server</t>
  </si>
  <si>
    <t>yanzay/tbot</t>
  </si>
  <si>
    <t>ggr</t>
  </si>
  <si>
    <t>A lightweight load balancer used to create big Selenium clusters</t>
  </si>
  <si>
    <t>aerokube/ggr</t>
  </si>
  <si>
    <t>gigo</t>
  </si>
  <si>
    <t>GIGO: PIP for GO</t>
  </si>
  <si>
    <t>LyricalSecurity/gigo</t>
  </si>
  <si>
    <t>go-colortext</t>
  </si>
  <si>
    <t>Change the color of console text.</t>
  </si>
  <si>
    <t>daviddengcn/go-colortext</t>
  </si>
  <si>
    <t>jsonql</t>
  </si>
  <si>
    <t>JSON query expression library in Golang.</t>
  </si>
  <si>
    <t>elgs/jsonql</t>
  </si>
  <si>
    <t>Selected Machine Learning algorithms for natural language processing and semantic analysis in Golang</t>
  </si>
  <si>
    <t>james-bowman/nlp</t>
  </si>
  <si>
    <t>pudge</t>
  </si>
  <si>
    <t>Fast and simple key/value store written using Go's standard library</t>
  </si>
  <si>
    <t>recoilme/pudge</t>
  </si>
  <si>
    <t>zek</t>
  </si>
  <si>
    <t>Generate a Go struct from XML.</t>
  </si>
  <si>
    <t>miku/zek</t>
  </si>
  <si>
    <t>goracle</t>
  </si>
  <si>
    <t>Oracle driver for Go, using the ODPI-C driver</t>
  </si>
  <si>
    <t>go-goracle/goracle</t>
  </si>
  <si>
    <t>gotabulate</t>
  </si>
  <si>
    <t>Gotabulate - Easily pretty-print your tabular data with Go</t>
  </si>
  <si>
    <t>bndr/gotabulate</t>
  </si>
  <si>
    <t>manssh</t>
  </si>
  <si>
    <t>Manage your ssh alias configs easily.</t>
  </si>
  <si>
    <t>xwjdsh/manssh</t>
  </si>
  <si>
    <t>A configuration library for Go that parses environment variables, JSON files, and reloads automatically on SIGHUP</t>
  </si>
  <si>
    <t>joshbetz/config</t>
  </si>
  <si>
    <t>ssh-vault</t>
  </si>
  <si>
    <t>🌰  encrypt/decrypt using ssh keys</t>
  </si>
  <si>
    <t>ssh-vault/ssh-vault</t>
  </si>
  <si>
    <t>go-carpet</t>
  </si>
  <si>
    <t>go-carpet - show test coverage in terminal for Go source files</t>
  </si>
  <si>
    <t>msoap/go-carpet</t>
  </si>
  <si>
    <t>go-runewidth</t>
  </si>
  <si>
    <t>wcwidth for golang</t>
  </si>
  <si>
    <t>mattn/go-runewidth</t>
  </si>
  <si>
    <t>pewpew</t>
  </si>
  <si>
    <t>Flexible HTTP command line stress tester for websites and web services</t>
  </si>
  <si>
    <t>bengadbois/pewpew</t>
  </si>
  <si>
    <t>goimagehash</t>
  </si>
  <si>
    <t>Go Perceptual image hashing package</t>
  </si>
  <si>
    <t>corona10/goimagehash</t>
  </si>
  <si>
    <t>gowd</t>
  </si>
  <si>
    <t>Build cross platform GUI apps with GO and HTML/JS/CSS (powered by nwjs)</t>
  </si>
  <si>
    <t>dtylman/gowd</t>
  </si>
  <si>
    <t>deepcopier</t>
  </si>
  <si>
    <t>simple struct copying for golang</t>
  </si>
  <si>
    <t>ulule/deepcopier</t>
  </si>
  <si>
    <t>cherry</t>
  </si>
  <si>
    <t>A tiny webchat server in Go.</t>
  </si>
  <si>
    <t>rafael-santiago/cherry</t>
  </si>
  <si>
    <t>charlatan</t>
  </si>
  <si>
    <t>Go Interface Mocking Tool</t>
  </si>
  <si>
    <t>percolate/charlatan</t>
  </si>
  <si>
    <t>go-marathon</t>
  </si>
  <si>
    <t>A GO API library for working with Marathon</t>
  </si>
  <si>
    <t>gambol99/go-marathon</t>
  </si>
  <si>
    <t>serve</t>
  </si>
  <si>
    <t>a static http server anywhere you need one.</t>
  </si>
  <si>
    <t>syntaqx/serve</t>
  </si>
  <si>
    <t>goskiplist</t>
  </si>
  <si>
    <t>A skip list implementation in Go</t>
  </si>
  <si>
    <t>ryszard/goskiplist</t>
  </si>
  <si>
    <t>rts</t>
  </si>
  <si>
    <t>RTS: request to struct. Generates Go structs from JSON server responses.</t>
  </si>
  <si>
    <t>galeone/rts</t>
  </si>
  <si>
    <t>algorithms</t>
  </si>
  <si>
    <t>CLRS study. Codes are written with golang.</t>
  </si>
  <si>
    <t>shady831213/algorithms</t>
  </si>
  <si>
    <t>arp</t>
  </si>
  <si>
    <t>Package arp implements the ARP protocol, as described in RFC 826. MIT Licensed.</t>
  </si>
  <si>
    <t>mdlayher/arp</t>
  </si>
  <si>
    <t>ethernet</t>
  </si>
  <si>
    <t>Package ethernet implements marshaling and unmarshaling of IEEE 802.3 Ethernet II frames and IEEE 802.1Q VLAN tags. MIT Licensed.</t>
  </si>
  <si>
    <t>mdlayher/ethernet</t>
  </si>
  <si>
    <t>minimock</t>
  </si>
  <si>
    <t>Powerful mock generation tool for Go programming language</t>
  </si>
  <si>
    <t>gojuno/minimock</t>
  </si>
  <si>
    <t>orange-cat</t>
  </si>
  <si>
    <t>A Markdown previewer written in Go</t>
  </si>
  <si>
    <t>utatti/orange-cat</t>
  </si>
  <si>
    <t>golang-crypto-trading-bot</t>
  </si>
  <si>
    <t>A golang implementation of a console-based trading bot for cryptocurrency exchanges</t>
  </si>
  <si>
    <t>saniales/golang-crypto-trading-bot</t>
  </si>
  <si>
    <t>gobrew</t>
  </si>
  <si>
    <t>Shell script to download and set GO environmental paths to allow multiple versions.</t>
  </si>
  <si>
    <t>cryptojuice/gobrew</t>
  </si>
  <si>
    <t>httpauth</t>
  </si>
  <si>
    <t>HTTP Authentication middlewares</t>
  </si>
  <si>
    <t>goji/httpauth</t>
  </si>
  <si>
    <t>hilbert</t>
  </si>
  <si>
    <t>Go package for mapping values to and from space-filling curves, such as Hilbert and Peano curves.</t>
  </si>
  <si>
    <t>google/hilbert</t>
  </si>
  <si>
    <t>go-cron</t>
  </si>
  <si>
    <t>A simple Cron library for go that can execute closures or functions at varying intervals, from once a second to once a year on a specific date and time. Primarily for web applications and long running daemons.</t>
  </si>
  <si>
    <t>rk/go-cron</t>
  </si>
  <si>
    <t>12 factor configuration as a typesafe struct in as little as two function calls</t>
  </si>
  <si>
    <t>JeremyLoy/config</t>
  </si>
  <si>
    <t>hjson-go</t>
  </si>
  <si>
    <t>Hjson for Go</t>
  </si>
  <si>
    <t>hjson/hjson-go</t>
  </si>
  <si>
    <t>go-trigger</t>
  </si>
  <si>
    <t>A Global event triggerer for golang. Defines functions as event with id string. Trigger the event anywhere from your project.</t>
  </si>
  <si>
    <t>sadlil/go-trigger</t>
  </si>
  <si>
    <t>piladb</t>
  </si>
  <si>
    <t>Lightweight RESTful database engine based on stack data structures</t>
  </si>
  <si>
    <t>fern4lvarez/piladb</t>
  </si>
  <si>
    <t>consistent</t>
  </si>
  <si>
    <t>Consistent hashing with bounded loads in Golang</t>
  </si>
  <si>
    <t>buraksezer/consistent</t>
  </si>
  <si>
    <t>sensorbee</t>
  </si>
  <si>
    <t>Lightweight stream processing engine for IoT</t>
  </si>
  <si>
    <t>sensorbee/sensorbee</t>
  </si>
  <si>
    <t>blast</t>
  </si>
  <si>
    <t>Blast is a simple tool for API load testing and batch jobs</t>
  </si>
  <si>
    <t>dave/blast</t>
  </si>
  <si>
    <t>speedtest-resize</t>
  </si>
  <si>
    <t>Compare various Image resize algorithms for the Go language</t>
  </si>
  <si>
    <t>fawick/speedtest-resize</t>
  </si>
  <si>
    <t>tenyks</t>
  </si>
  <si>
    <t>The Tenyks IRC bot.</t>
  </si>
  <si>
    <t>kyleterry/tenyks</t>
  </si>
  <si>
    <t>conform</t>
  </si>
  <si>
    <t>Trims, sanitizes &amp; scrubs data based on struct tags (go, golang)</t>
  </si>
  <si>
    <t>leebenson/conform</t>
  </si>
  <si>
    <t>interfaces</t>
  </si>
  <si>
    <t>Code generation tools for Go.</t>
  </si>
  <si>
    <t>rjeczalik/interfaces</t>
  </si>
  <si>
    <t>go-galib</t>
  </si>
  <si>
    <t>Genetic Algorithms library written in Go / golang</t>
  </si>
  <si>
    <t>thoj/go-galib</t>
  </si>
  <si>
    <t>re2dfa</t>
  </si>
  <si>
    <t>Transform regular expressions into finite state machines and output Go source code. This repository has migrated to https://gitlab.com/opennota/re2dfa</t>
  </si>
  <si>
    <t>opennota/re2dfa</t>
  </si>
  <si>
    <t>go-floc</t>
  </si>
  <si>
    <t>Floc: Orchestrate goroutines with ease.</t>
  </si>
  <si>
    <t>workanator/go-floc</t>
  </si>
  <si>
    <t>timeutil</t>
  </si>
  <si>
    <t>timeutil - useful extensions (Timedelta, Strftime, ...) to the golang's time package</t>
  </si>
  <si>
    <t>leekchan/timeutil</t>
  </si>
  <si>
    <t>hectane</t>
  </si>
  <si>
    <t>Lightweight SMTP client written in Go</t>
  </si>
  <si>
    <t>hectane/hectane</t>
  </si>
  <si>
    <t>ostent</t>
  </si>
  <si>
    <t>Ostent is a server tool to collect, display and report system metrics.</t>
  </si>
  <si>
    <t>ostrost/ostent</t>
  </si>
  <si>
    <t>apicompat</t>
  </si>
  <si>
    <t>apicompat checks recent changes to a Go project for backwards incompatible changes</t>
  </si>
  <si>
    <t>bradleyfalzon/apicompat</t>
  </si>
  <si>
    <t>climax</t>
  </si>
  <si>
    <t>Climax is an alternative CLI framework with "human face"</t>
  </si>
  <si>
    <t>tucnak/climax</t>
  </si>
  <si>
    <t>rez</t>
  </si>
  <si>
    <t>Image resizing in pure Go and SIMD</t>
  </si>
  <si>
    <t>bamiaux/rez</t>
  </si>
  <si>
    <t>connectordb</t>
  </si>
  <si>
    <t>An Open-Source Platform for Quantified Self &amp; IoT</t>
  </si>
  <si>
    <t>connectordb/connectordb</t>
  </si>
  <si>
    <t>ethrpc</t>
  </si>
  <si>
    <t>Golang client for ethereum json rpc api</t>
  </si>
  <si>
    <t>onrik/ethrpc</t>
  </si>
  <si>
    <t>go3d</t>
  </si>
  <si>
    <t>A performance oriented 2D/3D math package for Go</t>
  </si>
  <si>
    <t>ungerik/go3d</t>
  </si>
  <si>
    <t>Watch</t>
  </si>
  <si>
    <t>Watches for changes in a directory tree and reruns a command in an acme win or just on the terminal.</t>
  </si>
  <si>
    <t>eaburns/Watch</t>
  </si>
  <si>
    <t>sqrl</t>
  </si>
  <si>
    <t>elgris/sqrl</t>
  </si>
  <si>
    <t>renderer</t>
  </si>
  <si>
    <t>Simple, lightweight and faster response (JSON, JSONP, XML, YAML, HTML, File) rendering package for Go</t>
  </si>
  <si>
    <t>thedevsaddam/renderer</t>
  </si>
  <si>
    <t>router</t>
  </si>
  <si>
    <t>⚡️ A lightning fast HTTP router</t>
  </si>
  <si>
    <t>gowww/router</t>
  </si>
  <si>
    <t>go-astisub</t>
  </si>
  <si>
    <t>Manipulate subtitles in GO (.srt, .ssa/.ass, .stl, .ttml, .vtt (webvtt), teletext, etc.)</t>
  </si>
  <si>
    <t>asticode/go-astisub</t>
  </si>
  <si>
    <t>go-bind-plugin</t>
  </si>
  <si>
    <t>go-bind-plugin generates API for exported plugin symbols (-buildmode=plugin) - go1.8+ only (http://golang.org/pkg/plugin)</t>
  </si>
  <si>
    <t>wendigo/go-bind-plugin</t>
  </si>
  <si>
    <t>douceur</t>
  </si>
  <si>
    <t>A simple CSS parser and inliner in Go</t>
  </si>
  <si>
    <t>aymerick/douceur</t>
  </si>
  <si>
    <t>go-resources</t>
  </si>
  <si>
    <t>Unfancy resources embedding for Go with out of box http.FileSystem support.</t>
  </si>
  <si>
    <t>omeid/go-resources</t>
  </si>
  <si>
    <t>Go implementation of the Rust `dbg` macro</t>
  </si>
  <si>
    <t>tylerwince/godbg</t>
  </si>
  <si>
    <t>go-relax</t>
  </si>
  <si>
    <t>Framework for building RESTful API's in Go</t>
  </si>
  <si>
    <t>srfrog/go-relax</t>
  </si>
  <si>
    <t>gem</t>
  </si>
  <si>
    <t>no long maintain anymore</t>
  </si>
  <si>
    <t>go-gem/gem</t>
  </si>
  <si>
    <t>trayhost</t>
  </si>
  <si>
    <t>Cross-platform Go library to place an icon in the host operating system's taskbar.</t>
  </si>
  <si>
    <t>shurcooL/trayhost</t>
  </si>
  <si>
    <t>dupl</t>
  </si>
  <si>
    <t>a tool for code clone detection</t>
  </si>
  <si>
    <t>mibk/dupl</t>
  </si>
  <si>
    <t>rerun</t>
  </si>
  <si>
    <t>Configurable recompiling and rerunning go apps when source changes</t>
  </si>
  <si>
    <t>ivpusic/rerun</t>
  </si>
  <si>
    <t>gst</t>
  </si>
  <si>
    <t>Go bindings for GStreamer (retired: currently I don't use/develop this package)</t>
  </si>
  <si>
    <t>ziutek/gst</t>
  </si>
  <si>
    <t>moldova</t>
  </si>
  <si>
    <t>A lightweight templating system for generating random data</t>
  </si>
  <si>
    <t>StabbyCutyou/moldova</t>
  </si>
  <si>
    <t>utp</t>
  </si>
  <si>
    <t>Use anacrolix/go-libutp instead</t>
  </si>
  <si>
    <t>anacrolix/utp</t>
  </si>
  <si>
    <t>simple-scrypt</t>
  </si>
  <si>
    <t>A convenience library for generating, comparing and inspecting password hashes using the scrypt KDF in Go.</t>
  </si>
  <si>
    <t>elithrar/simple-scrypt</t>
  </si>
  <si>
    <t>jwt-auth</t>
  </si>
  <si>
    <t>This package provides json web token (jwt) middleware for goLang http servers</t>
  </si>
  <si>
    <t>adam-hanna/jwt-auth</t>
  </si>
  <si>
    <t>scaneo</t>
  </si>
  <si>
    <t>Generate Go code to convert database rows into arbitrary structs.</t>
  </si>
  <si>
    <t>variadico/scaneo</t>
  </si>
  <si>
    <t>termdash</t>
  </si>
  <si>
    <t>Terminal based dashboard.</t>
  </si>
  <si>
    <t>mum4k/termdash</t>
  </si>
  <si>
    <t>orb</t>
  </si>
  <si>
    <t>Types and utilities for working with 2d geometry in Golang</t>
  </si>
  <si>
    <t>paulmach/orb</t>
  </si>
  <si>
    <t>xquery</t>
  </si>
  <si>
    <t>Extract data or evaluate value from HTML/XML documents using XPath</t>
  </si>
  <si>
    <t>antchfx/xquery</t>
  </si>
  <si>
    <t>Terminal color rendering tool library, support 8/16 colors, 256 colors, RGB color rendering output, compatible with Windows. CLI 控制台颜色渲染工具库, 拥有简洁的使用API，支持16色，256色，RGB色彩渲染输出，兼容 Windows 环境</t>
  </si>
  <si>
    <t>gookit/color</t>
  </si>
  <si>
    <t>simpletable</t>
  </si>
  <si>
    <t>Simple tables in terminal with Go</t>
  </si>
  <si>
    <t>alexeyco/simpletable</t>
  </si>
  <si>
    <t>golang-graphics</t>
  </si>
  <si>
    <t>Community-contributed Go graphics files</t>
  </si>
  <si>
    <t>mholt/golang-graphics</t>
  </si>
  <si>
    <t>Small library to read your configuration from environment variables</t>
  </si>
  <si>
    <t>vrischmann/envconfig</t>
  </si>
  <si>
    <t>soy</t>
  </si>
  <si>
    <t>Go implementation for Soy templates (Google Closure templates)</t>
  </si>
  <si>
    <t>robfig/soy</t>
  </si>
  <si>
    <t>goRecommend</t>
  </si>
  <si>
    <t>Collaborative Filtering (CF) Algorithms in Go!</t>
  </si>
  <si>
    <t>timkaye11/goRecommend</t>
  </si>
  <si>
    <t>merkletree</t>
  </si>
  <si>
    <t>A Merkle Tree implementation written in Go.</t>
  </si>
  <si>
    <t>cbergoon/merkletree</t>
  </si>
  <si>
    <t>myreplication</t>
  </si>
  <si>
    <t>Golang MySql binary log replication listener</t>
  </si>
  <si>
    <t>2tvenom/myreplication</t>
  </si>
  <si>
    <t>guble</t>
  </si>
  <si>
    <t>websocket based messaging server written in golang</t>
  </si>
  <si>
    <t>smancke/guble</t>
  </si>
  <si>
    <t>goq</t>
  </si>
  <si>
    <t>A declarative struct-tag-based HTML unmarshaling or scraping package for Go built on top of the goquery library</t>
  </si>
  <si>
    <t>andrewstuart/goq</t>
  </si>
  <si>
    <t>go-txdb</t>
  </si>
  <si>
    <t>Immutable transaction isolated sql driver for golang</t>
  </si>
  <si>
    <t>DATA-DOG/go-txdb</t>
  </si>
  <si>
    <t>gojq</t>
  </si>
  <si>
    <t>JSON query in Golang</t>
  </si>
  <si>
    <t>elgs/gojq</t>
  </si>
  <si>
    <t>canopus</t>
  </si>
  <si>
    <t>CoAP Client/Server implementing RFC 7252 for the Go Language</t>
  </si>
  <si>
    <t>zubairhamed/canopus</t>
  </si>
  <si>
    <t>xpath</t>
  </si>
  <si>
    <t>XPath package for Golang, supported HTML, XML, JSON query.</t>
  </si>
  <si>
    <t>antchfx/xpath</t>
  </si>
  <si>
    <t>robustly</t>
  </si>
  <si>
    <t>Run functions resiliently in Go, catching and restarting panics</t>
  </si>
  <si>
    <t>VividCortex/robustly</t>
  </si>
  <si>
    <t>gotenv</t>
  </si>
  <si>
    <t>Load environment variables dynamically in Go.</t>
  </si>
  <si>
    <t>subosito/gotenv</t>
  </si>
  <si>
    <t>logger</t>
  </si>
  <si>
    <t>Minimalistic logging library for Go.</t>
  </si>
  <si>
    <t>azer/logger</t>
  </si>
  <si>
    <t>go-yara</t>
  </si>
  <si>
    <t>Go bindings for YARA</t>
  </si>
  <si>
    <t>hillu/go-yara</t>
  </si>
  <si>
    <t>go-bqstreamer</t>
  </si>
  <si>
    <t>Stream data into Google BigQuery concurrently using InsertAll()</t>
  </si>
  <si>
    <t>kikinteractive/go-bqstreamer</t>
  </si>
  <si>
    <t>antch</t>
  </si>
  <si>
    <t>Antch, a fast, powerful and extensible web crawling &amp; scraping framework for Go</t>
  </si>
  <si>
    <t>antchfx/antch</t>
  </si>
  <si>
    <t>vasto</t>
  </si>
  <si>
    <t>A distributed key-value store. On Disk. Able to grow or shrink without service interruption.</t>
  </si>
  <si>
    <t>chrislusf/vasto</t>
  </si>
  <si>
    <t>c4go</t>
  </si>
  <si>
    <t>Transpiling C code to Go code</t>
  </si>
  <si>
    <t>Konstantin8105/c4go</t>
  </si>
  <si>
    <t>img</t>
  </si>
  <si>
    <t>A selection of image manipulation tools</t>
  </si>
  <si>
    <t>hawx/img</t>
  </si>
  <si>
    <t>blas</t>
  </si>
  <si>
    <t>Go implementation of BLAS (Basic Linear Algebra Subprograms)</t>
  </si>
  <si>
    <t>ziutek/blas</t>
  </si>
  <si>
    <t>Go cross-platform OpenGL bindings.</t>
  </si>
  <si>
    <t>goxjs/gl</t>
  </si>
  <si>
    <t>orbit</t>
  </si>
  <si>
    <t>:satellite: A cross-platform task runner for executing commands and generating files from templates</t>
  </si>
  <si>
    <t>gulien/orbit</t>
  </si>
  <si>
    <t>Bloom filters implemented in Go.</t>
  </si>
  <si>
    <t>zentures/bloom</t>
  </si>
  <si>
    <t>xlog</t>
  </si>
  <si>
    <t>xlog is a logger for net/context aware HTTP applications</t>
  </si>
  <si>
    <t>rs/xlog</t>
  </si>
  <si>
    <t>battery</t>
  </si>
  <si>
    <t>cross-platform, normalized battery information library</t>
  </si>
  <si>
    <t>distatus/battery</t>
  </si>
  <si>
    <t>death</t>
  </si>
  <si>
    <t>Managing go application shutdown with signals.</t>
  </si>
  <si>
    <t>vrecan/death</t>
  </si>
  <si>
    <t>go-libsass</t>
  </si>
  <si>
    <t>Go wrapper for libsass, the only Sass 3.5 compiler for Go</t>
  </si>
  <si>
    <t>wellington/go-libsass</t>
  </si>
  <si>
    <t>retry</t>
  </si>
  <si>
    <t>♻️ The most advanced interruptible mechanism to perform actions repetitively until successful.</t>
  </si>
  <si>
    <t>kamilsk/retry</t>
  </si>
  <si>
    <t>gohistogram</t>
  </si>
  <si>
    <t>Streaming approximate histograms in Go</t>
  </si>
  <si>
    <t>VividCortex/gohistogram</t>
  </si>
  <si>
    <t>apm</t>
  </si>
  <si>
    <t>APM is a process manager for Golang applications.</t>
  </si>
  <si>
    <t>topfreegames/apm</t>
  </si>
  <si>
    <t>techan</t>
  </si>
  <si>
    <t>Technical Analysis Library for Golang</t>
  </si>
  <si>
    <t>sdcoffey/techan</t>
  </si>
  <si>
    <t>grapes</t>
  </si>
  <si>
    <t>easy way to distribute commands over ssh.</t>
  </si>
  <si>
    <t>yaronsumel/grapes</t>
  </si>
  <si>
    <t>shield</t>
  </si>
  <si>
    <t>Bayesian text classifier with flexible tokenizers and storage backends for Go</t>
  </si>
  <si>
    <t>eaigner/shield</t>
  </si>
  <si>
    <t>errlog</t>
  </si>
  <si>
    <t>Hackable error handling package that uses stack-trace and static analysis to determine which func call is responsible for your error. Pluggable to any logger in-place.</t>
  </si>
  <si>
    <t>snwfdhmp/errlog</t>
  </si>
  <si>
    <t>go-sqlbuilder</t>
  </si>
  <si>
    <t>A flexible and powerful SQL string builder library plus a zero-config ORM.</t>
  </si>
  <si>
    <t>huandu/go-sqlbuilder</t>
  </si>
  <si>
    <t>util</t>
  </si>
  <si>
    <t>A collection of useful utility functions</t>
  </si>
  <si>
    <t>shomali11/util</t>
  </si>
  <si>
    <t>go-sarah</t>
  </si>
  <si>
    <t>Simple yet customizable bot framework written in Go.</t>
  </si>
  <si>
    <t>oklahomer/go-sarah</t>
  </si>
  <si>
    <t>redis-lock</t>
  </si>
  <si>
    <t>bsm/redis-lock</t>
  </si>
  <si>
    <t>formam</t>
  </si>
  <si>
    <t>a package for decode form's values into struct in Go</t>
  </si>
  <si>
    <t>monoculum/formam</t>
  </si>
  <si>
    <t>ffmt</t>
  </si>
  <si>
    <t>Golang beautify data display for Humans</t>
  </si>
  <si>
    <t>go-ffmt/ffmt</t>
  </si>
  <si>
    <t>:chart_with_upwards_trend: Monitors Go MemStats + System stats such as Memory, Swap and CPU and sends via UDP anywhere you want for logging etc...</t>
  </si>
  <si>
    <t>go-playground/stats</t>
  </si>
  <si>
    <t>gostorm</t>
  </si>
  <si>
    <t>GoStorm is a Go library that implements the communications protocol required to write Storm spouts and Bolts in Go that communicate with the Storm shells.</t>
  </si>
  <si>
    <t>jsgilmore/gostorm</t>
  </si>
  <si>
    <t>kazaam</t>
  </si>
  <si>
    <t>Arbitrary transformations of JSON in Golang</t>
  </si>
  <si>
    <t>qntfy/kazaam</t>
  </si>
  <si>
    <t>kelp</t>
  </si>
  <si>
    <t>Kelp is a free and open-source trading bot for the Stellar universal marketplace</t>
  </si>
  <si>
    <t>stellar/kelp</t>
  </si>
  <si>
    <t>joincap</t>
  </si>
  <si>
    <t>Merge multiple pcap files together, gracefully.</t>
  </si>
  <si>
    <t>assafmo/joincap</t>
  </si>
  <si>
    <t>VenGO</t>
  </si>
  <si>
    <t>Create and manage Isolated Virtual Environments for Go</t>
  </si>
  <si>
    <t>DamnWidget/VenGO</t>
  </si>
  <si>
    <t>php_session_decoder</t>
  </si>
  <si>
    <t>PHP session encoder/decoder written in Go</t>
  </si>
  <si>
    <t>yvasiyarov/php_session_decoder</t>
  </si>
  <si>
    <t>clickhouse-bulk</t>
  </si>
  <si>
    <t>Collects many small insterts to ClickHouse and send in big inserts</t>
  </si>
  <si>
    <t>nikepan/clickhouse-bulk</t>
  </si>
  <si>
    <t>hipchat</t>
  </si>
  <si>
    <t>A golang package to communicate with HipChat over XMPP</t>
  </si>
  <si>
    <t>daneharrigan/hipchat</t>
  </si>
  <si>
    <t>go-rest</t>
  </si>
  <si>
    <t>A small and evil REST framework for Go</t>
  </si>
  <si>
    <t>ungerik/go-rest</t>
  </si>
  <si>
    <t>go-benchmarks</t>
  </si>
  <si>
    <t>A few miscellaneous Go microbenchmarks.</t>
  </si>
  <si>
    <t>tylertreat/go-benchmarks</t>
  </si>
  <si>
    <t>gubrak</t>
  </si>
  <si>
    <t>⚙️ Golang utility library with syntactic sugar. It's like lodash, but for golang.</t>
  </si>
  <si>
    <t>novalagung/gubrak</t>
  </si>
  <si>
    <t>gcfg</t>
  </si>
  <si>
    <t>read INI-style configuration files into Go structs; supports user-defined types and subsections</t>
  </si>
  <si>
    <t>go-gcfg/gcfg</t>
  </si>
  <si>
    <t>jazigo</t>
  </si>
  <si>
    <t>Jazigo is a tool written in Go for retrieving configuration for multiple devices, similar to rancid, fetchconfig, oxidized, Sweet.</t>
  </si>
  <si>
    <t>udhos/jazigo</t>
  </si>
  <si>
    <t>gospec</t>
  </si>
  <si>
    <t>Testing framework for Go. Allows writing self-documenting tests/specifications, and executes them concurrently and safely isolated. [UNMAINTAINED]</t>
  </si>
  <si>
    <t>luontola/gospec</t>
  </si>
  <si>
    <t>medium-sdk-go</t>
  </si>
  <si>
    <t>A Golang SDK for Medium's OAuth2 API</t>
  </si>
  <si>
    <t>Medium/medium-sdk-go</t>
  </si>
  <si>
    <t>binpacker</t>
  </si>
  <si>
    <t>A binary stream packer and unpacker</t>
  </si>
  <si>
    <t>zhuangsirui/binpacker</t>
  </si>
  <si>
    <t>jsonrpc</t>
  </si>
  <si>
    <t>The jsonrpc package helps implement of JSON-RPC 2.0</t>
  </si>
  <si>
    <t>osamingo/jsonrpc</t>
  </si>
  <si>
    <t>sslb</t>
  </si>
  <si>
    <t>Golang Super Simple Load Balance</t>
  </si>
  <si>
    <t>eduardonunesp/sslb</t>
  </si>
  <si>
    <t>zeus</t>
  </si>
  <si>
    <t>Go HTTP router.</t>
  </si>
  <si>
    <t>daryl/zeus</t>
  </si>
  <si>
    <t>gonerics</t>
  </si>
  <si>
    <t>Generics for go</t>
  </si>
  <si>
    <t>bouk/gonerics</t>
  </si>
  <si>
    <t>This project implements a Go client library for the Hipchat API.</t>
  </si>
  <si>
    <t>andybons/hipchat</t>
  </si>
  <si>
    <t>gval</t>
  </si>
  <si>
    <t>Expression evaluation in golang</t>
  </si>
  <si>
    <t>PaesslerAG/gval</t>
  </si>
  <si>
    <t>grimoire</t>
  </si>
  <si>
    <t>Database access layer for golang</t>
  </si>
  <si>
    <t>Fs02/grimoire</t>
  </si>
  <si>
    <t>dht</t>
  </si>
  <si>
    <t>dht is used by anacrolix/torrent, and is intended for use as a library in other projects both torrent related and otherwise</t>
  </si>
  <si>
    <t>anacrolix/dht</t>
  </si>
  <si>
    <t>goose</t>
  </si>
  <si>
    <t>Go database migration tool</t>
  </si>
  <si>
    <t>steinbacher/goose</t>
  </si>
  <si>
    <t>github_flavored_markdown</t>
  </si>
  <si>
    <t>GitHub Flavored Markdown renderer with fenced code block highlighting, clickable header anchor links.</t>
  </si>
  <si>
    <t>shurcooL/github_flavored_markdown</t>
  </si>
  <si>
    <t>ozzo-log</t>
  </si>
  <si>
    <t>A Go (golang) package providing high-performance asynchronous logging, message filtering by severity and category, and multiple message targets.</t>
  </si>
  <si>
    <t>go-ozzo/ozzo-log</t>
  </si>
  <si>
    <t>chyle</t>
  </si>
  <si>
    <t>Changelog generator : use a git repository and various data sources and publish the result on external services</t>
  </si>
  <si>
    <t>antham/chyle</t>
  </si>
  <si>
    <t>aero</t>
  </si>
  <si>
    <t>:herb: Fast and secure web server for Go.</t>
  </si>
  <si>
    <t>aerogo/aero</t>
  </si>
  <si>
    <t>cachego</t>
  </si>
  <si>
    <t>Golang Cache component - Multiple drivers</t>
  </si>
  <si>
    <t>fabiorphp/cachego</t>
  </si>
  <si>
    <t>go-sitemap-generator</t>
  </si>
  <si>
    <t>go-sitemap-generator is the easiest way to generate Sitemaps in Go</t>
  </si>
  <si>
    <t>ikeikeikeike/go-sitemap-generator</t>
  </si>
  <si>
    <t>alien</t>
  </si>
  <si>
    <t>A lightweight and  fast http router from outer space</t>
  </si>
  <si>
    <t>gernest/alien</t>
  </si>
  <si>
    <t>goconfig</t>
  </si>
  <si>
    <t>goconfig uses a struct as input and populates the fields of this struct with parameters from command line, environment variables and configuration file.</t>
  </si>
  <si>
    <t>crgimenes/goconfig</t>
  </si>
  <si>
    <t>lk</t>
  </si>
  <si>
    <t>Simple licensing library for golang.</t>
  </si>
  <si>
    <t>hyperboloide/lk</t>
  </si>
  <si>
    <t>geocache</t>
  </si>
  <si>
    <t>Geocache is an in-memory cache that is suitable for geolocation based applications.</t>
  </si>
  <si>
    <t>melihmucuk/geocache</t>
  </si>
  <si>
    <t>firebirdsql</t>
  </si>
  <si>
    <t>Firebird RDBMS sql driver for Go (golang)</t>
  </si>
  <si>
    <t>nakagami/firebirdsql</t>
  </si>
  <si>
    <t>htmlquery</t>
  </si>
  <si>
    <t>htmlquery is Golang XPath package for HTML query.</t>
  </si>
  <si>
    <t>antchfx/htmlquery</t>
  </si>
  <si>
    <t>hanu</t>
  </si>
  <si>
    <t>Golang Framework for writing Slack bots</t>
  </si>
  <si>
    <t>sbstjn/hanu</t>
  </si>
  <si>
    <t>forms</t>
  </si>
  <si>
    <t>A lightweight go library for parsing form data or json from an http.Request.</t>
  </si>
  <si>
    <t>albrow/forms</t>
  </si>
  <si>
    <t>go-fann</t>
  </si>
  <si>
    <t>Go bindings for FANN, library for artificial neural networks</t>
  </si>
  <si>
    <t>white-pony/go-fann</t>
  </si>
  <si>
    <t>lrserver</t>
  </si>
  <si>
    <t>LiveReload server for Go [golang]</t>
  </si>
  <si>
    <t>jaschaephraim/lrserver</t>
  </si>
  <si>
    <t>id3v2</t>
  </si>
  <si>
    <t>🎵 ID3 parsing and writing library for Go</t>
  </si>
  <si>
    <t>bogem/id3v2</t>
  </si>
  <si>
    <t>go-trending</t>
  </si>
  <si>
    <t>Go library for accessing trending repositories and developers at Github.</t>
  </si>
  <si>
    <t>andygrunwald/go-trending</t>
  </si>
  <si>
    <t>rql</t>
  </si>
  <si>
    <t>Resource Query Language for REST</t>
  </si>
  <si>
    <t>a8m/rql</t>
  </si>
  <si>
    <t>go-flow</t>
  </si>
  <si>
    <t>Simply way to control goroutines execution order based on dependencies</t>
  </si>
  <si>
    <t>kamildrazkiewicz/go-flow</t>
  </si>
  <si>
    <t>yubigo</t>
  </si>
  <si>
    <t>Yubigo is a Yubikey client API library that provides an easy way to integrate the Yubico Yubikey into your existing Go-based user authentication infrastructure.</t>
  </si>
  <si>
    <t>GeertJohan/yubigo</t>
  </si>
  <si>
    <t>clif</t>
  </si>
  <si>
    <t>Another CLI framework for Go. It works on my machine.</t>
  </si>
  <si>
    <t>ukautz/clif</t>
  </si>
  <si>
    <t>flac</t>
  </si>
  <si>
    <t>Package flac provides access to FLAC (Free Lossless Audio Codec) streams.</t>
  </si>
  <si>
    <t>mewkiz/flac</t>
  </si>
  <si>
    <t>flag</t>
  </si>
  <si>
    <t>Flag is a simple but powerful command line option parsing library for Go support infinite level subcommand</t>
  </si>
  <si>
    <t>cosiner/flag</t>
  </si>
  <si>
    <t>go-rquad</t>
  </si>
  <si>
    <t>State of the art point location and neighbour finding algorithms for region quadtrees, in Go</t>
  </si>
  <si>
    <t>arl/go-rquad</t>
  </si>
  <si>
    <t>colorgo</t>
  </si>
  <si>
    <t>Colorize (highlight) `go build` command output</t>
  </si>
  <si>
    <t>songgao/colorgo</t>
  </si>
  <si>
    <t>checkstyle</t>
  </si>
  <si>
    <t>checkstyle for go</t>
  </si>
  <si>
    <t>qiniu/checkstyle</t>
  </si>
  <si>
    <t>A Simplified Golang Http Client</t>
  </si>
  <si>
    <t>smallnest/goreq</t>
  </si>
  <si>
    <t>overalls</t>
  </si>
  <si>
    <t>:jeans:Multi-Package go project coverprofile for tools like goveralls</t>
  </si>
  <si>
    <t>go-playground/overalls</t>
  </si>
  <si>
    <t>oplog</t>
  </si>
  <si>
    <t>A generic oplog/replication system for microservices</t>
  </si>
  <si>
    <t>dailymotion/oplog</t>
  </si>
  <si>
    <t>violetear</t>
  </si>
  <si>
    <t>Go HTTP router</t>
  </si>
  <si>
    <t>nbari/violetear</t>
  </si>
  <si>
    <t>go-store</t>
  </si>
  <si>
    <t>A simple and fast Redis backed key-value store library for Go</t>
  </si>
  <si>
    <t>gosuri/go-store</t>
  </si>
  <si>
    <t>trello</t>
  </si>
  <si>
    <t>Trello API wrapper for Go</t>
  </si>
  <si>
    <t>adlio/trello</t>
  </si>
  <si>
    <t>gotest.tools</t>
  </si>
  <si>
    <t>A collection of packages to augment the go testing package and support common patterns.</t>
  </si>
  <si>
    <t>gotestyourself/gotest.tools</t>
  </si>
  <si>
    <t>encoding</t>
  </si>
  <si>
    <t>Integer Compression Libraries for Go</t>
  </si>
  <si>
    <t>zentures/encoding</t>
  </si>
  <si>
    <t>gnxi</t>
  </si>
  <si>
    <t>gNXI Tools - gRPC Network Management/Operations Interface Tools</t>
  </si>
  <si>
    <t>google/gnxi</t>
  </si>
  <si>
    <t>huego</t>
  </si>
  <si>
    <t>An extensive Philips Hue client library for Go with an emphasis on simplicity</t>
  </si>
  <si>
    <t>amimof/huego</t>
  </si>
  <si>
    <t>envh</t>
  </si>
  <si>
    <t>Go helpers to manage environment variables</t>
  </si>
  <si>
    <t>antham/envh</t>
  </si>
  <si>
    <t>rye</t>
  </si>
  <si>
    <t>A tiny http middleware for Golang with added handlers for common needs.</t>
  </si>
  <si>
    <t>InVisionApp/rye</t>
  </si>
  <si>
    <t>Bxog</t>
  </si>
  <si>
    <t>Bxog is a simple and fast HTTP router for Go (HTTP request multiplexer).</t>
  </si>
  <si>
    <t>claygod/Bxog</t>
  </si>
  <si>
    <t>gospeed</t>
  </si>
  <si>
    <t>Go micro-benchmarks for calculating the speed of language constructs</t>
  </si>
  <si>
    <t>feyeleanor/gospeed</t>
  </si>
  <si>
    <t>mix</t>
  </si>
  <si>
    <t>Sequence-based Go-native audio mixer for music apps</t>
  </si>
  <si>
    <t>go-mix/mix</t>
  </si>
  <si>
    <t>envcfg</t>
  </si>
  <si>
    <t>Un-marshaling environment variables to Go structs</t>
  </si>
  <si>
    <t>tomazk/envcfg</t>
  </si>
  <si>
    <t>onecache</t>
  </si>
  <si>
    <t>One caching API, Multiple backends</t>
  </si>
  <si>
    <t>adelowo/onecache</t>
  </si>
  <si>
    <t>autobench</t>
  </si>
  <si>
    <t>Go benchmark harness.</t>
  </si>
  <si>
    <t>davecheney/autobench</t>
  </si>
  <si>
    <t>workerpool</t>
  </si>
  <si>
    <t>Concurrency limiting goroutine pool</t>
  </si>
  <si>
    <t>gammazero/workerpool</t>
  </si>
  <si>
    <t>go-sox</t>
  </si>
  <si>
    <t>libsox bindings for go</t>
  </si>
  <si>
    <t>krig/go-sox</t>
  </si>
  <si>
    <t>xmux</t>
  </si>
  <si>
    <t>xmux is a httprouter fork on top of xhandler (net/context aware)</t>
  </si>
  <si>
    <t>rs/xmux</t>
  </si>
  <si>
    <t>easyssh-proxy</t>
  </si>
  <si>
    <t>easyssh-proxy provides a simple implementation of some SSH protocol features in Go</t>
  </si>
  <si>
    <t>appleboy/easyssh-proxy</t>
  </si>
  <si>
    <t>ddns</t>
  </si>
  <si>
    <t>Personal DDNS client with Digital Ocean Networking DNS as backend.</t>
  </si>
  <si>
    <t>skibish/ddns</t>
  </si>
  <si>
    <t>jsongo</t>
  </si>
  <si>
    <t>Fluent API to make it easier to create Json objects.</t>
  </si>
  <si>
    <t>ricardolonga/jsongo</t>
  </si>
  <si>
    <t>gofreetds</t>
  </si>
  <si>
    <t>Go Sql Server database driver.</t>
  </si>
  <si>
    <t>minus5/gofreetds</t>
  </si>
  <si>
    <t>structomap</t>
  </si>
  <si>
    <t>Easily and dynamically generate maps from Go static structures</t>
  </si>
  <si>
    <t>danhper/structomap</t>
  </si>
  <si>
    <t>A simple go implementation of json rpc 2.0 client over http</t>
  </si>
  <si>
    <t>ybbus/jsonrpc</t>
  </si>
  <si>
    <t>go-cairo</t>
  </si>
  <si>
    <t>Go binding for the cairo graphics library</t>
  </si>
  <si>
    <t>ungerik/go-cairo</t>
  </si>
  <si>
    <t>ttlcache</t>
  </si>
  <si>
    <t>An in-memory string-interface{} map with various expiration options for golang</t>
  </si>
  <si>
    <t>ReneKroon/ttlcache</t>
  </si>
  <si>
    <t>go-adodb</t>
  </si>
  <si>
    <t>Microsoft ActiveX Object DataBase driver for go that using exp/sql</t>
  </si>
  <si>
    <t>mattn/go-adodb</t>
  </si>
  <si>
    <t>mp3</t>
  </si>
  <si>
    <t>golang mp3 frame parser</t>
  </si>
  <si>
    <t>tcolgate/mp3</t>
  </si>
  <si>
    <t>skiplist</t>
  </si>
  <si>
    <t>A Go library for an efficient implementation of a skip list: https://godoc.org/github.com/MauriceGit/skiplist</t>
  </si>
  <si>
    <t>MauriceGit/skiplist</t>
  </si>
  <si>
    <t>ring</t>
  </si>
  <si>
    <t>Package ring provides a high performance and thread safe Go implementation of a bloom filter.</t>
  </si>
  <si>
    <t>TheTannerRyan/ring</t>
  </si>
  <si>
    <t>bitio</t>
  </si>
  <si>
    <t>Highly optimized bit-level Reader and Writer for Go.</t>
  </si>
  <si>
    <t>icza/bitio</t>
  </si>
  <si>
    <t>goes</t>
  </si>
  <si>
    <t>A library to interact with Elasticsearch in Go!</t>
  </si>
  <si>
    <t>belogik/goes</t>
  </si>
  <si>
    <t>d3d9</t>
  </si>
  <si>
    <t>Direct3D9 wrapper for Go.</t>
  </si>
  <si>
    <t>gonutz/d3d9</t>
  </si>
  <si>
    <t>go-nmea</t>
  </si>
  <si>
    <t>A NMEA parser library in pure Go</t>
  </si>
  <si>
    <t>adrianmo/go-nmea</t>
  </si>
  <si>
    <t>logvoyage</t>
  </si>
  <si>
    <t>LogVoyage - logging SaaS written in GoLang</t>
  </si>
  <si>
    <t>firstrow/logvoyage</t>
  </si>
  <si>
    <t>session</t>
  </si>
  <si>
    <t>Go session management for web servers (including support for Google App Engine - GAE).</t>
  </si>
  <si>
    <t>icza/session</t>
  </si>
  <si>
    <t>mvn-golang</t>
  </si>
  <si>
    <t>A Maven plugin allows to build Go applications with maven</t>
  </si>
  <si>
    <t>raydac/mvn-golang</t>
  </si>
  <si>
    <t>go-tgbot</t>
  </si>
  <si>
    <t>Golang  telegram bot API wrapper, session-based router and middleware</t>
  </si>
  <si>
    <t>olebedev/go-tgbot</t>
  </si>
  <si>
    <t>grender</t>
  </si>
  <si>
    <t>Go package for easily rendering JSON/XML data and HTML templates</t>
  </si>
  <si>
    <t>dannyvankooten/grender</t>
  </si>
  <si>
    <t>go-message</t>
  </si>
  <si>
    <t>:envelope: A streaming Go library for the Internet Message Format and mail messages</t>
  </si>
  <si>
    <t>emersion/go-message</t>
  </si>
  <si>
    <t>ln-paywall</t>
  </si>
  <si>
    <t>Go middleware for monetizing your API on a per-request basis with Bitcoin and Lightning ⚡️</t>
  </si>
  <si>
    <t>philippgille/ln-paywall</t>
  </si>
  <si>
    <t>argparse</t>
  </si>
  <si>
    <t>Argparse for golang. Just because `flag` sucks</t>
  </si>
  <si>
    <t>akamensky/argparse</t>
  </si>
  <si>
    <t>pkgreflect</t>
  </si>
  <si>
    <t>A Go preprocessor for package scoped reflection</t>
  </si>
  <si>
    <t>ungerik/pkgreflect</t>
  </si>
  <si>
    <t>A Free Lossless Audio Codec decoder in Go</t>
  </si>
  <si>
    <t>eaburns/flac</t>
  </si>
  <si>
    <t>gores</t>
  </si>
  <si>
    <t>Go package that handles HTML, JSON, XML and etc. responses</t>
  </si>
  <si>
    <t>alioygur/gores</t>
  </si>
  <si>
    <t>slowpoke</t>
  </si>
  <si>
    <t>Low-level key/value store in pure Go.</t>
  </si>
  <si>
    <t>recoilme/slowpoke</t>
  </si>
  <si>
    <t>vim-compiler-go</t>
  </si>
  <si>
    <t>Vim compiler plugin for Go (golang)</t>
  </si>
  <si>
    <t>rjohnsondev/vim-compiler-go</t>
  </si>
  <si>
    <t>core</t>
  </si>
  <si>
    <t>Pure handlers stack</t>
  </si>
  <si>
    <t>volatile/core</t>
  </si>
  <si>
    <t>liquid</t>
  </si>
  <si>
    <t>A complete Liquid template engine in Go</t>
  </si>
  <si>
    <t>osteele/liquid</t>
  </si>
  <si>
    <t>mimetype</t>
  </si>
  <si>
    <t>A golang library for detecting mime types and extensions based on magic numbers</t>
  </si>
  <si>
    <t>gabriel-vasile/mimetype</t>
  </si>
  <si>
    <t>fpGo</t>
  </si>
  <si>
    <t>Monad, Functional Programming features for Golang</t>
  </si>
  <si>
    <t>TeaEntityLab/fpGo</t>
  </si>
  <si>
    <t>darwin</t>
  </si>
  <si>
    <t>Database schema evolution library for Go</t>
  </si>
  <si>
    <t>GuiaBolso/darwin</t>
  </si>
  <si>
    <t>go-nlp</t>
  </si>
  <si>
    <t>Utilities for working with discrete probability distributions and other tools useful for doing NLP work</t>
  </si>
  <si>
    <t>nuance/go-nlp</t>
  </si>
  <si>
    <t>sflags</t>
  </si>
  <si>
    <t>Generate flags by parsing structures</t>
  </si>
  <si>
    <t>octago/sflags</t>
  </si>
  <si>
    <t>glop</t>
  </si>
  <si>
    <t>Bare-bones osx alternative to sdl</t>
  </si>
  <si>
    <t>runningwild/glop</t>
  </si>
  <si>
    <t>igor</t>
  </si>
  <si>
    <t>igor is an abstraction layer for PostgreSQL with a gorm like syntax.</t>
  </si>
  <si>
    <t>galeone/igor</t>
  </si>
  <si>
    <t>endly</t>
  </si>
  <si>
    <t>End to end functional test and automation framework</t>
  </si>
  <si>
    <t>viant/endly</t>
  </si>
  <si>
    <t>go-bsdiff</t>
  </si>
  <si>
    <t>Pure Go bsdiff and bspatch libraries and CLI tools.</t>
  </si>
  <si>
    <t>gabstv/go-bsdiff</t>
  </si>
  <si>
    <t>pure</t>
  </si>
  <si>
    <t>:non-potable_water: Is a lightweight  HTTP router that sticks to the std "net/http" implementation</t>
  </si>
  <si>
    <t>go-playground/pure</t>
  </si>
  <si>
    <t>toolbox</t>
  </si>
  <si>
    <t>Toolbox - go utility library</t>
  </si>
  <si>
    <t>viant/toolbox</t>
  </si>
  <si>
    <t>goga</t>
  </si>
  <si>
    <t>Golang Genetic Algorithm</t>
  </si>
  <si>
    <t>tomcraven/goga</t>
  </si>
  <si>
    <t>xtcp</t>
  </si>
  <si>
    <t>A TCP Server Framework with graceful shutdown, custom protocol.</t>
  </si>
  <si>
    <t>xfxdev/xtcp</t>
  </si>
  <si>
    <t>wmenu</t>
  </si>
  <si>
    <t>An easy to use menu structure for cli applications that prompts users to make choices.</t>
  </si>
  <si>
    <t>dixonwille/wmenu</t>
  </si>
  <si>
    <t>commandeer</t>
  </si>
  <si>
    <t>Automatically sets up command line flags based on struct fields and tags.</t>
  </si>
  <si>
    <t>jaffee/commandeer</t>
  </si>
  <si>
    <t>go-enum</t>
  </si>
  <si>
    <t>An enum generator for go</t>
  </si>
  <si>
    <t>abice/go-enum</t>
  </si>
  <si>
    <t>turtle</t>
  </si>
  <si>
    <t>Emojis for Go 😄 🐢 🚀</t>
  </si>
  <si>
    <t>hackebrot/turtle</t>
  </si>
  <si>
    <t>hiboot</t>
  </si>
  <si>
    <t>hiboot is a high performance web and cli application framework with dependency injection support</t>
  </si>
  <si>
    <t>hidevopsio/hiboot</t>
  </si>
  <si>
    <t>Neo4j-GO</t>
  </si>
  <si>
    <t>Neo4j REST Client in golang</t>
  </si>
  <si>
    <t>davemeehan/Neo4j-GO</t>
  </si>
  <si>
    <t>boxed</t>
  </si>
  <si>
    <t>dropbox based blog engine, written in go.</t>
  </si>
  <si>
    <t>tejo/boxed</t>
  </si>
  <si>
    <t>garyburd/redigo</t>
  </si>
  <si>
    <t>argon2pw</t>
  </si>
  <si>
    <t>Argon2 password hashing package for go with constant time hash comparison</t>
  </si>
  <si>
    <t>raja/argon2pw</t>
  </si>
  <si>
    <t>xff</t>
  </si>
  <si>
    <t>A Golang Middleware to handle X-Forwarded-For Header</t>
  </si>
  <si>
    <t>sebest/xff</t>
  </si>
  <si>
    <t>govcr</t>
  </si>
  <si>
    <t>HTTP mock for Golang: record and replay HTTP/HTTPS interactions for offline testing</t>
  </si>
  <si>
    <t>seborama/govcr</t>
  </si>
  <si>
    <t>kasia.go</t>
  </si>
  <si>
    <t>Templating system for HTML and other text documents - go implementation</t>
  </si>
  <si>
    <t>ziutek/kasia.go</t>
  </si>
  <si>
    <t>go-adaptive-radix-tree</t>
  </si>
  <si>
    <t>Adaptive Radix Trees implemented in Go</t>
  </si>
  <si>
    <t>plar/go-adaptive-radix-tree</t>
  </si>
  <si>
    <t>webgo</t>
  </si>
  <si>
    <t>A mini-toolkit/micro-framework to build web apps; with handler chaining, middleware and context injection, with standard library compliant HTTP handlers(i.e. http.HandlerFunc).</t>
  </si>
  <si>
    <t>bnkamalesh/webgo</t>
  </si>
  <si>
    <t>cupaloy</t>
  </si>
  <si>
    <t>Simple Go snapshot testing</t>
  </si>
  <si>
    <t>bradleyjkemp/cupaloy</t>
  </si>
  <si>
    <t>go-rejson</t>
  </si>
  <si>
    <t>Golang client for redislabs' ReJSON module with support for multilple redis clients (redigo, go-redis)</t>
  </si>
  <si>
    <t>nitishm/go-rejson</t>
  </si>
  <si>
    <t>semaphore</t>
  </si>
  <si>
    <t>🚦 Semaphore pattern implementation with timeout of lock/unlock operations.</t>
  </si>
  <si>
    <t>kamilsk/semaphore</t>
  </si>
  <si>
    <t>unis</t>
  </si>
  <si>
    <t>UNIS: A Common Architecture for String Utilities within the Go Programming Language.</t>
  </si>
  <si>
    <t>esemplastic/unis</t>
  </si>
  <si>
    <t>gh</t>
  </si>
  <si>
    <t>Scriptable server and net/http middleware for GitHub Webhooks.</t>
  </si>
  <si>
    <t>rjeczalik/gh</t>
  </si>
  <si>
    <t>healthcheck</t>
  </si>
  <si>
    <t>An simple, easily extensible and concurrent health-check library for Go services</t>
  </si>
  <si>
    <t>etherlabsio/healthcheck</t>
  </si>
  <si>
    <t>pm</t>
  </si>
  <si>
    <t>Processlist manager with TCP listener</t>
  </si>
  <si>
    <t>VividCortex/pm</t>
  </si>
  <si>
    <t>golax</t>
  </si>
  <si>
    <t>Golax, a go implementation for the Lax framework.</t>
  </si>
  <si>
    <t>fulldump/golax</t>
  </si>
  <si>
    <t>go-vcs</t>
  </si>
  <si>
    <t>manipulate and inspect VCS repositories in Go</t>
  </si>
  <si>
    <t>sourcegraph/go-vcs</t>
  </si>
  <si>
    <t>velvet</t>
  </si>
  <si>
    <t>A sweet velvety templating package</t>
  </si>
  <si>
    <t>gobuffalo/velvet</t>
  </si>
  <si>
    <t>xferspdy</t>
  </si>
  <si>
    <t>Xferspdy provides binary diff and patch library in golang. (Also added to http://awesome-go.com/)</t>
  </si>
  <si>
    <t>monmohan/xferspdy</t>
  </si>
  <si>
    <t>Fast resizable golang semaphore</t>
  </si>
  <si>
    <t>marusama/semaphore</t>
  </si>
  <si>
    <t>go-taglib</t>
  </si>
  <si>
    <t>Go wrapper for taglib</t>
  </si>
  <si>
    <t>wtolson/go-taglib</t>
  </si>
  <si>
    <t>arangolite</t>
  </si>
  <si>
    <t>Lightweight Golang driver for ArangoDB</t>
  </si>
  <si>
    <t>solher/arangolite</t>
  </si>
  <si>
    <t>cachet</t>
  </si>
  <si>
    <t>Go(lang) client library for Cachet (open source status page system).</t>
  </si>
  <si>
    <t>andygrunwald/cachet</t>
  </si>
  <si>
    <t>iso8601</t>
  </si>
  <si>
    <t>A fast ISO8601 date parser for Go</t>
  </si>
  <si>
    <t>relvacode/iso8601</t>
  </si>
  <si>
    <t>gounidecode</t>
  </si>
  <si>
    <t>Unicode transliterator for #golang</t>
  </si>
  <si>
    <t>fiam/gounidecode</t>
  </si>
  <si>
    <t>dbcleaner</t>
  </si>
  <si>
    <t>Clean database for testing, inspired by database_cleaner for Ruby</t>
  </si>
  <si>
    <t>khaiql/dbcleaner</t>
  </si>
  <si>
    <t>netbug</t>
  </si>
  <si>
    <t>Package netbug provides a handler for registering profilers on your own ServeMux.</t>
  </si>
  <si>
    <t>e-dard/netbug</t>
  </si>
  <si>
    <t>jwt</t>
  </si>
  <si>
    <t>This is an implementation of JWT in golang!</t>
  </si>
  <si>
    <t>robbert229/jwt</t>
  </si>
  <si>
    <t>failpoint</t>
  </si>
  <si>
    <t>An implementation of failpoints for Golang.</t>
  </si>
  <si>
    <t>pingcap/failpoint</t>
  </si>
  <si>
    <t>dynago</t>
  </si>
  <si>
    <t>A DynamoDB client for Go</t>
  </si>
  <si>
    <t>underarmour/dynago</t>
  </si>
  <si>
    <t>chain</t>
  </si>
  <si>
    <t>Composable chains of nested http.Handler instances.</t>
  </si>
  <si>
    <t>codemodus/chain</t>
  </si>
  <si>
    <t>⏰ A simple and intuitive scheduling library in Go.</t>
  </si>
  <si>
    <t>whiteShtef/clockwork</t>
  </si>
  <si>
    <t>conjungo</t>
  </si>
  <si>
    <t>A small flexible merge library in go</t>
  </si>
  <si>
    <t>InVisionApp/conjungo</t>
  </si>
  <si>
    <t>GoSlaves</t>
  </si>
  <si>
    <t>Fast asynchonous goroutine pool for Golang</t>
  </si>
  <si>
    <t>dgrr/GoSlaves</t>
  </si>
  <si>
    <t>gommit</t>
  </si>
  <si>
    <t>Enforce git message commit consistency</t>
  </si>
  <si>
    <t>antham/gommit</t>
  </si>
  <si>
    <t>gomodel</t>
  </si>
  <si>
    <t>[UNMATAINED] A lightweight, fast, orm-like library helps interactive with database</t>
  </si>
  <si>
    <t>cosiner/gomodel</t>
  </si>
  <si>
    <t>TextRank</t>
  </si>
  <si>
    <t>:wink: :cyclone: :strawberry: TextRank implementation in Golang with extendable features (summarization, phrase extraction) and multithreading (goroutine) support (Go 1.8, 1.9, 1.10)</t>
  </si>
  <si>
    <t>DavidBelicza/TextRank</t>
  </si>
  <si>
    <t>sdp</t>
  </si>
  <si>
    <t>RFC 4566 SDP implementation in go</t>
  </si>
  <si>
    <t>gortc/sdp</t>
  </si>
  <si>
    <t>:heart: Health check your applications and dependencies</t>
  </si>
  <si>
    <t>Talento90/go-health</t>
  </si>
  <si>
    <t>validate</t>
  </si>
  <si>
    <t>A Go package to automatically validate fields with tags</t>
  </si>
  <si>
    <t>mccoyst/validate</t>
  </si>
  <si>
    <t>kcli</t>
  </si>
  <si>
    <t>A kafka command line browser</t>
  </si>
  <si>
    <t>cswank/kcli</t>
  </si>
  <si>
    <t>gopher-logos</t>
  </si>
  <si>
    <t>adorable gopher logos</t>
  </si>
  <si>
    <t>GolangUA/gopher-logos</t>
  </si>
  <si>
    <t>bambam</t>
  </si>
  <si>
    <t>auto-generate capnproto schema from your golang source files. Depends on go-capnproto-1.0 at https://github.com/glycerine/go-capnproto</t>
  </si>
  <si>
    <t>glycerine/bambam</t>
  </si>
  <si>
    <t>Run linters from Go code -</t>
  </si>
  <si>
    <t>surullabs/lint</t>
  </si>
  <si>
    <t>radix</t>
  </si>
  <si>
    <t>A fast string sorting algorithm (MSD radix sort)</t>
  </si>
  <si>
    <t>yourbasic/radix</t>
  </si>
  <si>
    <t>go-unarr</t>
  </si>
  <si>
    <t>Go bindings for unarr (decompression library for RAR, TAR, ZIP and 7z archives)</t>
  </si>
  <si>
    <t>gen2brain/go-unarr</t>
  </si>
  <si>
    <t>getlang</t>
  </si>
  <si>
    <t>Natural language detection package in pure Go</t>
  </si>
  <si>
    <t>rylans/getlang</t>
  </si>
  <si>
    <t>gokv</t>
  </si>
  <si>
    <t>Simple key-value store abstraction and implementations for Go (Redis, Consul, etcd, bbolt, BadgerDB, LevelDB, Memcached, DynamoDB, S3, PostgreSQL, MongoDB, CockroachDB and many more)</t>
  </si>
  <si>
    <t>philippgille/gokv</t>
  </si>
  <si>
    <t>skizze</t>
  </si>
  <si>
    <t>A probabilistic data structure service and storage</t>
  </si>
  <si>
    <t>seiflotfy/skizze</t>
  </si>
  <si>
    <t>rabtap</t>
  </si>
  <si>
    <t>RabbitMQ wire tap and swiss army knife</t>
  </si>
  <si>
    <t>jandelgado/rabtap</t>
  </si>
  <si>
    <t>vectormath</t>
  </si>
  <si>
    <t>Vectormath for Go</t>
  </si>
  <si>
    <t>spate/vectormath</t>
  </si>
  <si>
    <t>neural-go</t>
  </si>
  <si>
    <t>A multilayer perceptron network implemented in Go, with training via backpropagation.</t>
  </si>
  <si>
    <t>schuyler/neural-go</t>
  </si>
  <si>
    <t>go-furnace</t>
  </si>
  <si>
    <t>Go Hosting Solution with CloudFormation and CodeDeploy</t>
  </si>
  <si>
    <t>go-furnace/go-furnace</t>
  </si>
  <si>
    <t>ether</t>
  </si>
  <si>
    <t>A Go package for sending and receiving ethernet frames. Currently supporting Linux, Freebsd, and OS X.</t>
  </si>
  <si>
    <t>songgao/ether</t>
  </si>
  <si>
    <t>textcat</t>
  </si>
  <si>
    <t>A Go package for n-gram based text categorization, with support for utf-8 and raw text</t>
  </si>
  <si>
    <t>pebbe/textcat</t>
  </si>
  <si>
    <t>malgo</t>
  </si>
  <si>
    <t>Mini audio library</t>
  </si>
  <si>
    <t>gen2brain/malgo</t>
  </si>
  <si>
    <t>timespan</t>
  </si>
  <si>
    <t>Golang package to manipulate time intervals.</t>
  </si>
  <si>
    <t>SaidinWoT/timespan</t>
  </si>
  <si>
    <t>skiplist for golang</t>
  </si>
  <si>
    <t>gansidui/skiplist</t>
  </si>
  <si>
    <t>cfmt</t>
  </si>
  <si>
    <t>:art: Contextual fmt inspired by bootstrap color classes</t>
  </si>
  <si>
    <t>mingrammer/cfmt</t>
  </si>
  <si>
    <t>libsvm</t>
  </si>
  <si>
    <t>libsvm go version</t>
  </si>
  <si>
    <t>datastream/libsvm</t>
  </si>
  <si>
    <t>JSON Web Token library</t>
  </si>
  <si>
    <t>pascaldekloe/jwt</t>
  </si>
  <si>
    <t>winrm-cli</t>
  </si>
  <si>
    <t>Command-line tool to remotely execute commands on Windows machines through WinRM</t>
  </si>
  <si>
    <t>masterzen/winrm-cli</t>
  </si>
  <si>
    <t>MMSEGO</t>
  </si>
  <si>
    <t>Chinese word splitting algorithm MMSEG in GO</t>
  </si>
  <si>
    <t>awsong/MMSEGO</t>
  </si>
  <si>
    <t>multitick</t>
  </si>
  <si>
    <t>A multiplexor for aligned time.Time tickers in Go</t>
  </si>
  <si>
    <t>VividCortex/multitick</t>
  </si>
  <si>
    <t>rabbus</t>
  </si>
  <si>
    <t>A tiny wrapper over amqp exchanges and queues 🚌 ✨</t>
  </si>
  <si>
    <t>rafaeljesus/rabbus</t>
  </si>
  <si>
    <t>clockwerk</t>
  </si>
  <si>
    <t>Job Scheduling Library</t>
  </si>
  <si>
    <t>onatm/clockwerk</t>
  </si>
  <si>
    <t>vat</t>
  </si>
  <si>
    <t>Go package for dealing with EU VAT. Does VAT number validation &amp; rates retrieval.</t>
  </si>
  <si>
    <t>dannyvankooten/vat</t>
  </si>
  <si>
    <t>gofigure</t>
  </si>
  <si>
    <t>Go configuration made easy!</t>
  </si>
  <si>
    <t>ian-kent/gofigure</t>
  </si>
  <si>
    <t>drone-line</t>
  </si>
  <si>
    <t>Sending line notifications using a binary, docker or Drone CI.</t>
  </si>
  <si>
    <t>appleboy/drone-line</t>
  </si>
  <si>
    <t>dhcp6</t>
  </si>
  <si>
    <t>Package dhcp6 implements a DHCPv6 server, as described in RFC 3315. MIT Licensed.</t>
  </si>
  <si>
    <t>mdlayher/dhcp6</t>
  </si>
  <si>
    <t>Go cross-platform glfw library for creating an OpenGL context and receiving events.</t>
  </si>
  <si>
    <t>goxjs/glfw</t>
  </si>
  <si>
    <t>wstest</t>
  </si>
  <si>
    <t>go websocket client for unit testing of a websocket handler</t>
  </si>
  <si>
    <t>posener/wstest</t>
  </si>
  <si>
    <t>clarifai-go</t>
  </si>
  <si>
    <t>Clarifai library for Go</t>
  </si>
  <si>
    <t>Clarifai/clarifai-go</t>
  </si>
  <si>
    <t>megos</t>
  </si>
  <si>
    <t>Go(lang) client library for accessing information of an Apache Mesos cluster.</t>
  </si>
  <si>
    <t>andygrunwald/megos</t>
  </si>
  <si>
    <t>sparse</t>
  </si>
  <si>
    <t>Sparse matrix formats for linear algebra supporting scientific and machine learning applications</t>
  </si>
  <si>
    <t>james-bowman/sparse</t>
  </si>
  <si>
    <t>pushover</t>
  </si>
  <si>
    <t>Go wrapper for the Pushover API</t>
  </si>
  <si>
    <t>gregdel/pushover</t>
  </si>
  <si>
    <t>go-pr</t>
  </si>
  <si>
    <t>Pattern recognition package in Go lang.</t>
  </si>
  <si>
    <t>daviddengcn/go-pr</t>
  </si>
  <si>
    <t>strutil</t>
  </si>
  <si>
    <t>String utilities for Go</t>
  </si>
  <si>
    <t>ozgio/strutil</t>
  </si>
  <si>
    <t>gjo</t>
  </si>
  <si>
    <t>Small utility to create JSON objects</t>
  </si>
  <si>
    <t>skanehira/gjo</t>
  </si>
  <si>
    <t>branca</t>
  </si>
  <si>
    <t>:key: Secure alternative to JWT. Authenticated Encrypted API Tokens for Go.</t>
  </si>
  <si>
    <t>hako/branca</t>
  </si>
  <si>
    <t>Go config manage(load,get,set). support JSON, YAML, TOML, INI, HCL, ENV and Flags. Multi file load, data override merge, parse ENV var. Go应用配置加载管理，支持多种格式，多文件加载，远程文件加载，支持数据合并，解析环境变量名</t>
  </si>
  <si>
    <t>gookit/config</t>
  </si>
  <si>
    <t>neat</t>
  </si>
  <si>
    <t>NEAT (NeuroEvolution of Augmenting Topologies) implemented in Go</t>
  </si>
  <si>
    <t>jinyeom/neat</t>
  </si>
  <si>
    <t>mssqlx</t>
  </si>
  <si>
    <t>Database client library, proxy for any master slave, master master structures. Lightweight, performant and auto balancing in mind.</t>
  </si>
  <si>
    <t>linxGnu/mssqlx</t>
  </si>
  <si>
    <t>wrap</t>
  </si>
  <si>
    <t>Go http.Hander based middleware stack with context sharing</t>
  </si>
  <si>
    <t>go-on/wrap</t>
  </si>
  <si>
    <t>marlow</t>
  </si>
  <si>
    <t>golang generator for type-safe sql api constructs</t>
  </si>
  <si>
    <t>dadleyy/marlow</t>
  </si>
  <si>
    <t>ofxgo</t>
  </si>
  <si>
    <t>Golang library for querying and parsing OFX</t>
  </si>
  <si>
    <t>aclindsa/ofxgo</t>
  </si>
  <si>
    <t>microservice</t>
  </si>
  <si>
    <t>This library provides a simple framework of microservice, which includes a configurator, a logger, metrics, and of course the handler</t>
  </si>
  <si>
    <t>claygod/microservice</t>
  </si>
  <si>
    <t>RapidMQ</t>
  </si>
  <si>
    <t>RapidMQ is a pure, extremely productive, lightweight and reliable library for managing of the local messages queue</t>
  </si>
  <si>
    <t>sybrexsys/RapidMQ</t>
  </si>
  <si>
    <t>jsonf</t>
  </si>
  <si>
    <t>Console JSON formatter with query feature</t>
  </si>
  <si>
    <t>miolini/jsonf</t>
  </si>
  <si>
    <t>gaad</t>
  </si>
  <si>
    <t>GAAD (Go Advanced Audio Decoder)</t>
  </si>
  <si>
    <t>Comcast/gaad</t>
  </si>
  <si>
    <t>gpool</t>
  </si>
  <si>
    <t>gpool - a generic context-aware resizable goroutines pool to bound concurrency.</t>
  </si>
  <si>
    <t>sherifabdlnaby/gpool</t>
  </si>
  <si>
    <t>repeat</t>
  </si>
  <si>
    <t>Go implementation of different backoff strategies useful for retrying operations and heartbeating.</t>
  </si>
  <si>
    <t>ssgreg/repeat</t>
  </si>
  <si>
    <t>Go package for data validation and filtering. support Map, Struct, Form data. Go通用的数据验证与过滤库，使用简单，内置大部分常用验证、过滤器，支持自定义验证器、自定义消息、字段翻译。</t>
  </si>
  <si>
    <t>gookit/validate</t>
  </si>
  <si>
    <t>drone-scp</t>
  </si>
  <si>
    <t>Copy files and artifacts via SSH using a binary, docker or Drone CI.</t>
  </si>
  <si>
    <t>appleboy/drone-scp</t>
  </si>
  <si>
    <t>statics</t>
  </si>
  <si>
    <t>:file_folder: Embeds static resources into go files for single binary compilation + works with http.FileSystem + symlinks</t>
  </si>
  <si>
    <t>go-playground/statics</t>
  </si>
  <si>
    <t>websysd</t>
  </si>
  <si>
    <t>Like Marathon or Upstart - for your desktop!</t>
  </si>
  <si>
    <t>websysd/websysd</t>
  </si>
  <si>
    <t>opc</t>
  </si>
  <si>
    <t>Go implementation of the Open Packaging Conventions (OPC)</t>
  </si>
  <si>
    <t>qmuntal/opc</t>
  </si>
  <si>
    <t>margelet</t>
  </si>
  <si>
    <t>Telegram Bot Framework for Go</t>
  </si>
  <si>
    <t>zhulik/margelet</t>
  </si>
  <si>
    <t>gocostmodel</t>
  </si>
  <si>
    <t>Benchmarks of common basic operations for the Go language.</t>
  </si>
  <si>
    <t>mna/gocostmodel</t>
  </si>
  <si>
    <t>go-stem</t>
  </si>
  <si>
    <t>Word Stemming in Go</t>
  </si>
  <si>
    <t>agonopol/go-stem</t>
  </si>
  <si>
    <t>libvlc-go</t>
  </si>
  <si>
    <t>Go bindings for libvlc 2.X/3.X/4.X used by the VLC media player</t>
  </si>
  <si>
    <t>adrg/libvlc-go</t>
  </si>
  <si>
    <t>go-couchdb</t>
  </si>
  <si>
    <t>Yet another CouchDB HTTP API wrapper for Go</t>
  </si>
  <si>
    <t>fjl/go-couchdb</t>
  </si>
  <si>
    <t>go-persian-calendar</t>
  </si>
  <si>
    <t>The implementation of the Persian (Solar Hijri) Calendar in Go (golang)</t>
  </si>
  <si>
    <t>yaa110/go-persian-calendar</t>
  </si>
  <si>
    <t>igdb</t>
  </si>
  <si>
    <t>Go client for the Internet Game Database API</t>
  </si>
  <si>
    <t>Henry-Sarabia/igdb</t>
  </si>
  <si>
    <t>gop</t>
  </si>
  <si>
    <t>Manage dependencies and build Go projects outside GOPATH</t>
  </si>
  <si>
    <t>lunny/gop</t>
  </si>
  <si>
    <t>mergi</t>
  </si>
  <si>
    <t>Fun and lightweight image programming tool + library (merge, crop, resize, watermark, animate, easing)</t>
  </si>
  <si>
    <t>noelyahan/mergi</t>
  </si>
  <si>
    <t>indigo</t>
  </si>
  <si>
    <t>A distributed unique ID generator of using Sonyflake and encoded by Base58</t>
  </si>
  <si>
    <t>osamingo/indigo</t>
  </si>
  <si>
    <t>graphql parser + utilities</t>
  </si>
  <si>
    <t>tmc/graphql</t>
  </si>
  <si>
    <t>gospecify</t>
  </si>
  <si>
    <t>A BDD library for Go</t>
  </si>
  <si>
    <t>stesla/gospecify</t>
  </si>
  <si>
    <t>abutil</t>
  </si>
  <si>
    <t>[UNMAINTAINED] :ab: A collection of often-used Golang helpers</t>
  </si>
  <si>
    <t>bahlo/abutil</t>
  </si>
  <si>
    <t>godbal</t>
  </si>
  <si>
    <t>Database Abstraction Layer (dbal) for Go. Support SQL builder and get result easily  (now only support mysql)</t>
  </si>
  <si>
    <t>xujiajun/godbal</t>
  </si>
  <si>
    <t>minquery</t>
  </si>
  <si>
    <t>MongoDB / mgo query that supports efficient pagination (cursors to continue listing documents where we left off).</t>
  </si>
  <si>
    <t>icza/minquery</t>
  </si>
  <si>
    <t>golang-sql-benchmark</t>
  </si>
  <si>
    <t>A benchmarking shootout of various db/SQL utilities for Go</t>
  </si>
  <si>
    <t>tyler-smith/golang-sql-benchmark</t>
  </si>
  <si>
    <t>telegraph</t>
  </si>
  <si>
    <t>📚 Official unofficial Golang bindings for Telegraph API</t>
  </si>
  <si>
    <t>toby3d/telegraph</t>
  </si>
  <si>
    <t>random gopher graphics</t>
  </si>
  <si>
    <t>rogeralsing/gophers</t>
  </si>
  <si>
    <t>fireball</t>
  </si>
  <si>
    <t>Go web framework with a natural feel</t>
  </si>
  <si>
    <t>zpatrick/fireball</t>
  </si>
  <si>
    <t>message-bus</t>
  </si>
  <si>
    <t>Go simple async message bus</t>
  </si>
  <si>
    <t>vardius/message-bus</t>
  </si>
  <si>
    <t>restit</t>
  </si>
  <si>
    <t>A Go library help testing your RESTful API application</t>
  </si>
  <si>
    <t>go-restit/restit</t>
  </si>
  <si>
    <t>gmqtt</t>
  </si>
  <si>
    <t>Gmqtt is a flexible, high-performance MQTT broker library that fully implements the MQTT protocol V3.1.1 in golang</t>
  </si>
  <si>
    <t>DrmagicE/gmqtt</t>
  </si>
  <si>
    <t>transaction</t>
  </si>
  <si>
    <t>Embedded database for accounts transactions.</t>
  </si>
  <si>
    <t>claygod/transaction</t>
  </si>
  <si>
    <t>smtp</t>
  </si>
  <si>
    <t>MailHog SMTP Protocol</t>
  </si>
  <si>
    <t>mailhog/smtp</t>
  </si>
  <si>
    <t>celeriac.v1</t>
  </si>
  <si>
    <t>Golang client library for adding support for interacting and monitoring Celery workers, tasks and events.</t>
  </si>
  <si>
    <t>svcavallar/celeriac.v1</t>
  </si>
  <si>
    <t>Fast and safe way to read/update your existing Excel xlsx files</t>
  </si>
  <si>
    <t>plandem/xlsx</t>
  </si>
  <si>
    <t>gocontracts</t>
  </si>
  <si>
    <t>A tool for design-by-contract in Go</t>
  </si>
  <si>
    <t>Parquery/gocontracts</t>
  </si>
  <si>
    <t>morse</t>
  </si>
  <si>
    <t>Morse Code Library in Go</t>
  </si>
  <si>
    <t>alwindoss/morse</t>
  </si>
  <si>
    <t>go-gd</t>
  </si>
  <si>
    <t>Go bingings for GD (http://www.boutell.com/gd/)</t>
  </si>
  <si>
    <t>bolknote/go-gd</t>
  </si>
  <si>
    <t>nsq-event-bus</t>
  </si>
  <si>
    <t>A tiny wrapper around NSQ topic and channel :rocket:</t>
  </si>
  <si>
    <t>rafaeljesus/nsq-event-bus</t>
  </si>
  <si>
    <t>configure</t>
  </si>
  <si>
    <t>Configure is a Go package that gives you easy configuration of your project through redundancy</t>
  </si>
  <si>
    <t>paked/configure</t>
  </si>
  <si>
    <t>genex</t>
  </si>
  <si>
    <t>Genex package for Go</t>
  </si>
  <si>
    <t>alixaxel/genex</t>
  </si>
  <si>
    <t>osm</t>
  </si>
  <si>
    <t>General purpose library for reading, writing and working with OpenStreetMap data</t>
  </si>
  <si>
    <t>paulmach/osm</t>
  </si>
  <si>
    <t>go-unidecode</t>
  </si>
  <si>
    <t>ASCII transliterations of Unicode text.</t>
  </si>
  <si>
    <t>mozillazg/go-unidecode</t>
  </si>
  <si>
    <t>stemmer</t>
  </si>
  <si>
    <t>Stemmer packages for Go programming language. Includes English, German and Dutch stemmers.</t>
  </si>
  <si>
    <t>dchest/stemmer</t>
  </si>
  <si>
    <t>align</t>
  </si>
  <si>
    <t>A general purpose application and library for aligning text.</t>
  </si>
  <si>
    <t>Guitarbum722/align</t>
  </si>
  <si>
    <t>yarf</t>
  </si>
  <si>
    <t>Yet Another REST Framework</t>
  </si>
  <si>
    <t>yarf-framework/yarf</t>
  </si>
  <si>
    <t>Simple and complete API for building command line applications in Go</t>
  </si>
  <si>
    <t>teris-io/cli</t>
  </si>
  <si>
    <t>go-dkim</t>
  </si>
  <si>
    <t>DKIM package for golang</t>
  </si>
  <si>
    <t>toorop/go-dkim</t>
  </si>
  <si>
    <t>segment</t>
  </si>
  <si>
    <t>A Go library for performing Unicode Text Segmentation as described in Unicode Standard Annex #29</t>
  </si>
  <si>
    <t>blevesearch/segment</t>
  </si>
  <si>
    <t>pagerank</t>
  </si>
  <si>
    <t>Weighted PageRank implementation in Go</t>
  </si>
  <si>
    <t>alixaxel/pagerank</t>
  </si>
  <si>
    <t>go-notify</t>
  </si>
  <si>
    <t>Package notify provides an implementation of the Gnome DBus Notifications Specification.</t>
  </si>
  <si>
    <t>TheCreeper/go-notify</t>
  </si>
  <si>
    <t>go-outdated</t>
  </si>
  <si>
    <t>Find outdated golang packages</t>
  </si>
  <si>
    <t>firstrow/go-outdated</t>
  </si>
  <si>
    <t>levenshtein</t>
  </si>
  <si>
    <t>Go implementation to calculate Levenshtein Distance.</t>
  </si>
  <si>
    <t>agnivade/levenshtein</t>
  </si>
  <si>
    <t>go-astitodo</t>
  </si>
  <si>
    <t>Parse TODOs in your GO code</t>
  </si>
  <si>
    <t>asticode/go-astitodo</t>
  </si>
  <si>
    <t>dropship</t>
  </si>
  <si>
    <t>Super simple deployment tool</t>
  </si>
  <si>
    <t>ChrisMcKenzie/dropship</t>
  </si>
  <si>
    <t>gads</t>
  </si>
  <si>
    <t>Google Adwords API for Go</t>
  </si>
  <si>
    <t>emiddleton/gads</t>
  </si>
  <si>
    <t>go-testdeep</t>
  </si>
  <si>
    <t>Extremely flexible golang deep comparison, extends the go testing package</t>
  </si>
  <si>
    <t>maxatome/go-testdeep</t>
  </si>
  <si>
    <t>octillery</t>
  </si>
  <si>
    <t>Go package for sharding databases ( Supports every ORM or raw SQL )</t>
  </si>
  <si>
    <t>knocknote/octillery</t>
  </si>
  <si>
    <t>skywalker</t>
  </si>
  <si>
    <t>A package to allow one to concurrently go through a filesystem with ease</t>
  </si>
  <si>
    <t>dixonwille/skywalker</t>
  </si>
  <si>
    <t>glg</t>
  </si>
  <si>
    <t>Simple and fast lockfree logging library for golang</t>
  </si>
  <si>
    <t>kpango/glg</t>
  </si>
  <si>
    <t>Logging packages for Go</t>
  </si>
  <si>
    <t>alexcesaro/log</t>
  </si>
  <si>
    <t>dataframe-go</t>
  </si>
  <si>
    <t>DataFrame for statistics and data manipulation</t>
  </si>
  <si>
    <t>rocketlaunchr/dataframe-go</t>
  </si>
  <si>
    <t>golog</t>
  </si>
  <si>
    <t>Easy and simple CLI time tracker for your tasks</t>
  </si>
  <si>
    <t>mlimaloureiro/golog</t>
  </si>
  <si>
    <t>golang-scribble</t>
  </si>
  <si>
    <t>A tiny Golang JSON database</t>
  </si>
  <si>
    <t>nanobox-io/golang-scribble</t>
  </si>
  <si>
    <t>go-zero-width</t>
  </si>
  <si>
    <t>Zero-width character detection and removal for Go</t>
  </si>
  <si>
    <t>trubitsyn/go-zero-width</t>
  </si>
  <si>
    <t>mimemagic</t>
  </si>
  <si>
    <t>Powerful and versatile MIME sniffing package using pre-compiled glob patterns, magic number signatures, XML document namespaces, and tree magic for mounted volumes, generated from the XDG shared-mime-info database.</t>
  </si>
  <si>
    <t>zRedShift/mimemagic</t>
  </si>
  <si>
    <t>sessions</t>
  </si>
  <si>
    <t>A dead simple, highly performant, highly customizable sessions middleware for go http servers.</t>
  </si>
  <si>
    <t>adam-hanna/sessions</t>
  </si>
  <si>
    <t>portproxy</t>
  </si>
  <si>
    <t>TCP proxy, highjacks HTTP to allow CORS</t>
  </si>
  <si>
    <t>aybabtme/portproxy</t>
  </si>
  <si>
    <t>linkio</t>
  </si>
  <si>
    <t>Simulate network link speed</t>
  </si>
  <si>
    <t>ian-kent/linkio</t>
  </si>
  <si>
    <t>go-csv-tag</t>
  </si>
  <si>
    <t>Read csv file from go using tags</t>
  </si>
  <si>
    <t>artonge/go-csv-tag</t>
  </si>
  <si>
    <t>guesslanguage</t>
  </si>
  <si>
    <t>Guess the natural language of a text in Go</t>
  </si>
  <si>
    <t>endeveit/guesslanguage</t>
  </si>
  <si>
    <t>count-min-log</t>
  </si>
  <si>
    <t>Go implementation of Count-Min-Log</t>
  </si>
  <si>
    <t>seiflotfy/count-min-log</t>
  </si>
  <si>
    <t>efaceconv</t>
  </si>
  <si>
    <t>t0pep0/efaceconv</t>
  </si>
  <si>
    <t>geom</t>
  </si>
  <si>
    <t>2d geometry for golang</t>
  </si>
  <si>
    <t>skelterjohn/geom</t>
  </si>
  <si>
    <t>handy</t>
  </si>
  <si>
    <t>GO Golang Utilities and helpers like validators and string formatters</t>
  </si>
  <si>
    <t>miguelpragier/handy</t>
  </si>
  <si>
    <t>avatica</t>
  </si>
  <si>
    <t>DEPRECATED - Moved to github.com/apache/calcite-avatica-go</t>
  </si>
  <si>
    <t>Boostport/avatica</t>
  </si>
  <si>
    <t>Go Server/API micro framwework, HTTP request router, multiplexer, mux</t>
  </si>
  <si>
    <t>vardius/gorouter</t>
  </si>
  <si>
    <t>goback</t>
  </si>
  <si>
    <t>Golang simple exponential backoff package.</t>
  </si>
  <si>
    <t>carlescere/goback</t>
  </si>
  <si>
    <t>RAKE.Go</t>
  </si>
  <si>
    <t>A Go port of the Rapid Automatic Keyword Extraction algorithm (RAKE)</t>
  </si>
  <si>
    <t>afjoseph/RAKE.Go</t>
  </si>
  <si>
    <t>uadmin</t>
  </si>
  <si>
    <t>The web framework for Golang</t>
  </si>
  <si>
    <t>uadmin/uadmin</t>
  </si>
  <si>
    <t>asn1</t>
  </si>
  <si>
    <t>Asn.1 BER and DER encoding library for golang.</t>
  </si>
  <si>
    <t>Logicalis/asn1</t>
  </si>
  <si>
    <t>couchcache</t>
  </si>
  <si>
    <t>A RESTful caching micro-service in Go backed by Couchbase</t>
  </si>
  <si>
    <t>codingsince1985/couchcache</t>
  </si>
  <si>
    <t>go-amazon-product-advertising-api</t>
  </si>
  <si>
    <t>Go Client Library for Amazon Product Advertising API</t>
  </si>
  <si>
    <t>ngs/go-amazon-product-advertising-api</t>
  </si>
  <si>
    <t>This package provides a framework for writing validations for Go applications.</t>
  </si>
  <si>
    <t>markbates/validate</t>
  </si>
  <si>
    <t>xkg</t>
  </si>
  <si>
    <t>User level X Keyboard Grabber</t>
  </si>
  <si>
    <t>go-xkg/xkg</t>
  </si>
  <si>
    <t>golinear</t>
  </si>
  <si>
    <t>liblinear bindings for Go</t>
  </si>
  <si>
    <t>danieldk/golinear</t>
  </si>
  <si>
    <t>gologger</t>
  </si>
  <si>
    <t>The Simplest and worst logging library ever written</t>
  </si>
  <si>
    <t>sadlil/gologger</t>
  </si>
  <si>
    <t>deque</t>
  </si>
  <si>
    <t>Fast ring-buffer deque (double-ended queue)</t>
  </si>
  <si>
    <t>gammazero/deque</t>
  </si>
  <si>
    <t>evaler</t>
  </si>
  <si>
    <t>Implements a simple floating point arithmetic expression evaluator in Go (golang).</t>
  </si>
  <si>
    <t>soniah/evaler</t>
  </si>
  <si>
    <t>captcha</t>
  </si>
  <si>
    <t>:sunglasses:Package captcha provides an easy to use, unopinionated API for captcha generation</t>
  </si>
  <si>
    <t>steambap/captcha</t>
  </si>
  <si>
    <t>Tag-based environment configuration for structs</t>
  </si>
  <si>
    <t>codingconcepts/env</t>
  </si>
  <si>
    <t>intrinsic</t>
  </si>
  <si>
    <t>Provide Golang native SIMD intrinsics on x86/amd64 platform</t>
  </si>
  <si>
    <t>mengzhuo/intrinsic</t>
  </si>
  <si>
    <t>go-pkg-complete</t>
  </si>
  <si>
    <t>bash completion for go and wgo</t>
  </si>
  <si>
    <t>skelterjohn/go-pkg-complete</t>
  </si>
  <si>
    <t>go-xkcd</t>
  </si>
  <si>
    <t>xkcd.com API client</t>
  </si>
  <si>
    <t>nishanths/go-xkcd</t>
  </si>
  <si>
    <t>go-circleci</t>
  </si>
  <si>
    <t>Go library for interacting with CircleCI</t>
  </si>
  <si>
    <t>jszwedko/go-circleci</t>
  </si>
  <si>
    <t>go-gopher</t>
  </si>
  <si>
    <t>The Go Gopher Amigurumi Pattern</t>
  </si>
  <si>
    <t>sillecelik/go-gopher</t>
  </si>
  <si>
    <t>copy-pasta</t>
  </si>
  <si>
    <t>Universal copy paste service, works across different machines!</t>
  </si>
  <si>
    <t>jutkko/copy-pasta</t>
  </si>
  <si>
    <t>worker-pool</t>
  </si>
  <si>
    <t>Go simple async worker pool</t>
  </si>
  <si>
    <t>vardius/worker-pool</t>
  </si>
  <si>
    <t>go-excel</t>
  </si>
  <si>
    <t>A simple and light excel file reader to read a standard excel as a table faster | 一个轻量级的Excel数据读取库，用一种更`关系数据库`的方式解析Excel。</t>
  </si>
  <si>
    <t>szyhf/go-excel</t>
  </si>
  <si>
    <t>wit-go</t>
  </si>
  <si>
    <t>Go client for wit.ai HTTP API</t>
  </si>
  <si>
    <t>wit-ai/wit-go</t>
  </si>
  <si>
    <t>Server-Sent Events in Go</t>
  </si>
  <si>
    <t>ian-kent/goose</t>
  </si>
  <si>
    <t>checkdigit</t>
  </si>
  <si>
    <t>Provide check digit algorithms and calculators written by Go.</t>
  </si>
  <si>
    <t>osamingo/checkdigit</t>
  </si>
  <si>
    <t>GraphQL implementation in go</t>
  </si>
  <si>
    <t>sevki/graphql</t>
  </si>
  <si>
    <t>gaper</t>
  </si>
  <si>
    <t>Builds and restarts a Go project when it crashes or some watched file changes</t>
  </si>
  <si>
    <t>maxcnunes/gaper</t>
  </si>
  <si>
    <t>gocryforhelp</t>
  </si>
  <si>
    <t>List of opensource projects looking for help</t>
  </si>
  <si>
    <t>ninedraft/gocryforhelp</t>
  </si>
  <si>
    <t>goregen</t>
  </si>
  <si>
    <t>randexp for Go.</t>
  </si>
  <si>
    <t>zach-klippenstein/goregen</t>
  </si>
  <si>
    <t>jaydiff</t>
  </si>
  <si>
    <t>A JSON diff utility</t>
  </si>
  <si>
    <t>yazgazan/jaydiff</t>
  </si>
  <si>
    <t>orderbook</t>
  </si>
  <si>
    <t>Matching Engine for Limit Order Book in Golang</t>
  </si>
  <si>
    <t>i25959341/orderbook</t>
  </si>
  <si>
    <t>Go library containing a collection of financial functions for time value of money (annuities), cash flow, interest rate conversions, bonds and depreciation calculations.</t>
  </si>
  <si>
    <t>alpeb/go-finance</t>
  </si>
  <si>
    <t>duci</t>
  </si>
  <si>
    <t>The simple ci server</t>
  </si>
  <si>
    <t>duck8823/duci</t>
  </si>
  <si>
    <t>eywa</t>
  </si>
  <si>
    <t>Make IoT a lot more fun with data.</t>
  </si>
  <si>
    <t>xcodersun/eywa</t>
  </si>
  <si>
    <t>go-log</t>
  </si>
  <si>
    <t>A logger, for Go</t>
  </si>
  <si>
    <t>ian-kent/go-log</t>
  </si>
  <si>
    <t>gomusicbrainz</t>
  </si>
  <si>
    <t>a Go (Golang) MusicBrainz WS2 client library - work in progress</t>
  </si>
  <si>
    <t>michiwend/gomusicbrainz</t>
  </si>
  <si>
    <t>Simple and easy retry mechanism package for Go</t>
  </si>
  <si>
    <t>thedevsaddam/retry</t>
  </si>
  <si>
    <t>golarm</t>
  </si>
  <si>
    <t>Fire alarms with system events</t>
  </si>
  <si>
    <t>msempere/golarm</t>
  </si>
  <si>
    <t>editorconfig-core-go</t>
  </si>
  <si>
    <t>EditorConfig Core written in Go</t>
  </si>
  <si>
    <t>editorconfig/editorconfig-core-go</t>
  </si>
  <si>
    <t>myhttp</t>
  </si>
  <si>
    <t>Simplest HTTP GET requester for Go with timeout support</t>
  </si>
  <si>
    <t>inancgumus/myhttp</t>
  </si>
  <si>
    <t>allot</t>
  </si>
  <si>
    <t>Parse placeholder and wildcard text commands</t>
  </si>
  <si>
    <t>sbstjn/allot</t>
  </si>
  <si>
    <t>fcm</t>
  </si>
  <si>
    <t>Firebase Cloud Messaging for application servers implemented using the Go programming language.</t>
  </si>
  <si>
    <t>maddevsio/fcm</t>
  </si>
  <si>
    <t>porter2</t>
  </si>
  <si>
    <t>High Performance Porter2 Stemmer</t>
  </si>
  <si>
    <t>zentures/porter2</t>
  </si>
  <si>
    <t>tarfs</t>
  </si>
  <si>
    <t>An implementation of the FileSystem interface for tar files.</t>
  </si>
  <si>
    <t>posener/tarfs</t>
  </si>
  <si>
    <t>bit</t>
  </si>
  <si>
    <t>Bitset data structure</t>
  </si>
  <si>
    <t>yourbasic/bit</t>
  </si>
  <si>
    <t>Probabilistic set data structure</t>
  </si>
  <si>
    <t>yourbasic/bloom</t>
  </si>
  <si>
    <t>doublejump</t>
  </si>
  <si>
    <t>A revamped Google's jump consistent hash</t>
  </si>
  <si>
    <t>edwingeng/doublejump</t>
  </si>
  <si>
    <t>logex</t>
  </si>
  <si>
    <t>An golang log lib, supports tracking and level, wrap by standard log lib</t>
  </si>
  <si>
    <t>chzyer/logex</t>
  </si>
  <si>
    <t>An additive dependency injection container for Golang.</t>
  </si>
  <si>
    <t>magic003/alice</t>
  </si>
  <si>
    <t>persian</t>
  </si>
  <si>
    <t>Some utilities for Persian language in Go (Golang)</t>
  </si>
  <si>
    <t>mavihq/persian</t>
  </si>
  <si>
    <t>Go-gopher-Vector</t>
  </si>
  <si>
    <t>Go gopher Vector Data [.ai, .svg]</t>
  </si>
  <si>
    <t>keygx/Go-gopher-Vector</t>
  </si>
  <si>
    <t>mp</t>
  </si>
  <si>
    <t>Simple Email Parser</t>
  </si>
  <si>
    <t>sanbornm/mp</t>
  </si>
  <si>
    <t>longpoll</t>
  </si>
  <si>
    <t>Parked: PubSub queuing with long-polling subscribers (not bound to http)</t>
  </si>
  <si>
    <t>teris-io/longpoll</t>
  </si>
  <si>
    <t>gocmd</t>
  </si>
  <si>
    <t>A Go library for building command line applications</t>
  </si>
  <si>
    <t>devfacet/gocmd</t>
  </si>
  <si>
    <t>leprechaun</t>
  </si>
  <si>
    <t>You had one job, or more then one, which can be done in steps</t>
  </si>
  <si>
    <t>kilgaloon/leprechaun</t>
  </si>
  <si>
    <t>wlog</t>
  </si>
  <si>
    <t>A simple logging interface that supports cross-platform color and concurrency.</t>
  </si>
  <si>
    <t>dixonwille/wlog</t>
  </si>
  <si>
    <t>formjson</t>
  </si>
  <si>
    <t>Go net/http handler to transparently manage posted JSON</t>
  </si>
  <si>
    <t>rs/formjson</t>
  </si>
  <si>
    <t>gostat</t>
  </si>
  <si>
    <t>Collection of statistical routines in golang</t>
  </si>
  <si>
    <t>ematvey/gostat</t>
  </si>
  <si>
    <t>go2vec</t>
  </si>
  <si>
    <t>Read and use word2vec vectors in Go</t>
  </si>
  <si>
    <t>danieldk/go2vec</t>
  </si>
  <si>
    <t>goforestdb</t>
  </si>
  <si>
    <t>Go bindings for ForestDB</t>
  </si>
  <si>
    <t>couchbase/goforestdb</t>
  </si>
  <si>
    <t>rodent</t>
  </si>
  <si>
    <t>Manage Go Versions/Projects/Dependencies</t>
  </si>
  <si>
    <t>alouche/rodent</t>
  </si>
  <si>
    <t>bellt</t>
  </si>
  <si>
    <t>:bell: A simple Go router</t>
  </si>
  <si>
    <t>GuilhermeCaruso/bellt</t>
  </si>
  <si>
    <t>go-m3u8</t>
  </si>
  <si>
    <t>Parse and generate m3u8 playlists for Apple HTTP Live Streaming (HLS) in Golang (ported from gem https://github.com/sethdeckard/m3u8)</t>
  </si>
  <si>
    <t>quangngotan95/go-m3u8</t>
  </si>
  <si>
    <t>uptimerobot</t>
  </si>
  <si>
    <t>Client library for UptimeRobot v2 API</t>
  </si>
  <si>
    <t>bitfield/uptimerobot</t>
  </si>
  <si>
    <t>gcm</t>
  </si>
  <si>
    <t>Google Cloud Messaging for application servers implemented using the Go programming language.</t>
  </si>
  <si>
    <t>Aorioli/gcm</t>
  </si>
  <si>
    <t>parth</t>
  </si>
  <si>
    <t>Path parsing for segment unmarshaling and slicing.</t>
  </si>
  <si>
    <t>codemodus/parth</t>
  </si>
  <si>
    <t>commander</t>
  </si>
  <si>
    <t>super simple cli testing</t>
  </si>
  <si>
    <t>SimonBaeumer/commander</t>
  </si>
  <si>
    <t>golyrics</t>
  </si>
  <si>
    <t>A simple Go package to fetch lyrics from Wikia</t>
  </si>
  <si>
    <t>mamal72/golyrics</t>
  </si>
  <si>
    <t>api</t>
  </si>
  <si>
    <t>A REST framework for quickly writing resource based services in Golang.</t>
  </si>
  <si>
    <t>resoursea/api</t>
  </si>
  <si>
    <t>flagvar</t>
  </si>
  <si>
    <t>A collection of CLI argument types for the Go `flag` package.</t>
  </si>
  <si>
    <t>sgreben/flagvar</t>
  </si>
  <si>
    <t>dbbench</t>
  </si>
  <si>
    <t>dbbench is a simple database benchmarking tool which supports several databases and own scripts</t>
  </si>
  <si>
    <t>sj14/dbbench</t>
  </si>
  <si>
    <t>securecookie</t>
  </si>
  <si>
    <t>Fast, secure and efficient secure cookie encoder/decoder</t>
  </si>
  <si>
    <t>chmike/securecookie</t>
  </si>
  <si>
    <t>goSecretBoxPassword</t>
  </si>
  <si>
    <t>A probably paranoid Golang utility library for securely hashing and encrypting passwords based on the Dropbox method. This implementation uses Blake2b, Scrypt and XSalsa20-Poly1305 (via NaCl SecretBox) to create secure password hashes that are also encrypted using a master passphrase.</t>
  </si>
  <si>
    <t>dwin/goSecretBoxPassword</t>
  </si>
  <si>
    <t>gonameparts</t>
  </si>
  <si>
    <t>Takes a full name and splits it into individual name parts</t>
  </si>
  <si>
    <t>polera/gonameparts</t>
  </si>
  <si>
    <t>go-language-server</t>
  </si>
  <si>
    <t>A Go language server.</t>
  </si>
  <si>
    <t>theia-ide/go-language-server</t>
  </si>
  <si>
    <t>mixpanel</t>
  </si>
  <si>
    <t>Golang Mixpanel Client</t>
  </si>
  <si>
    <t>dukex/mixpanel</t>
  </si>
  <si>
    <t>goscore</t>
  </si>
  <si>
    <t>Go Scoring API for PMML</t>
  </si>
  <si>
    <t>asafschers/goscore</t>
  </si>
  <si>
    <t>cameron</t>
  </si>
  <si>
    <t>An avatar generator for Go.</t>
  </si>
  <si>
    <t>aofei/cameron</t>
  </si>
  <si>
    <t>go-pilosa</t>
  </si>
  <si>
    <t>Go client library for Pilosa</t>
  </si>
  <si>
    <t>pilosa/go-pilosa</t>
  </si>
  <si>
    <t>tabular</t>
  </si>
  <si>
    <t>Tabular simplifies printing ASCII tables from command line utilities</t>
  </si>
  <si>
    <t>InVisionApp/tabular</t>
  </si>
  <si>
    <t>browscap_go</t>
  </si>
  <si>
    <t>GoLang Library for Browser Capabilities Project</t>
  </si>
  <si>
    <t>digitalcrab/browscap_go</t>
  </si>
  <si>
    <t>ToTo</t>
  </si>
  <si>
    <t>Proxy server written in Go language</t>
  </si>
  <si>
    <t>blogcin/ToTo</t>
  </si>
  <si>
    <t>translate</t>
  </si>
  <si>
    <t>Go online translation package</t>
  </si>
  <si>
    <t>nuveo/translate</t>
  </si>
  <si>
    <t>gomatch</t>
  </si>
  <si>
    <t>Library created for testing JSON against patterns.</t>
  </si>
  <si>
    <t>jfilipczyk/gomatch</t>
  </si>
  <si>
    <t>datacounter</t>
  </si>
  <si>
    <t>Golang counters for readers/writers</t>
  </si>
  <si>
    <t>miolini/datacounter</t>
  </si>
  <si>
    <t>go-mcache</t>
  </si>
  <si>
    <t>Fast in-memory key:value store/cache  library for Golang</t>
  </si>
  <si>
    <t>OrlovEvgeny/go-mcache</t>
  </si>
  <si>
    <t>fonet</t>
  </si>
  <si>
    <t>fonet is a deep neural network package for Go.</t>
  </si>
  <si>
    <t>Fontinalis/fonet</t>
  </si>
  <si>
    <t>calcite-avatica-go</t>
  </si>
  <si>
    <t>Mirror of Apache Calcite - Avatica Go SQL Driver</t>
  </si>
  <si>
    <t>apache/calcite-avatica-go</t>
  </si>
  <si>
    <t>Levenshtein distance and similarity metrics with customizable edit costs and Winkler-like bonus for common prefix.</t>
  </si>
  <si>
    <t>agext/levenshtein</t>
  </si>
  <si>
    <t>xdg</t>
  </si>
  <si>
    <t>A cross platform package that follows the XDG Standard</t>
  </si>
  <si>
    <t>OpenPeeDeeP/xdg</t>
  </si>
  <si>
    <t>strumt</t>
  </si>
  <si>
    <t>Strumt is a library to create prompt chain</t>
  </si>
  <si>
    <t>antham/strumt</t>
  </si>
  <si>
    <t>go-slugify</t>
  </si>
  <si>
    <t>Pretty Slug.</t>
  </si>
  <si>
    <t>mozillazg/go-slugify</t>
  </si>
  <si>
    <t>generic</t>
  </si>
  <si>
    <t>flexible data type for Go</t>
  </si>
  <si>
    <t>usk81/generic</t>
  </si>
  <si>
    <t>rclient</t>
  </si>
  <si>
    <t>Minimalistic REST client for Go applications</t>
  </si>
  <si>
    <t>zpatrick/rclient</t>
  </si>
  <si>
    <t>gami</t>
  </si>
  <si>
    <t>GO - Asterisk AMI Interface</t>
  </si>
  <si>
    <t>bit4bit/gami</t>
  </si>
  <si>
    <t>hamcrest</t>
  </si>
  <si>
    <t>Hamcrest matchers for the Go programming language</t>
  </si>
  <si>
    <t>rdrdr/hamcrest</t>
  </si>
  <si>
    <t>date</t>
  </si>
  <si>
    <t>A Go package for working with dates</t>
  </si>
  <si>
    <t>rickb777/date</t>
  </si>
  <si>
    <t>clusteredBigCache</t>
  </si>
  <si>
    <t>golang bigcache with clustering as a library.</t>
  </si>
  <si>
    <t>oaStuff/clusteredBigCache</t>
  </si>
  <si>
    <t>purl</t>
  </si>
  <si>
    <t>Perl, but fluffy like a cat!</t>
  </si>
  <si>
    <t>ian-kent/purl</t>
  </si>
  <si>
    <t>rq</t>
  </si>
  <si>
    <t>A nicer interface for golang stdlib HTTP client</t>
  </si>
  <si>
    <t>ddo/rq</t>
  </si>
  <si>
    <t>rex</t>
  </si>
  <si>
    <t>Pleasures for Web in Golang</t>
  </si>
  <si>
    <t>goanywhere/rex</t>
  </si>
  <si>
    <t>retry-go</t>
  </si>
  <si>
    <t>Retrying made simple and easy for golang :repeat:</t>
  </si>
  <si>
    <t>rafaeljesus/retry-go</t>
  </si>
  <si>
    <t>gpath</t>
  </si>
  <si>
    <t>gpath is a Go package to access a field by a path using reflect pacakge</t>
  </si>
  <si>
    <t>tenntenn/gpath</t>
  </si>
  <si>
    <t>gounit</t>
  </si>
  <si>
    <t>Unit tests generator for Go programming language</t>
  </si>
  <si>
    <t>hexdigest/gounit</t>
  </si>
  <si>
    <t>pdfgen</t>
  </si>
  <si>
    <t>HTTP service to generate PDF from Json requests</t>
  </si>
  <si>
    <t>hyperboloide/pdfgen</t>
  </si>
  <si>
    <t>logrusly</t>
  </si>
  <si>
    <t>Loggly Hooks for GO Logrus logger</t>
  </si>
  <si>
    <t>sebest/logrusly</t>
  </si>
  <si>
    <t>binder</t>
  </si>
  <si>
    <t>High level go to Lua binder. Write less, do more.</t>
  </si>
  <si>
    <t>alexeyco/binder</t>
  </si>
  <si>
    <t>gondolier</t>
  </si>
  <si>
    <t>Gondolier is a database migration library for Go.</t>
  </si>
  <si>
    <t>emvi/gondolier</t>
  </si>
  <si>
    <t>gomason</t>
  </si>
  <si>
    <t>A tool for testing, building, signing, and publishing go binaries from a clean workspace.</t>
  </si>
  <si>
    <t>nikogura/gomason</t>
  </si>
  <si>
    <t>go-webcolors</t>
  </si>
  <si>
    <t>Port of webcolors library from Python to Go</t>
  </si>
  <si>
    <t>jyotiska/go-webcolors</t>
  </si>
  <si>
    <t>snowball</t>
  </si>
  <si>
    <t>Cgo binding for Snowball C library</t>
  </si>
  <si>
    <t>goodsign/snowball</t>
  </si>
  <si>
    <t>goriak</t>
  </si>
  <si>
    <t>goriak - Go language driver for Riak KV</t>
  </si>
  <si>
    <t>zegl/goriak</t>
  </si>
  <si>
    <t>go_mediainfo</t>
  </si>
  <si>
    <t>Golang bindings for libmediainfo</t>
  </si>
  <si>
    <t>zhulik/go_mediainfo</t>
  </si>
  <si>
    <t>vox</t>
  </si>
  <si>
    <t>Go web framework inspired by koa</t>
  </si>
  <si>
    <t>aisk/vox</t>
  </si>
  <si>
    <t>v4l</t>
  </si>
  <si>
    <t>Facade to the Video4Linux video capture interface.</t>
  </si>
  <si>
    <t>korandiz/v4l</t>
  </si>
  <si>
    <t>slugify</t>
  </si>
  <si>
    <t>A Go slugify application that handles string</t>
  </si>
  <si>
    <t>avelino/slugify</t>
  </si>
  <si>
    <t>graval</t>
  </si>
  <si>
    <t>An experimental go FTP server framework</t>
  </si>
  <si>
    <t>koofr/graval</t>
  </si>
  <si>
    <t>paicehusk</t>
  </si>
  <si>
    <t>Golang implementation of the Paice/Husk Stemming Algorithm</t>
  </si>
  <si>
    <t>rookii/paicehusk</t>
  </si>
  <si>
    <t>bro</t>
  </si>
  <si>
    <t>bro watch files in directory and run tests for them</t>
  </si>
  <si>
    <t>marioidival/bro</t>
  </si>
  <si>
    <t>parallel-fn</t>
  </si>
  <si>
    <t>Run functions in parallel :comet:</t>
  </si>
  <si>
    <t>rafaeljesus/parallel-fn</t>
  </si>
  <si>
    <t>drmaa</t>
  </si>
  <si>
    <t>Compute cluster (HPC) job submission library for Go (#golang) based on the open DRMAA standard.</t>
  </si>
  <si>
    <t>dgruber/drmaa</t>
  </si>
  <si>
    <t>OwnLocal/goes</t>
  </si>
  <si>
    <t>neo4j</t>
  </si>
  <si>
    <t>Neo4j Rest API Client for Go lang</t>
  </si>
  <si>
    <t>cihangir/neo4j</t>
  </si>
  <si>
    <t>prep</t>
  </si>
  <si>
    <t>Prep finds all SQL statements in a Go package and instruments db connection with prepared statements</t>
  </si>
  <si>
    <t>hexdigest/prep</t>
  </si>
  <si>
    <t>pravasan</t>
  </si>
  <si>
    <t>Simple Migration Tool - written in Go</t>
  </si>
  <si>
    <t>pravasan/pravasan</t>
  </si>
  <si>
    <t>go-up</t>
  </si>
  <si>
    <t>go-up! A simple configuration library with recursive placeholders resolution and no magic.</t>
  </si>
  <si>
    <t>ufoscout/go-up</t>
  </si>
  <si>
    <t>minimp3</t>
  </si>
  <si>
    <t>Decode mp3 base on https://github.com/lieff/minimp3</t>
  </si>
  <si>
    <t>tosone/minimp3</t>
  </si>
  <si>
    <t>fuego</t>
  </si>
  <si>
    <t>Functional Experiment in Go</t>
  </si>
  <si>
    <t>seborama/fuego</t>
  </si>
  <si>
    <t>tga</t>
  </si>
  <si>
    <t>Go package for decoding and encoding TARGA image format</t>
  </si>
  <si>
    <t>ftrvxmtrx/tga</t>
  </si>
  <si>
    <t>autoflags</t>
  </si>
  <si>
    <t>Populate go command line app flags from config struct</t>
  </si>
  <si>
    <t>artyom/autoflags</t>
  </si>
  <si>
    <t>:incoming_envelope: A fast Message/Event Hub using publish/subscribe pattern with support for topics like* rabbitMQ exchanges for Go applications</t>
  </si>
  <si>
    <t>leandro-lugaresi/hub</t>
  </si>
  <si>
    <t>Varis</t>
  </si>
  <si>
    <t>Golang Neural Network</t>
  </si>
  <si>
    <t>Xamber/Varis</t>
  </si>
  <si>
    <t>cyclicbarrier</t>
  </si>
  <si>
    <t>CyclicBarrier golang implementation</t>
  </si>
  <si>
    <t>marusama/cyclicbarrier</t>
  </si>
  <si>
    <t>bind</t>
  </si>
  <si>
    <t>robfig/bind</t>
  </si>
  <si>
    <t>go-pg-migrations</t>
  </si>
  <si>
    <t>A Go package to help write migrations with go-pg/pg.</t>
  </si>
  <si>
    <t>robinjoseph08/go-pg-migrations</t>
  </si>
  <si>
    <t>rbac</t>
  </si>
  <si>
    <t>Minimalistic RBAC package for Go applications</t>
  </si>
  <si>
    <t>zpatrick/rbac</t>
  </si>
  <si>
    <t>godist</t>
  </si>
  <si>
    <t>Probability distributions and associated methods in Go</t>
  </si>
  <si>
    <t>e-dard/godist</t>
  </si>
  <si>
    <t>ingo</t>
  </si>
  <si>
    <t>persistent storage for flags in go</t>
  </si>
  <si>
    <t>schachmat/ingo</t>
  </si>
  <si>
    <t>drone-jenkins</t>
  </si>
  <si>
    <t>Drone plugin for trigger Jenkins jobs.</t>
  </si>
  <si>
    <t>appleboy/drone-jenkins</t>
  </si>
  <si>
    <t>mockhttp</t>
  </si>
  <si>
    <t>Mock object for Go http.ResponseWriter</t>
  </si>
  <si>
    <t>tv42/mockhttp</t>
  </si>
  <si>
    <t>dsunit</t>
  </si>
  <si>
    <t>Datastore Testibility</t>
  </si>
  <si>
    <t>viant/dsunit</t>
  </si>
  <si>
    <t>mystem</t>
  </si>
  <si>
    <t>CGo bindings to Yandex.Mystem</t>
  </si>
  <si>
    <t>dveselov/mystem</t>
  </si>
  <si>
    <t>event</t>
  </si>
  <si>
    <t>The implementation of the pattern observer</t>
  </si>
  <si>
    <t>agoalofalife/event</t>
  </si>
  <si>
    <t>geoserver</t>
  </si>
  <si>
    <t>geoserver is a Go library for manipulating a GeoServer instance via the GeoServer REST API.</t>
  </si>
  <si>
    <t>hishamkaram/geoserver</t>
  </si>
  <si>
    <t>vorbis</t>
  </si>
  <si>
    <t>A "native" ogg vorbis decoder for Go (uses inline stb_vorbis)</t>
  </si>
  <si>
    <t>mccoyst/vorbis</t>
  </si>
  <si>
    <t>goplaceholder</t>
  </si>
  <si>
    <t>a small golang lib to generate placeholder images</t>
  </si>
  <si>
    <t>michiwend/goplaceholder</t>
  </si>
  <si>
    <t>go-vcard</t>
  </si>
  <si>
    <t>A Go library to parse and format vCard</t>
  </si>
  <si>
    <t>emersion/go-vcard</t>
  </si>
  <si>
    <t>a golang log lib supports level and multi handlers</t>
  </si>
  <si>
    <t>siddontang/go-log</t>
  </si>
  <si>
    <t>Structured log interface</t>
  </si>
  <si>
    <t>teris-io/log</t>
  </si>
  <si>
    <t>pgo</t>
  </si>
  <si>
    <t>Go library for PHP community with convenient functions</t>
  </si>
  <si>
    <t>arthurkushman/pgo</t>
  </si>
  <si>
    <t>ugo</t>
  </si>
  <si>
    <t>Simple and expressive toolbox written in Go</t>
  </si>
  <si>
    <t>alxrm/ugo</t>
  </si>
  <si>
    <t>goseaweedfs</t>
  </si>
  <si>
    <t>A complete Golang client for SeaweedFS</t>
  </si>
  <si>
    <t>linxGnu/goseaweedfs</t>
  </si>
  <si>
    <t>go-shopify</t>
  </si>
  <si>
    <t>Simple Shopify API for the Go Programming Language</t>
  </si>
  <si>
    <t>rapito/go-shopify</t>
  </si>
  <si>
    <t>govkbot</t>
  </si>
  <si>
    <t>VK bot package for Go</t>
  </si>
  <si>
    <t>nikepan/govkbot</t>
  </si>
  <si>
    <t>naclpipe</t>
  </si>
  <si>
    <t>NaCL pipe</t>
  </si>
  <si>
    <t>unix4fun/naclpipe</t>
  </si>
  <si>
    <t>nio</t>
  </si>
  <si>
    <t>Modern, minimal and productive Go HTTP framework</t>
  </si>
  <si>
    <t>go-nio/nio</t>
  </si>
  <si>
    <t>jsonassert</t>
  </si>
  <si>
    <t>A Go test assertion library for verifying that two representations of JSON are semantically equal</t>
  </si>
  <si>
    <t>kinbiko/jsonassert</t>
  </si>
  <si>
    <t>damsel</t>
  </si>
  <si>
    <t>Package damsel provides html outlining via css-selectors and common template functionality.</t>
  </si>
  <si>
    <t>dskinner/damsel</t>
  </si>
  <si>
    <t>petrovich</t>
  </si>
  <si>
    <t>Golang port of Petrovich - an inflector for Russian anthroponyms.</t>
  </si>
  <si>
    <t>striker2000/petrovich</t>
  </si>
  <si>
    <t>concurrent-writer</t>
  </si>
  <si>
    <t>Highly concurrent drop-in replacement for bufio.Writer</t>
  </si>
  <si>
    <t>free/concurrent-writer</t>
  </si>
  <si>
    <t>go-benchmark-app</t>
  </si>
  <si>
    <t>Application for HTTP benchmarking via different rules and configs</t>
  </si>
  <si>
    <t>mrLSD/go-benchmark-app</t>
  </si>
  <si>
    <t>go-unsplash</t>
  </si>
  <si>
    <t>Golang Client for the Unsplash API https://unsplash.com</t>
  </si>
  <si>
    <t>hbagdi/go-unsplash</t>
  </si>
  <si>
    <t>Ghost</t>
  </si>
  <si>
    <t>A Go library for Snapchat's API</t>
  </si>
  <si>
    <t>neuegram/Ghost</t>
  </si>
  <si>
    <t>icu</t>
  </si>
  <si>
    <t>Cgo binding for icu4c library</t>
  </si>
  <si>
    <t>goodsign/icu</t>
  </si>
  <si>
    <t>Goid</t>
  </si>
  <si>
    <t>A UUIDv4 generation package written in go</t>
  </si>
  <si>
    <t>JakeHL/Goid</t>
  </si>
  <si>
    <t>gotype</t>
  </si>
  <si>
    <t>Golang source code parsing, usage like reflect package</t>
  </si>
  <si>
    <t>wzshiming/gotype</t>
  </si>
  <si>
    <t>ghorg</t>
  </si>
  <si>
    <t>Quickly clone an entire GitHub Org into one directory</t>
  </si>
  <si>
    <t>gabrie30/ghorg</t>
  </si>
  <si>
    <t>mini</t>
  </si>
  <si>
    <t>A golang package for parsing ini-style configuration files</t>
  </si>
  <si>
    <t>sasbury/mini</t>
  </si>
  <si>
    <t>generate</t>
  </si>
  <si>
    <t>:runner:runs go generate recursively on a specified path or environment variable and can filter by regex</t>
  </si>
  <si>
    <t>go-playground/generate</t>
  </si>
  <si>
    <t>medeina</t>
  </si>
  <si>
    <t>Go HTTP routing tree based on HttpRouter. Inspired by Roda and Cuba.</t>
  </si>
  <si>
    <t>imdario/medeina</t>
  </si>
  <si>
    <t>go-respond</t>
  </si>
  <si>
    <t>A Go package for handling common HTTP JSON responses.</t>
  </si>
  <si>
    <t>nicklaw5/go-respond</t>
  </si>
  <si>
    <t>goweek</t>
  </si>
  <si>
    <t>ISO 8601 compatible library for working with week entities for Go</t>
  </si>
  <si>
    <t>grsmv/goweek</t>
  </si>
  <si>
    <t>go-fixtures</t>
  </si>
  <si>
    <t>Django style fixtures for Golang's excellent built-in database/sql library.</t>
  </si>
  <si>
    <t>RichardKnop/go-fixtures</t>
  </si>
  <si>
    <t>awsenv</t>
  </si>
  <si>
    <t>AWS environment config loader</t>
  </si>
  <si>
    <t>soniah/awsenv</t>
  </si>
  <si>
    <t>fastrouter</t>
  </si>
  <si>
    <t>FastRouter is a fast, flexible HTTP router written in Go.</t>
  </si>
  <si>
    <t>razonyang/fastrouter</t>
  </si>
  <si>
    <t>feiertage</t>
  </si>
  <si>
    <t>Gesetzliche Feiertage und mehr in Deutschland und Österreich (Bank holidays/public holidays in Austria and Germany)</t>
  </si>
  <si>
    <t>wlbr/feiertage</t>
  </si>
  <si>
    <t>did</t>
  </si>
  <si>
    <t>A golang package to work with Decentralized Identifiers (DIDs)</t>
  </si>
  <si>
    <t>ockam-network/did</t>
  </si>
  <si>
    <t>FreeDesktop.org (xdg) Specs implemented in Go</t>
  </si>
  <si>
    <t>rkoesters/xdg</t>
  </si>
  <si>
    <t>go-cluster</t>
  </si>
  <si>
    <t>k-modes and k-prototypes clustering algorithms implementation in Go</t>
  </si>
  <si>
    <t>e-XpertSolutions/go-cluster</t>
  </si>
  <si>
    <t>distillog</t>
  </si>
  <si>
    <t>Logging, distilled</t>
  </si>
  <si>
    <t>amoghe/distillog</t>
  </si>
  <si>
    <t>EasyMIDI</t>
  </si>
  <si>
    <t>EasyMidi is a simple and reliable library for working with standard midi file (SMF)</t>
  </si>
  <si>
    <t>algoGuy/EasyMIDI</t>
  </si>
  <si>
    <t>golang-micro-benchmarks</t>
  </si>
  <si>
    <t>Tiny collection of micro benchmarks.</t>
  </si>
  <si>
    <t>amscanne/golang-micro-benchmarks</t>
  </si>
  <si>
    <t>go-cronowriter</t>
  </si>
  <si>
    <t>Time based rotating file writer</t>
  </si>
  <si>
    <t>utahta/go-cronowriter</t>
  </si>
  <si>
    <t>term-quiz</t>
  </si>
  <si>
    <t>Terminal Quiz Application Written in Go</t>
  </si>
  <si>
    <t>crazcalm/term-quiz</t>
  </si>
  <si>
    <t>jsonslice</t>
  </si>
  <si>
    <t>json slicer</t>
  </si>
  <si>
    <t>bhmj/jsonslice</t>
  </si>
  <si>
    <t>publicip</t>
  </si>
  <si>
    <t>Go pkg for returning your public facing IP address.</t>
  </si>
  <si>
    <t>polera/publicip</t>
  </si>
  <si>
    <t>journald</t>
  </si>
  <si>
    <t>Go implementation of systemd Journal's native API for logging</t>
  </si>
  <si>
    <t>ssgreg/journald</t>
  </si>
  <si>
    <t>steganography</t>
  </si>
  <si>
    <t>Pure Golang Library that allows simple LSB steganography on images</t>
  </si>
  <si>
    <t>auyer/steganography</t>
  </si>
  <si>
    <t>threadpool</t>
  </si>
  <si>
    <t>Golang simple thread pool implementation</t>
  </si>
  <si>
    <t>shettyh/threadpool</t>
  </si>
  <si>
    <t>go-spotify</t>
  </si>
  <si>
    <t>Go library for the Spotify Web API</t>
  </si>
  <si>
    <t>rapito/go-spotify</t>
  </si>
  <si>
    <t>go-twitch</t>
  </si>
  <si>
    <t>A golang client for the Twitch v3 API - public APIs only (for now)</t>
  </si>
  <si>
    <t>knspriggs/go-twitch</t>
  </si>
  <si>
    <t>go-myanimelist</t>
  </si>
  <si>
    <t>Go library for accessing the MyAnimeList API: http://myanimelist.net/modules.php?go=api</t>
  </si>
  <si>
    <t>nstratos/go-myanimelist</t>
  </si>
  <si>
    <t>velour</t>
  </si>
  <si>
    <t>An IRC client for acme — the project that started it all.</t>
  </si>
  <si>
    <t>velour/velour</t>
  </si>
  <si>
    <t>gounit-vim</t>
  </si>
  <si>
    <t>Vim plugin for https://github.com/hexdigest/gounit</t>
  </si>
  <si>
    <t>hexdigest/gounit-vim</t>
  </si>
  <si>
    <t>jio</t>
  </si>
  <si>
    <t>jio is a json schema validator similar to joi</t>
  </si>
  <si>
    <t>faceair/jio</t>
  </si>
  <si>
    <t>brewerydb</t>
  </si>
  <si>
    <t>Go library for http://www.brewerydb.com/ API</t>
  </si>
  <si>
    <t>naegelejd/brewerydb</t>
  </si>
  <si>
    <t>go-fixedwidth</t>
  </si>
  <si>
    <t>Encoding and decoding for fixed-width formatted data</t>
  </si>
  <si>
    <t>ianlopshire/go-fixedwidth</t>
  </si>
  <si>
    <t>templify</t>
  </si>
  <si>
    <t>A tool to be used with 'go generate' to embed external template files into Go code.</t>
  </si>
  <si>
    <t>wlbr/templify</t>
  </si>
  <si>
    <t>packet</t>
  </si>
  <si>
    <t>:package: Send network packets over a TCP or UDP connection.</t>
  </si>
  <si>
    <t>aerogo/packet</t>
  </si>
  <si>
    <t>mlog</t>
  </si>
  <si>
    <t>A simple logging module for go, with a rotating file feature and console logging.</t>
  </si>
  <si>
    <t>jbrodriguez/mlog</t>
  </si>
  <si>
    <t>breaker</t>
  </si>
  <si>
    <t>🚧 Flexible mechanism to make your code interruptible.</t>
  </si>
  <si>
    <t>kamilsk/breaker</t>
  </si>
  <si>
    <t>ngaro</t>
  </si>
  <si>
    <t>An embeddable implementation of the Ngaro Virtual Machine for Go programs</t>
  </si>
  <si>
    <t>db47h/ngaro</t>
  </si>
  <si>
    <t>xj2go</t>
  </si>
  <si>
    <t>Convert xml and json to go struct</t>
  </si>
  <si>
    <t>stackerzzq/xj2go</t>
  </si>
  <si>
    <t>XML-Comp</t>
  </si>
  <si>
    <t>[UNMAINTAINED] Compare ANY markup documents.</t>
  </si>
  <si>
    <t>XML-Comp/XML-Comp</t>
  </si>
  <si>
    <t>patreon-go</t>
  </si>
  <si>
    <t>Patreon Go API client</t>
  </si>
  <si>
    <t>mxpv/patreon-go</t>
  </si>
  <si>
    <t>aandryashin/selenoid</t>
  </si>
  <si>
    <t>golibstemmer</t>
  </si>
  <si>
    <t>Go bindings for the snowball libstemmer library including porter 2</t>
  </si>
  <si>
    <t>rjohnsondev/golibstemmer</t>
  </si>
  <si>
    <t>gomol</t>
  </si>
  <si>
    <t>Gomol is a library for structured, multiple-output logging for Go with extensible logging outputs</t>
  </si>
  <si>
    <t>aphistic/gomol</t>
  </si>
  <si>
    <t>snitch</t>
  </si>
  <si>
    <t>Keep updated about all deploys on Tsuru</t>
  </si>
  <si>
    <t>lucasgomide/snitch</t>
  </si>
  <si>
    <t>xml2map</t>
  </si>
  <si>
    <t>XML to MAP converter written Golang</t>
  </si>
  <si>
    <t>sbabiv/xml2map</t>
  </si>
  <si>
    <t>gobuffalo/validate</t>
  </si>
  <si>
    <t>dlog</t>
  </si>
  <si>
    <t>Simple build-time controlled debug log with ability to log where the logger was called</t>
  </si>
  <si>
    <t>kirillDanshin/dlog</t>
  </si>
  <si>
    <t>wire</t>
  </si>
  <si>
    <t>Strict Runtime Dependency Injection for Golang</t>
  </si>
  <si>
    <t>Fs02/wire</t>
  </si>
  <si>
    <t>async</t>
  </si>
  <si>
    <t>A safe way to execute functions asynchronously, recovering them in case of panic. It also provides an error stack aiming to facilitate fail causes discovery.</t>
  </si>
  <si>
    <t>StudioSol/async</t>
  </si>
  <si>
    <t>colourize</t>
  </si>
  <si>
    <t>An ANSI colour terminal package for Go</t>
  </si>
  <si>
    <t>TreyBastian/colourize</t>
  </si>
  <si>
    <t>filler</t>
  </si>
  <si>
    <t>fill struct data easily with fill tags</t>
  </si>
  <si>
    <t>yaronsumel/filler</t>
  </si>
  <si>
    <t>go-httpheader</t>
  </si>
  <si>
    <t>A Go library for encoding structs into Header fields.</t>
  </si>
  <si>
    <t>mozillazg/go-httpheader</t>
  </si>
  <si>
    <t>go-steam</t>
  </si>
  <si>
    <t>Go library for querying Source servers</t>
  </si>
  <si>
    <t>sostronk/go-steam</t>
  </si>
  <si>
    <t>golibwireshark</t>
  </si>
  <si>
    <t>sunwxg/golibwireshark</t>
  </si>
  <si>
    <t>kvbench</t>
  </si>
  <si>
    <t>Key/Value database benchmark</t>
  </si>
  <si>
    <t>jimrobinson/kvbench</t>
  </si>
  <si>
    <t>blanket</t>
  </si>
  <si>
    <t>MOVED TO GITLAB</t>
  </si>
  <si>
    <t>verygoodsoftwarenotvirus/blanket</t>
  </si>
  <si>
    <t>gostrutils</t>
  </si>
  <si>
    <t>Collections of string utils I have created over the years</t>
  </si>
  <si>
    <t>ik5/gostrutils</t>
  </si>
  <si>
    <t>evaluator</t>
  </si>
  <si>
    <t>nullne/evaluator</t>
  </si>
  <si>
    <t>codeship-go</t>
  </si>
  <si>
    <t>Go library for accessing the Codeship API v2</t>
  </si>
  <si>
    <t>codeship/codeship-go</t>
  </si>
  <si>
    <t>url-shortener</t>
  </si>
  <si>
    <t>A golang URL Shortener</t>
  </si>
  <si>
    <t>pantrif/url-shortener</t>
  </si>
  <si>
    <t>gosh</t>
  </si>
  <si>
    <t>Go Statistics Handler</t>
  </si>
  <si>
    <t>osamingo/gosh</t>
  </si>
  <si>
    <t>pbf</t>
  </si>
  <si>
    <t>OpenStreetMap PBF golang parser</t>
  </si>
  <si>
    <t>maguro/pbf</t>
  </si>
  <si>
    <t>gentee</t>
  </si>
  <si>
    <t>Gentee - script programming language for automation. It uses VM and compiler written in Go (Golang).</t>
  </si>
  <si>
    <t>gentee/gentee</t>
  </si>
  <si>
    <t>goset</t>
  </si>
  <si>
    <t>Set is a useful collection but there is no built-in implementation in Go lang.</t>
  </si>
  <si>
    <t>zoumo/goset</t>
  </si>
  <si>
    <t>gofuckyourself</t>
  </si>
  <si>
    <t>A sanitization-based swear filter for Go.</t>
  </si>
  <si>
    <t>JoshuaDoes/gofuckyourself</t>
  </si>
  <si>
    <t>go-tmdb</t>
  </si>
  <si>
    <t>jbrodriguez/go-tmdb</t>
  </si>
  <si>
    <t>go-embed</t>
  </si>
  <si>
    <t>Generates go code to embed resource files into your library or executable</t>
  </si>
  <si>
    <t>pyros2097/go-embed</t>
  </si>
  <si>
    <t>go-gtfs</t>
  </si>
  <si>
    <t>Load GTFS files in golang</t>
  </si>
  <si>
    <t>artonge/go-gtfs</t>
  </si>
  <si>
    <t>okrun</t>
  </si>
  <si>
    <t>ok, run your gofile</t>
  </si>
  <si>
    <t>xta/okrun</t>
  </si>
  <si>
    <t>gismanager</t>
  </si>
  <si>
    <t>Publish Your GIS Data(Vector Data) to PostGIS and Geoserver</t>
  </si>
  <si>
    <t>hishamkaram/gismanager</t>
  </si>
  <si>
    <t>vfs</t>
  </si>
  <si>
    <t>Pluggable, extensible virtual file system for Go</t>
  </si>
  <si>
    <t>C2FO/vfs</t>
  </si>
  <si>
    <t>tempdb</t>
  </si>
  <si>
    <t>Key-value store for temporary items :memo:</t>
  </si>
  <si>
    <t>rafaeljesus/tempdb</t>
  </si>
  <si>
    <t>go-google-analytics</t>
  </si>
  <si>
    <t>Simple Reporting for Google Analytics</t>
  </si>
  <si>
    <t>chonthu/go-google-analytics</t>
  </si>
  <si>
    <t>hgo</t>
  </si>
  <si>
    <t>Hgo is a collection of Go packages providing read-access to local Mercurial repositories.</t>
  </si>
  <si>
    <t>beyang/hgo</t>
  </si>
  <si>
    <t>go-imgur</t>
  </si>
  <si>
    <t>Go library to use the imgur.com API</t>
  </si>
  <si>
    <t>koffeinsource/go-imgur</t>
  </si>
  <si>
    <t>assert</t>
  </si>
  <si>
    <t>:exclamation:Basic Assertion Library used along side native go testing, with building blocks for custom assertions</t>
  </si>
  <si>
    <t>go-playground/assert</t>
  </si>
  <si>
    <t>go-collada</t>
  </si>
  <si>
    <t>Go package for working with the Collada file format.</t>
  </si>
  <si>
    <t>GlenKelley/go-collada</t>
  </si>
  <si>
    <t>GoDocTooltip</t>
  </si>
  <si>
    <t>A Chrome extension for golang users.When you're at golang's official doc site, it will show function's description as tooltip on function list</t>
  </si>
  <si>
    <t>diankong/GoDocTooltip</t>
  </si>
  <si>
    <t>structs</t>
  </si>
  <si>
    <t>Golang struct operations.</t>
  </si>
  <si>
    <t>PumpkinSeed/structs</t>
  </si>
  <si>
    <t>rerate</t>
  </si>
  <si>
    <t>redis-based rate counter and rate limiter</t>
  </si>
  <si>
    <t>abo/rerate</t>
  </si>
  <si>
    <t>textbelt</t>
  </si>
  <si>
    <t>golang library for textbelt.com</t>
  </si>
  <si>
    <t>farmergreg/textbelt</t>
  </si>
  <si>
    <t>go-sunrise</t>
  </si>
  <si>
    <t>Go package for calculating the sunrise and sunset times for a given location</t>
  </si>
  <si>
    <t>nathan-osman/go-sunrise</t>
  </si>
  <si>
    <t>go-commander</t>
  </si>
  <si>
    <t>Go library to simplify CLI workflow</t>
  </si>
  <si>
    <t>yitsushi/go-commander</t>
  </si>
  <si>
    <t>roveralls</t>
  </si>
  <si>
    <t>A Go recursive coverage testing tool</t>
  </si>
  <si>
    <t>lawrencewoodman/roveralls</t>
  </si>
  <si>
    <t>bgc</t>
  </si>
  <si>
    <t>Datastore Connectivity for BigQuery in go</t>
  </si>
  <si>
    <t>viant/bgc</t>
  </si>
  <si>
    <t>pipeline</t>
  </si>
  <si>
    <t>Pipelines using goroutines</t>
  </si>
  <si>
    <t>hyfather/pipeline</t>
  </si>
  <si>
    <t>flowgraph</t>
  </si>
  <si>
    <t>Flowgraph package for scalable asynchronous system development</t>
  </si>
  <si>
    <t>vectaport/flowgraph</t>
  </si>
  <si>
    <t>argv</t>
  </si>
  <si>
    <t>cosiner/argv</t>
  </si>
  <si>
    <t>goent</t>
  </si>
  <si>
    <t>GO Implementation of Entropy Measures</t>
  </si>
  <si>
    <t>kzahedi/goent</t>
  </si>
  <si>
    <t>libgosubs</t>
  </si>
  <si>
    <t>golang library to read and write various subtitle formats</t>
  </si>
  <si>
    <t>wargarblgarbl/libgosubs</t>
  </si>
  <si>
    <t>goxlsxwriter</t>
  </si>
  <si>
    <t>Golang bindings for libxlsxwriter for writing XLSX files</t>
  </si>
  <si>
    <t>fterrag/goxlsxwriter</t>
  </si>
  <si>
    <t>go-fn</t>
  </si>
  <si>
    <t>Automatically exported from code.google.com/p/go-fn</t>
  </si>
  <si>
    <t>ematvey/go-fn</t>
  </si>
  <si>
    <t>go-vitotrol</t>
  </si>
  <si>
    <t>golang client library to Viessmann Vitotrol web service</t>
  </si>
  <si>
    <t>maxatome/go-vitotrol</t>
  </si>
  <si>
    <t>generator-go-lang</t>
  </si>
  <si>
    <t>:guardsman: A teeny tiny and somewhat opinionated generator for your next golang project</t>
  </si>
  <si>
    <t>axelspringer/generator-go-lang</t>
  </si>
  <si>
    <t>theia-go-extension</t>
  </si>
  <si>
    <t>Theia Go Extension</t>
  </si>
  <si>
    <t>theia-ide/theia-go-extension</t>
  </si>
  <si>
    <t>fastlz</t>
  </si>
  <si>
    <t>Wrap over FastLz for GoLang</t>
  </si>
  <si>
    <t>digitalcrab/fastlz</t>
  </si>
  <si>
    <t>go-decent-copy</t>
  </si>
  <si>
    <t>copy files for humans</t>
  </si>
  <si>
    <t>hugocarreira/go-decent-copy</t>
  </si>
  <si>
    <t>dsc</t>
  </si>
  <si>
    <t>Datastore Connectivity in go</t>
  </si>
  <si>
    <t>viant/dsc</t>
  </si>
  <si>
    <t>kace</t>
  </si>
  <si>
    <t>Common case conversions covering common initialisms.</t>
  </si>
  <si>
    <t>codemodus/kace</t>
  </si>
  <si>
    <t>smitego</t>
  </si>
  <si>
    <t>SmiteGo is an API wrapper for the Smite game from HiRez. It is written in Go!</t>
  </si>
  <si>
    <t>sergiotapia/smitego</t>
  </si>
  <si>
    <t>shamoji</t>
  </si>
  <si>
    <t>The shamoji (杓文字) is word filtering package</t>
  </si>
  <si>
    <t>osamingo/shamoji</t>
  </si>
  <si>
    <t>libtextcat</t>
  </si>
  <si>
    <t>Cgo binding for libtextcat C library</t>
  </si>
  <si>
    <t>goodsign/libtextcat</t>
  </si>
  <si>
    <t>Generate, encode, and decode UUIDs v1 with fast or cryptographic-quality random node identifier.</t>
  </si>
  <si>
    <t>agext/uuid</t>
  </si>
  <si>
    <t>filter</t>
  </si>
  <si>
    <t>Provide filtering, sanitizing, and conversion of Golang data. 提供对Golang数据的过滤，净化，转换。</t>
  </si>
  <si>
    <t>gookit/filter</t>
  </si>
  <si>
    <t>client-timing</t>
  </si>
  <si>
    <t>An HTTP client for go-server-timing middleware.</t>
  </si>
  <si>
    <t>posener/client-timing</t>
  </si>
  <si>
    <t>extemplate</t>
  </si>
  <si>
    <t>Wrapper package for Go's template/html to allow for easy file-based template inheritance.</t>
  </si>
  <si>
    <t>dannyvankooten/extemplate</t>
  </si>
  <si>
    <t>artifex</t>
  </si>
  <si>
    <t>Simple in-memory job queue for Golang using worker-based dispatching</t>
  </si>
  <si>
    <t>borderstech/artifex</t>
  </si>
  <si>
    <t>f4go</t>
  </si>
  <si>
    <t>Transpiling fortran code to golang code</t>
  </si>
  <si>
    <t>Konstantin8105/f4go</t>
  </si>
  <si>
    <t>werr</t>
  </si>
  <si>
    <t>Error Wrapper creates an wrapper for the error type in Go which captures the File, Line and Stack of where it was called.</t>
  </si>
  <si>
    <t>txgruppi/werr</t>
  </si>
  <si>
    <t>rwdb</t>
  </si>
  <si>
    <t>Database wrapper that manage read write connections</t>
  </si>
  <si>
    <t>andizzle/rwdb</t>
  </si>
  <si>
    <t>ode</t>
  </si>
  <si>
    <t>An ordinary differential equation solving library in golang.</t>
  </si>
  <si>
    <t>ChristopherRabotin/ode</t>
  </si>
  <si>
    <t>go-hacknews</t>
  </si>
  <si>
    <t>📟  Tiny utility Go client for HackerNews API.</t>
  </si>
  <si>
    <t>PaulRosset/go-hacknews</t>
  </si>
  <si>
    <t>GoStats</t>
  </si>
  <si>
    <t>GoStats is a go library for math statistics mostly used in ML domains, it covers most of the statistical measures functions.</t>
  </si>
  <si>
    <t>OGFris/GoStats</t>
  </si>
  <si>
    <t>goArgonPass</t>
  </si>
  <si>
    <t>goArgonPass is a Argon2 Password utility package for Go using the crypto library package Argon2. Argon2 was the winner of the most recent Password Hashing Competition. This is designed for use anywhere password hashing and verification might be needed and is intended to replace implementations using bcrypt or Scrypt.</t>
  </si>
  <si>
    <t>dwin/goArgonPass</t>
  </si>
  <si>
    <t>coinpaprika-api-go-client</t>
  </si>
  <si>
    <t>Go client library for interacting with Coinpaprika's API</t>
  </si>
  <si>
    <t>coinpaprika/coinpaprika-api-go-client</t>
  </si>
  <si>
    <t>command</t>
  </si>
  <si>
    <t>Command pattern for Go with thread safe serial and parallel dispatcher</t>
  </si>
  <si>
    <t>txgruppi/command</t>
  </si>
  <si>
    <t>simples3</t>
  </si>
  <si>
    <t>Simple no frills AWS S3 Golang Library using REST with V4 Signing (without AWS Go SDK)</t>
  </si>
  <si>
    <t>rhnvrm/simples3</t>
  </si>
  <si>
    <t>ynab.go</t>
  </si>
  <si>
    <t>Go client for the YNAB API. It covers 100% of the resources made available by the YNAB API. (UNOFFICIAL)</t>
  </si>
  <si>
    <t>brunomvsouza/ynab.go</t>
  </si>
  <si>
    <t>anagent</t>
  </si>
  <si>
    <t>Minimalistic, pluggable Golang evloop/timer handler with dependency-injection</t>
  </si>
  <si>
    <t>mudler/anagent</t>
  </si>
  <si>
    <t>ghokin</t>
  </si>
  <si>
    <t>Parallelized formatter with no external dependencies for gherkin (cucumber, behat...)</t>
  </si>
  <si>
    <t>antham/ghokin</t>
  </si>
  <si>
    <t>avgRating</t>
  </si>
  <si>
    <t>Calculate average score and rating based on Wilson Score Equation</t>
  </si>
  <si>
    <t>kirillDanshin/avgRating</t>
  </si>
  <si>
    <t>sandid</t>
  </si>
  <si>
    <t>Every grain of sand on earth has its own ID.</t>
  </si>
  <si>
    <t>aofei/sandid</t>
  </si>
  <si>
    <t>scaffold</t>
  </si>
  <si>
    <t>Generate scaffold project layout for Go.</t>
  </si>
  <si>
    <t>catchplay/scaffold</t>
  </si>
  <si>
    <t>nulltime</t>
  </si>
  <si>
    <t>kirillDanshin/nulltime</t>
  </si>
  <si>
    <t>kair</t>
  </si>
  <si>
    <t>:clock1: Date and Time - Golang Formatting Library</t>
  </si>
  <si>
    <t>GuilhermeCaruso/kair</t>
  </si>
  <si>
    <t>xredis</t>
  </si>
  <si>
    <t>Go Redis Client</t>
  </si>
  <si>
    <t>shomali11/xredis</t>
  </si>
  <si>
    <t>bcache</t>
  </si>
  <si>
    <t>Eventually consistent distributed in-memory  cache Go library</t>
  </si>
  <si>
    <t>iwanbk/bcache</t>
  </si>
  <si>
    <t>go-ef</t>
  </si>
  <si>
    <t>A Go implementation of the Elias-Fano encoding</t>
  </si>
  <si>
    <t>amallia/go-ef</t>
  </si>
  <si>
    <t>crunch</t>
  </si>
  <si>
    <t>take bytes out of things easily ✨🍪</t>
  </si>
  <si>
    <t>superwhiskers/crunch</t>
  </si>
  <si>
    <t>conflate</t>
  </si>
  <si>
    <t>Library providing routines to merge and validate JSON, YAML and/or TOML files</t>
  </si>
  <si>
    <t>the4thamigo-uk/conflate</t>
  </si>
  <si>
    <t>micha</t>
  </si>
  <si>
    <t>Client lib for Telegram bot api</t>
  </si>
  <si>
    <t>onrik/micha</t>
  </si>
  <si>
    <t>probab</t>
  </si>
  <si>
    <t>Automatically exported from code.google.com/p/probab</t>
  </si>
  <si>
    <t>ThePaw/probab</t>
  </si>
  <si>
    <t>gosamplerate</t>
  </si>
  <si>
    <t>Go Bindings for libsamplerate</t>
  </si>
  <si>
    <t>dh1tw/gosamplerate</t>
  </si>
  <si>
    <t>rrdaclient</t>
  </si>
  <si>
    <t>Go bindings for RRDA https://github.com/fcambus/rrda</t>
  </si>
  <si>
    <t>Omie/rrdaclient</t>
  </si>
  <si>
    <t>A pretty simple library to ensure your work to be done</t>
  </si>
  <si>
    <t>shafreeck/retry</t>
  </si>
  <si>
    <t>depcharge</t>
  </si>
  <si>
    <t>DepCharge is a tool designed to help orchestrate the execution of commands across many directories at once.</t>
  </si>
  <si>
    <t>centerorbit/depcharge</t>
  </si>
  <si>
    <t>lwc</t>
  </si>
  <si>
    <t>A live-updating version of the UNIX wc command.</t>
  </si>
  <si>
    <t>timdp/lwc</t>
  </si>
  <si>
    <t>gosuite</t>
  </si>
  <si>
    <t>Test suites support for standard Go1.7 "testing" by leveraging Subtests feature</t>
  </si>
  <si>
    <t>pavlo/gosuite</t>
  </si>
  <si>
    <t>go-ataman</t>
  </si>
  <si>
    <t>Another Text Attribute Manupulator</t>
  </si>
  <si>
    <t>workanator/go-ataman</t>
  </si>
  <si>
    <t>goshark</t>
  </si>
  <si>
    <t>sunwxg/goshark</t>
  </si>
  <si>
    <t>PiHex</t>
  </si>
  <si>
    <t>PiHex Library, written in Go, generates a hexadecimal number sequence in the number Pi in the range from 0 to 10,000,000.</t>
  </si>
  <si>
    <t>claygod/PiHex</t>
  </si>
  <si>
    <t>go-sptrans</t>
  </si>
  <si>
    <t>Go client library for the SPTrans Olho Vivo API. :bus:</t>
  </si>
  <si>
    <t>sergioaugrod/go-sptrans</t>
  </si>
  <si>
    <t>Simple and configurable Logging in Go, with level, formatters and writers</t>
  </si>
  <si>
    <t>subchen/go-log</t>
  </si>
  <si>
    <t>gocrest</t>
  </si>
  <si>
    <t>GoCrest - Hamcrest-like matchers for Go</t>
  </si>
  <si>
    <t>corbym/gocrest</t>
  </si>
  <si>
    <t>logdump</t>
  </si>
  <si>
    <t>Package for multi-level logging</t>
  </si>
  <si>
    <t>ewwwwwqm/logdump</t>
  </si>
  <si>
    <t>triangolatte</t>
  </si>
  <si>
    <t>2D triangulation library. Allows translating lines and polygons (both based on points) to the language of GPUs.</t>
  </si>
  <si>
    <t>tchayen/triangolatte</t>
  </si>
  <si>
    <t>dynatomic</t>
  </si>
  <si>
    <t>Dynatomic is a library for using dynamodb as an atomic counter</t>
  </si>
  <si>
    <t>tylfin/dynatomic</t>
  </si>
  <si>
    <t>jsonhal</t>
  </si>
  <si>
    <t>A simple Go package to make custom structs marshal into HAL compatible JSON responses.</t>
  </si>
  <si>
    <t>RichardKnop/jsonhal</t>
  </si>
  <si>
    <t>porter</t>
  </si>
  <si>
    <t>porter stemmer</t>
  </si>
  <si>
    <t>a2800276/porter</t>
  </si>
  <si>
    <t>llb</t>
  </si>
  <si>
    <t>kirillDanshin/llb</t>
  </si>
  <si>
    <t>badio</t>
  </si>
  <si>
    <t>Extensions to Go's testing/iotest package</t>
  </si>
  <si>
    <t>cavaliercoder/badio</t>
  </si>
  <si>
    <t>gofrac</t>
  </si>
  <si>
    <t>A fractions library for go (http://golang.org)</t>
  </si>
  <si>
    <t>anschelsc/gofrac</t>
  </si>
  <si>
    <t>gaurun-client</t>
  </si>
  <si>
    <t>Gaurun Client written in Go</t>
  </si>
  <si>
    <t>osamingo/gaurun-client</t>
  </si>
  <si>
    <t>gosuccinctly</t>
  </si>
  <si>
    <t>This is the companion repo for Go Succinctly by Amir Irani.</t>
  </si>
  <si>
    <t>thedevsir/gosuccinctly</t>
  </si>
  <si>
    <t>catena</t>
  </si>
  <si>
    <t>gRPC interceptor catenation.</t>
  </si>
  <si>
    <t>codemodus/catena</t>
  </si>
  <si>
    <t>backscanner</t>
  </si>
  <si>
    <t>A scanner similar to bufio.Scanner, but it reads and returns lines in reverse order, starting at a given position and going backward.</t>
  </si>
  <si>
    <t>icza/backscanner</t>
  </si>
  <si>
    <t>gogiven</t>
  </si>
  <si>
    <t>gogiven - BDD testing framework for go that generates readable output directly from source code</t>
  </si>
  <si>
    <t>corbym/gogiven</t>
  </si>
  <si>
    <t>hostutils</t>
  </si>
  <si>
    <t>A golang library for packing and unpacking hosts list</t>
  </si>
  <si>
    <t>Wing924/hostutils</t>
  </si>
  <si>
    <t>stl</t>
  </si>
  <si>
    <t>Software Transactional Locks</t>
  </si>
  <si>
    <t>ssgreg/stl</t>
  </si>
  <si>
    <t>tuesday</t>
  </si>
  <si>
    <t>Ruby-compatible strftime for golang</t>
  </si>
  <si>
    <t>osteele/tuesday</t>
  </si>
  <si>
    <t>envconf</t>
  </si>
  <si>
    <t>Configure Go applications from the environment</t>
  </si>
  <si>
    <t>ian-kent/envconf</t>
  </si>
  <si>
    <t>ctc</t>
  </si>
  <si>
    <t>Console Text Colors - The non-invasive cross-platform terminal color library does not need to modify the Print method</t>
  </si>
  <si>
    <t>wzshiming/ctc</t>
  </si>
  <si>
    <t>signedvalue</t>
  </si>
  <si>
    <t>Compatibility layer for tornado's signed values (and secure cookies consequently)</t>
  </si>
  <si>
    <t>sashka/signedvalue</t>
  </si>
  <si>
    <t>sessiongate-go</t>
  </si>
  <si>
    <t>Driver for the SessionGate Redis module for easy session management in the Go language.</t>
  </si>
  <si>
    <t>f0rmiga/sessiongate-go</t>
  </si>
  <si>
    <t>gotokenizer</t>
  </si>
  <si>
    <t>A tokenizer based on the dictionary and Bigram language models for Go. (Now only support chinese segmentation)</t>
  </si>
  <si>
    <t>xujiajun/gotokenizer</t>
  </si>
  <si>
    <t>go-google-email-audit-api</t>
  </si>
  <si>
    <t>Go Client Library for G Suite Email Audit API</t>
  </si>
  <si>
    <t>ngs/go-google-email-audit-api</t>
  </si>
  <si>
    <t>fwencoder</t>
  </si>
  <si>
    <t>Fixed width file parser (encoder/decoder) in GO (golang)</t>
  </si>
  <si>
    <t>o1egl/fwencoder</t>
  </si>
  <si>
    <t>testsql</t>
  </si>
  <si>
    <t>Generate test data from SQL files before testing and clear it after finished.</t>
  </si>
  <si>
    <t>zhulongcheng/testsql</t>
  </si>
  <si>
    <t>enca</t>
  </si>
  <si>
    <t>Minimal cgo bindings for libenca</t>
  </si>
  <si>
    <t>endeveit/enca</t>
  </si>
  <si>
    <t>gumblr</t>
  </si>
  <si>
    <t>A Go Wrapper for the Tumblr v2 API</t>
  </si>
  <si>
    <t>mattcunningham/gumblr</t>
  </si>
  <si>
    <t>scan</t>
  </si>
  <si>
    <t>Scan database/sql rows directly to structs, slices, and primitive types</t>
  </si>
  <si>
    <t>blockloop/scan</t>
  </si>
  <si>
    <t>xmlwriter</t>
  </si>
  <si>
    <t>xmlwriter is a pure-Go library providing procedural XML generation based on libxml2's xmlwriter module</t>
  </si>
  <si>
    <t>shabbyrobe/xmlwriter</t>
  </si>
  <si>
    <t>sslmgr</t>
  </si>
  <si>
    <t>A layer of abstraction the around acme/autocert certificate manager (Golang)</t>
  </si>
  <si>
    <t>adrianosela/sslmgr</t>
  </si>
  <si>
    <t>gorocksdb</t>
  </si>
  <si>
    <t>gorocksdb is a Go wrapper for RocksDB with additional features</t>
  </si>
  <si>
    <t>kapitan-k/gorocksdb</t>
  </si>
  <si>
    <t>shellwords</t>
  </si>
  <si>
    <t>A Golang library to manipulate strings according to the word parsing rules of the UNIX Bourne shell.</t>
  </si>
  <si>
    <t>Wing924/shellwords</t>
  </si>
  <si>
    <t>evoli</t>
  </si>
  <si>
    <t>Genetic Algorithm and Particle Swarm Optimization</t>
  </si>
  <si>
    <t>khezen/evoli</t>
  </si>
  <si>
    <t>plugin architecture and flexible log system for golang</t>
  </si>
  <si>
    <t>xfxdev/xlog</t>
  </si>
  <si>
    <t>logmatic</t>
  </si>
  <si>
    <t>Colorized logger for Golang with dynamic log level configuration</t>
  </si>
  <si>
    <t>borderstech/logmatic</t>
  </si>
  <si>
    <t>glo</t>
  </si>
  <si>
    <t>Logging library for Golang</t>
  </si>
  <si>
    <t>lajosbencz/glo</t>
  </si>
  <si>
    <t>mpo</t>
  </si>
  <si>
    <t>JPEG-MPO Decoder / Converter Library and CLI Tool</t>
  </si>
  <si>
    <t>donatj/mpo</t>
  </si>
  <si>
    <t>goconcurrentqueue</t>
  </si>
  <si>
    <t>Go concurrent safe queue</t>
  </si>
  <si>
    <t>enriquebris/goconcurrentqueue</t>
  </si>
  <si>
    <t>hide</t>
  </si>
  <si>
    <t>ID type with marshalling to/from hash to prevent sending IDs to clients.</t>
  </si>
  <si>
    <t>emvi/hide</t>
  </si>
  <si>
    <t>jazz</t>
  </si>
  <si>
    <t>Abstraction layer for simple rabbitMQ connection, messaging and administration</t>
  </si>
  <si>
    <t>socifi/jazz</t>
  </si>
  <si>
    <t>banjo</t>
  </si>
  <si>
    <t>BANjO is a simple web framework written in Go (golang)</t>
  </si>
  <si>
    <t>nsheremet/banjo</t>
  </si>
  <si>
    <t>bbConvert</t>
  </si>
  <si>
    <t>Converter from BBCode to HTML</t>
  </si>
  <si>
    <t>CalebQ42/bbConvert</t>
  </si>
  <si>
    <t>go-zooz</t>
  </si>
  <si>
    <t>Zooz API client for Go</t>
  </si>
  <si>
    <t>gojuno/go-zooz</t>
  </si>
  <si>
    <t>mimesniffer</t>
  </si>
  <si>
    <t>A MIME type sniffer for Go.</t>
  </si>
  <si>
    <t>aofei/mimesniffer</t>
  </si>
  <si>
    <t>sg</t>
  </si>
  <si>
    <t>Stress gauge allows one to gauge response times of an HTTP service under stress.</t>
  </si>
  <si>
    <t>ChristopherRabotin/sg</t>
  </si>
  <si>
    <t>go-gt</t>
  </si>
  <si>
    <t>Automatically exported from code.google.com/p/go-gt</t>
  </si>
  <si>
    <t>ThePaw/go-gt</t>
  </si>
  <si>
    <t>gocomplex</t>
  </si>
  <si>
    <t>Automatically exported from code.google.com/p/gocomplex</t>
  </si>
  <si>
    <t>varver/gocomplex</t>
  </si>
  <si>
    <t>go-type-assertion-benchmark</t>
  </si>
  <si>
    <t>Naive performance test of two ways to do type assertion in Go.</t>
  </si>
  <si>
    <t>hgfischer/go-type-assertion-benchmark</t>
  </si>
  <si>
    <t>binstruct</t>
  </si>
  <si>
    <t>Golang binary decoder for mapping data into the structure</t>
  </si>
  <si>
    <t>ghostiam/binstruct</t>
  </si>
  <si>
    <t>biff</t>
  </si>
  <si>
    <t>Bifurcation Framework for testing and use cases</t>
  </si>
  <si>
    <t>fulldump/biff</t>
  </si>
  <si>
    <t>tt</t>
  </si>
  <si>
    <t>Simple and colorful test tools</t>
  </si>
  <si>
    <t>vcaesar/tt</t>
  </si>
  <si>
    <t>piecewiselinear</t>
  </si>
  <si>
    <t>tiny linear interpolation library for go (factored out from https://github.com/sgreben/yeetgif)</t>
  </si>
  <si>
    <t>sgreben/piecewiselinear</t>
  </si>
  <si>
    <t>strftime</t>
  </si>
  <si>
    <t>C99-compatible strftime formatter for use with Go time.Time instances.</t>
  </si>
  <si>
    <t>awoodbeck/strftime</t>
  </si>
  <si>
    <t>mspm</t>
  </si>
  <si>
    <t>Multi-String Pattern Matching Algorithm Using TrieHashNode</t>
  </si>
  <si>
    <t>BlackRabbitt/mspm</t>
  </si>
  <si>
    <t>set</t>
  </si>
  <si>
    <t>A simple Set data structure implementation in Go (Golang) using LinkedHashMap.</t>
  </si>
  <si>
    <t>StudioSol/set</t>
  </si>
  <si>
    <t>godscache</t>
  </si>
  <si>
    <t>An unofficial Google Cloud Platform Go Datastore wrapper that adds caching using memcached. For App Engine Flexible, Compute Engine, Kubernetes Engine, and more.</t>
  </si>
  <si>
    <t>defcronyke/godscache</t>
  </si>
  <si>
    <t>go-getoptions</t>
  </si>
  <si>
    <t>Go (golang) command line option parser inspired on the flexibility of Perl’s GetOpt::Long.</t>
  </si>
  <si>
    <t>DavidGamba/go-getoptions</t>
  </si>
  <si>
    <t>jsonapi-errors</t>
  </si>
  <si>
    <t>Go bindings based on the JSON API errors reference</t>
  </si>
  <si>
    <t>AmuzaTkts/jsonapi-errors</t>
  </si>
  <si>
    <t>gomind</t>
  </si>
  <si>
    <t>A simplistic Neural Network Library in Go</t>
  </si>
  <si>
    <t>surenderthakran/gomind</t>
  </si>
  <si>
    <t>tspool</t>
  </si>
  <si>
    <t>tcp server pool</t>
  </si>
  <si>
    <t>two/tspool</t>
  </si>
  <si>
    <t>rootfinding</t>
  </si>
  <si>
    <t>root-finding library</t>
  </si>
  <si>
    <t>khezen/rootfinding</t>
  </si>
  <si>
    <t>parseargs-go</t>
  </si>
  <si>
    <t>A string argument parser that understands quotes and backslashes</t>
  </si>
  <si>
    <t>txgruppi/parseargs-go</t>
  </si>
  <si>
    <t>go-eco</t>
  </si>
  <si>
    <t>Automatically exported from code.google.com/p/go-eco</t>
  </si>
  <si>
    <t>ThePaw/go-eco</t>
  </si>
  <si>
    <t>silk</t>
  </si>
  <si>
    <t>Read Silk Flow Files</t>
  </si>
  <si>
    <t>chrispassas/silk</t>
  </si>
  <si>
    <t>go-sophos</t>
  </si>
  <si>
    <t>Sophos UTM 9 REST API Client in Golang</t>
  </si>
  <si>
    <t>esurdam/go-sophos</t>
  </si>
  <si>
    <t>syndfeed</t>
  </si>
  <si>
    <t>A syndication feed parser for Atom 1.0 and RSS 2.0 in Go</t>
  </si>
  <si>
    <t>zhengchun/syndfeed</t>
  </si>
  <si>
    <t>doi</t>
  </si>
  <si>
    <t>Parse and check doi objects in go.</t>
  </si>
  <si>
    <t>hscells/doi</t>
  </si>
  <si>
    <t>nginx-prometheus</t>
  </si>
  <si>
    <t>Analyze nginx logs in Prometheus</t>
  </si>
  <si>
    <t>blind-oracle/nginx-prometheus</t>
  </si>
  <si>
    <t>jwc</t>
  </si>
  <si>
    <t>JSON Web Cryptography</t>
  </si>
  <si>
    <t>khezen/jwc</t>
  </si>
  <si>
    <t>mlgo</t>
  </si>
  <si>
    <t>Automatically exported from code.google.com/p/mlgo</t>
  </si>
  <si>
    <t>NullHypothesis/mlgo</t>
  </si>
  <si>
    <t>lore</t>
  </si>
  <si>
    <t>Light Object-Relational Environment (LORE) provides a simple and lightweight pseudo-ORM/pseudo-struct-mapping environment for Go</t>
  </si>
  <si>
    <t>abrahambotros/lore</t>
  </si>
  <si>
    <t>metrics</t>
  </si>
  <si>
    <t>atomic measures + Prometheus exposition library</t>
  </si>
  <si>
    <t>pascaldekloe/metrics</t>
  </si>
  <si>
    <t>logo</t>
  </si>
  <si>
    <t>Golang logger to different configurable writers.</t>
  </si>
  <si>
    <t>mbndr/logo</t>
  </si>
  <si>
    <t>go-trylock</t>
  </si>
  <si>
    <t>TryLock support on read-write lock for Golang</t>
  </si>
  <si>
    <t>subchen/go-trylock</t>
  </si>
  <si>
    <t>go-tools</t>
  </si>
  <si>
    <t>A collection of tools for Golang</t>
  </si>
  <si>
    <t>nikhilsaraf/go-tools</t>
  </si>
  <si>
    <t>flop</t>
  </si>
  <si>
    <t>Go file operations library chasing GNU APIs.</t>
  </si>
  <si>
    <t>homedepot/flop</t>
  </si>
  <si>
    <t>asc</t>
  </si>
  <si>
    <t>Datastore Connectivity for Aerospike for go</t>
  </si>
  <si>
    <t>viant/asc</t>
  </si>
  <si>
    <t>treap</t>
  </si>
  <si>
    <t>golang persistent immutable treap sorted sets</t>
  </si>
  <si>
    <t>perdata/treap</t>
  </si>
  <si>
    <t>null</t>
  </si>
  <si>
    <t>Nullable Go types that can be marshalled/unmarshalled to/from JSON.</t>
  </si>
  <si>
    <t>emvi/null</t>
  </si>
  <si>
    <t>bel</t>
  </si>
  <si>
    <t>Generate TypeScript interfaces from Go structs/interfaces - useful for JSON RPC</t>
  </si>
  <si>
    <t>32leaves/bel</t>
  </si>
  <si>
    <t>aandryashin/ggr</t>
  </si>
  <si>
    <t>TySug</t>
  </si>
  <si>
    <t>A project around helping to prevent typing typos. TySug (Typo Suggestions) suggests alternative words with respect to keyboard layouts</t>
  </si>
  <si>
    <t>Dynom/TySug</t>
  </si>
  <si>
    <t>Package provides a generic interface to encoders and decoders</t>
  </si>
  <si>
    <t>mickep76/encoding</t>
  </si>
  <si>
    <t>go-chronos</t>
  </si>
  <si>
    <t>:dancers: Go Chronos 3.x REST API Client</t>
  </si>
  <si>
    <t>axelspringer/go-chronos</t>
  </si>
  <si>
    <t>assocentity</t>
  </si>
  <si>
    <t>Package assocentity returns the average distance from words to a given entity</t>
  </si>
  <si>
    <t>ndabAP/assocentity</t>
  </si>
  <si>
    <t>typ</t>
  </si>
  <si>
    <t>Null Types, Safe primitive type conversion and fetching value from complex structures.</t>
  </si>
  <si>
    <t>gurukami/typ</t>
  </si>
  <si>
    <t>sprbox</t>
  </si>
  <si>
    <t>Build-environment aware toolbox factory &amp; agnostic, layered, config parser (supporting YAML, TOML, JSON and Environment vars).</t>
  </si>
  <si>
    <t>oblq/sprbox</t>
  </si>
  <si>
    <t>sand</t>
  </si>
  <si>
    <t>Package for creating interpreters</t>
  </si>
  <si>
    <t>Zaba505/sand</t>
  </si>
  <si>
    <t>go-sample</t>
  </si>
  <si>
    <t>Go Project Sample Layout</t>
  </si>
  <si>
    <t>zitryss/go-sample</t>
  </si>
  <si>
    <t>sliceconv</t>
  </si>
  <si>
    <t>Slice conversion between primitive types</t>
  </si>
  <si>
    <t>Henry-Sarabia/sliceconv</t>
  </si>
  <si>
    <t>gago</t>
  </si>
  <si>
    <t>Old version of eaopt, will eventually be removed</t>
  </si>
  <si>
    <t>MaxHalford/gago</t>
  </si>
  <si>
    <t>sawsij</t>
  </si>
  <si>
    <t>jaybill/sawsij</t>
  </si>
  <si>
    <t>slicer</t>
  </si>
  <si>
    <t>Utility class for handling slices</t>
  </si>
  <si>
    <t>leaanthony/slicer</t>
  </si>
  <si>
    <t>sslice</t>
  </si>
  <si>
    <t>Sorted Slice for Golang</t>
  </si>
  <si>
    <t>yaa110/sslice</t>
  </si>
  <si>
    <t>Percolate's Go retry package</t>
  </si>
  <si>
    <t>percolate/retry</t>
  </si>
  <si>
    <t>ctxutil</t>
  </si>
  <si>
    <t>utils for Go context</t>
  </si>
  <si>
    <t>posener/ctxutil</t>
  </si>
  <si>
    <t>A highly optimized double-ended queue</t>
  </si>
  <si>
    <t>edwingeng/deque</t>
  </si>
  <si>
    <t>cookiestxt</t>
  </si>
  <si>
    <t>cookiestxt implement parser of cookies txt format</t>
  </si>
  <si>
    <t>mengzhuo/cookiestxt</t>
  </si>
  <si>
    <t>outboxer</t>
  </si>
  <si>
    <t>A library that implements the outboxer pattern in go</t>
  </si>
  <si>
    <t>italolelis/outboxer</t>
  </si>
  <si>
    <t>playlyfe-go-sdk</t>
  </si>
  <si>
    <t>This is the official Playlyfe Golang Sdk</t>
  </si>
  <si>
    <t>playlyfe/playlyfe-go-sdk</t>
  </si>
  <si>
    <t>blank</t>
  </si>
  <si>
    <t>Verify or remove blanks and whitespace from your  strings</t>
  </si>
  <si>
    <t>Henry-Sarabia/blank</t>
  </si>
  <si>
    <t>olaf</t>
  </si>
  <si>
    <t>Twitter Snowflake implemented in Go</t>
  </si>
  <si>
    <t>btnguyen2k/olaf</t>
  </si>
  <si>
    <t>RangelReale/osin</t>
  </si>
  <si>
    <t>timedmap</t>
  </si>
  <si>
    <t>A map which has expiring key-value pairs</t>
  </si>
  <si>
    <t>zekroTJA/timedmap</t>
  </si>
  <si>
    <t>ormlite</t>
  </si>
  <si>
    <t>Lightweight package containing some ORM-like features and helpers for sqlite databases.</t>
  </si>
  <si>
    <t>pupizoid/ormlite</t>
  </si>
  <si>
    <t>rmqconn</t>
  </si>
  <si>
    <t>RabbitMQ Reconnection for Golang</t>
  </si>
  <si>
    <t>sbabiv/rmqconn</t>
  </si>
  <si>
    <t>done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</si>
</sst>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hh:mm:ss"/>
  </numFmts>
  <fonts count="5" x14ac:knownFonts="1">
    <font>
      <sz val="11"/>
      <color theme="1"/>
      <name val="宋体"/>
      <family val="2"/>
      <scheme val="minor"/>
    </font>
    <font>
      <b/>
      <sz val="11"/>
      <name val="宋体"/>
      <family val="3"/>
      <charset val="134"/>
    </font>
    <font>
      <u/>
      <sz val="11"/>
      <color theme="10"/>
      <name val="宋体"/>
      <family val="2"/>
      <scheme val="minor"/>
    </font>
    <font>
      <sz val="9"/>
      <name val="宋体"/>
      <family val="2"/>
      <scheme val="minor"/>
    </font>
    <font>
      <b/>
      <sz val="11"/>
      <name val="Abadi MT Condensed Extra Bold"/>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176" fontId="0" fillId="0" borderId="0" xfId="0" applyNumberFormat="1"/>
    <xf numFmtId="0" fontId="2" fillId="0" borderId="0" xfId="1"/>
    <xf numFmtId="0" fontId="0" fillId="2" borderId="0" xfId="0" applyFill="1"/>
    <xf numFmtId="0" fontId="4" fillId="0" borderId="2" xfId="0" applyFont="1" applyFill="1" applyBorder="1" applyAlignment="1">
      <alignment horizontal="center" vertical="top"/>
    </xf>
    <xf numFmtId="0" fontId="0" fillId="0" borderId="0" xfId="0" applyAlignment="1">
      <alignment horizont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59"/>
  <sheetViews>
    <sheetView tabSelected="1" topLeftCell="A1181" workbookViewId="0">
      <selection activeCell="C1203" sqref="C1203"/>
    </sheetView>
  </sheetViews>
  <sheetFormatPr baseColWidth="10" defaultColWidth="8.83203125" defaultRowHeight="14" x14ac:dyDescent="0.15"/>
  <cols>
    <col min="1" max="1" width="12" customWidth="1"/>
    <col min="2" max="2" width="52.83203125" style="3" customWidth="1"/>
    <col min="3" max="3" width="8.83203125" style="6"/>
    <col min="5" max="5" width="12.6640625" customWidth="1"/>
    <col min="6" max="6" width="53.33203125" customWidth="1"/>
    <col min="8" max="8" width="20.1640625" customWidth="1"/>
    <col min="9" max="9" width="21.33203125" customWidth="1"/>
    <col min="10" max="10" width="30.33203125" customWidth="1"/>
  </cols>
  <sheetData>
    <row r="1" spans="1:10" ht="15" x14ac:dyDescent="0.15">
      <c r="A1" s="1" t="s">
        <v>0</v>
      </c>
      <c r="B1" s="1" t="s">
        <v>1</v>
      </c>
      <c r="C1" s="5" t="s">
        <v>4688</v>
      </c>
      <c r="D1" s="1" t="s">
        <v>5</v>
      </c>
      <c r="E1" s="1" t="s">
        <v>2</v>
      </c>
      <c r="F1" s="1" t="s">
        <v>3</v>
      </c>
      <c r="G1" s="1" t="s">
        <v>4</v>
      </c>
      <c r="H1" s="1" t="s">
        <v>6</v>
      </c>
      <c r="I1" s="1" t="s">
        <v>7</v>
      </c>
      <c r="J1" s="1" t="s">
        <v>8</v>
      </c>
    </row>
    <row r="2" spans="1:10" x14ac:dyDescent="0.15">
      <c r="A2">
        <v>21737465</v>
      </c>
      <c r="B2" s="3" t="str">
        <f>HYPERLINK("https://github.com/sindresorhus/awesome", "https://github.com/sindresorhus/awesome")</f>
        <v>https://github.com/sindresorhus/awesome</v>
      </c>
      <c r="C2" s="6">
        <v>1</v>
      </c>
      <c r="D2">
        <v>107208</v>
      </c>
      <c r="E2" t="s">
        <v>9</v>
      </c>
      <c r="F2" t="s">
        <v>10</v>
      </c>
      <c r="G2">
        <v>14106</v>
      </c>
      <c r="H2" s="2">
        <v>41831.571261574078</v>
      </c>
      <c r="I2" s="2">
        <v>43580.540960648148</v>
      </c>
      <c r="J2" t="s">
        <v>11</v>
      </c>
    </row>
    <row r="3" spans="1:10" x14ac:dyDescent="0.15">
      <c r="A3">
        <v>21289110</v>
      </c>
      <c r="B3" s="3" t="str">
        <f>HYPERLINK("https://github.com/vinta/awesome-python", "https://github.com/vinta/awesome-python")</f>
        <v>https://github.com/vinta/awesome-python</v>
      </c>
      <c r="C3" s="6">
        <v>1</v>
      </c>
      <c r="D3">
        <v>66367</v>
      </c>
      <c r="E3" t="s">
        <v>12</v>
      </c>
      <c r="F3" t="s">
        <v>13</v>
      </c>
      <c r="G3">
        <v>12809</v>
      </c>
      <c r="H3" s="2">
        <v>41817.875069444453</v>
      </c>
      <c r="I3" s="2">
        <v>43580.537106481483</v>
      </c>
      <c r="J3" t="s">
        <v>14</v>
      </c>
    </row>
    <row r="4" spans="1:10" x14ac:dyDescent="0.15">
      <c r="A4">
        <v>7691631</v>
      </c>
      <c r="B4" s="3" t="str">
        <f>HYPERLINK("https://github.com/moby/moby", "https://github.com/moby/moby")</f>
        <v>https://github.com/moby/moby</v>
      </c>
      <c r="C4" s="6">
        <v>1</v>
      </c>
      <c r="D4">
        <v>53042</v>
      </c>
      <c r="E4" t="s">
        <v>15</v>
      </c>
      <c r="F4" t="s">
        <v>16</v>
      </c>
      <c r="G4">
        <v>15349</v>
      </c>
      <c r="H4" s="2">
        <v>41292.757604166669</v>
      </c>
      <c r="I4" s="2">
        <v>43580.547858796293</v>
      </c>
      <c r="J4" t="s">
        <v>17</v>
      </c>
    </row>
    <row r="5" spans="1:10" x14ac:dyDescent="0.15">
      <c r="A5">
        <v>20580498</v>
      </c>
      <c r="B5" s="3" t="str">
        <f>HYPERLINK("https://github.com/kubernetes/kubernetes", "https://github.com/kubernetes/kubernetes")</f>
        <v>https://github.com/kubernetes/kubernetes</v>
      </c>
      <c r="C5" s="6">
        <v>1</v>
      </c>
      <c r="D5">
        <v>51709</v>
      </c>
      <c r="E5" t="s">
        <v>18</v>
      </c>
      <c r="F5" t="s">
        <v>19</v>
      </c>
      <c r="G5">
        <v>17852</v>
      </c>
      <c r="H5" s="2">
        <v>41796.955601851849</v>
      </c>
      <c r="I5" s="2">
        <v>43580.535671296297</v>
      </c>
      <c r="J5" t="s">
        <v>20</v>
      </c>
    </row>
    <row r="6" spans="1:10" x14ac:dyDescent="0.15">
      <c r="A6">
        <v>21540759</v>
      </c>
      <c r="B6" s="3" t="str">
        <f>HYPERLINK("https://github.com/avelino/awesome-go", "https://github.com/avelino/awesome-go")</f>
        <v>https://github.com/avelino/awesome-go</v>
      </c>
      <c r="C6" s="6">
        <v>1</v>
      </c>
      <c r="D6">
        <v>42957</v>
      </c>
      <c r="E6" t="s">
        <v>21</v>
      </c>
      <c r="F6" t="s">
        <v>22</v>
      </c>
      <c r="G6">
        <v>5592</v>
      </c>
      <c r="H6" s="2">
        <v>41826.571006944447</v>
      </c>
      <c r="I6" s="2">
        <v>43580.534826388888</v>
      </c>
      <c r="J6" t="s">
        <v>23</v>
      </c>
    </row>
    <row r="7" spans="1:10" x14ac:dyDescent="0.15">
      <c r="A7">
        <v>5271882</v>
      </c>
      <c r="B7" s="3" t="str">
        <f>HYPERLINK("https://github.com/astaxie/build-web-application-with-golang", "https://github.com/astaxie/build-web-application-with-golang")</f>
        <v>https://github.com/astaxie/build-web-application-with-golang</v>
      </c>
      <c r="D7">
        <v>29496</v>
      </c>
      <c r="E7" t="s">
        <v>24</v>
      </c>
      <c r="F7" t="s">
        <v>25</v>
      </c>
      <c r="G7">
        <v>8173</v>
      </c>
      <c r="H7" s="2">
        <v>41123.492766203701</v>
      </c>
      <c r="I7" s="2">
        <v>43580.541041666656</v>
      </c>
      <c r="J7" t="s">
        <v>26</v>
      </c>
    </row>
    <row r="8" spans="1:10" x14ac:dyDescent="0.15">
      <c r="A8">
        <v>20904437</v>
      </c>
      <c r="B8" s="3" t="str">
        <f>HYPERLINK("https://github.com/gin-gonic/gin", "https://github.com/gin-gonic/gin")</f>
        <v>https://github.com/gin-gonic/gin</v>
      </c>
      <c r="D8">
        <v>26466</v>
      </c>
      <c r="E8" t="s">
        <v>27</v>
      </c>
      <c r="F8" t="s">
        <v>28</v>
      </c>
      <c r="G8">
        <v>3082</v>
      </c>
      <c r="H8" s="2">
        <v>41806.998206018521</v>
      </c>
      <c r="I8" s="2">
        <v>43580.535405092603</v>
      </c>
      <c r="J8" t="s">
        <v>29</v>
      </c>
    </row>
    <row r="9" spans="1:10" x14ac:dyDescent="0.15">
      <c r="A9">
        <v>11225014</v>
      </c>
      <c r="B9" s="3" t="str">
        <f>HYPERLINK("https://github.com/etcd-io/etcd", "https://github.com/etcd-io/etcd")</f>
        <v>https://github.com/etcd-io/etcd</v>
      </c>
      <c r="D9">
        <v>24395</v>
      </c>
      <c r="E9" t="s">
        <v>30</v>
      </c>
      <c r="F9" t="s">
        <v>31</v>
      </c>
      <c r="G9">
        <v>4920</v>
      </c>
      <c r="H9" s="2">
        <v>41461.914826388893</v>
      </c>
      <c r="I9" s="2">
        <v>43580.511631944442</v>
      </c>
      <c r="J9" t="s">
        <v>32</v>
      </c>
    </row>
    <row r="10" spans="1:10" x14ac:dyDescent="0.15">
      <c r="A10">
        <v>21600440</v>
      </c>
      <c r="B10" s="3" t="str">
        <f>HYPERLINK("https://github.com/bayandin/awesome-awesomeness", "https://github.com/bayandin/awesome-awesomeness")</f>
        <v>https://github.com/bayandin/awesome-awesomeness</v>
      </c>
      <c r="D10">
        <v>24078</v>
      </c>
      <c r="E10" t="s">
        <v>33</v>
      </c>
      <c r="F10" t="s">
        <v>34</v>
      </c>
      <c r="G10">
        <v>3017</v>
      </c>
      <c r="H10" s="2">
        <v>41828.239108796297</v>
      </c>
      <c r="I10" s="2">
        <v>43580.48101851852</v>
      </c>
      <c r="J10" t="s">
        <v>35</v>
      </c>
    </row>
    <row r="11" spans="1:10" x14ac:dyDescent="0.15">
      <c r="A11">
        <v>6838921</v>
      </c>
      <c r="B11" s="3" t="str">
        <f>HYPERLINK("https://github.com/prometheus/prometheus", "https://github.com/prometheus/prometheus")</f>
        <v>https://github.com/prometheus/prometheus</v>
      </c>
      <c r="D11">
        <v>23522</v>
      </c>
      <c r="E11" t="s">
        <v>36</v>
      </c>
      <c r="F11" t="s">
        <v>37</v>
      </c>
      <c r="G11">
        <v>3270</v>
      </c>
      <c r="H11" s="2">
        <v>41237.468194444453</v>
      </c>
      <c r="I11" s="2">
        <v>43580.535185185188</v>
      </c>
      <c r="J11" t="s">
        <v>38</v>
      </c>
    </row>
    <row r="12" spans="1:10" x14ac:dyDescent="0.15">
      <c r="A12">
        <v>42408804</v>
      </c>
      <c r="B12" s="3" t="str">
        <f>HYPERLINK("https://github.com/containous/traefik", "https://github.com/containous/traefik")</f>
        <v>https://github.com/containous/traefik</v>
      </c>
      <c r="D12">
        <v>22004</v>
      </c>
      <c r="E12" t="s">
        <v>39</v>
      </c>
      <c r="F12" t="s">
        <v>40</v>
      </c>
      <c r="G12">
        <v>2257</v>
      </c>
      <c r="H12" s="2">
        <v>42260.79446759259</v>
      </c>
      <c r="I12" s="2">
        <v>43580.520856481482</v>
      </c>
      <c r="J12" t="s">
        <v>41</v>
      </c>
    </row>
    <row r="13" spans="1:10" x14ac:dyDescent="0.15">
      <c r="A13">
        <v>29207621</v>
      </c>
      <c r="B13" s="3" t="str">
        <f>HYPERLINK("https://github.com/mholt/caddy", "https://github.com/mholt/caddy")</f>
        <v>https://github.com/mholt/caddy</v>
      </c>
      <c r="D13">
        <v>21561</v>
      </c>
      <c r="E13" t="s">
        <v>42</v>
      </c>
      <c r="F13" t="s">
        <v>43</v>
      </c>
      <c r="G13">
        <v>1706</v>
      </c>
      <c r="H13" s="2">
        <v>42017.822951388887</v>
      </c>
      <c r="I13" s="2">
        <v>43580.535694444443</v>
      </c>
      <c r="J13" t="s">
        <v>44</v>
      </c>
    </row>
    <row r="14" spans="1:10" x14ac:dyDescent="0.15">
      <c r="A14">
        <v>13807606</v>
      </c>
      <c r="B14" s="3" t="str">
        <f>HYPERLINK("https://github.com/junegunn/fzf", "https://github.com/junegunn/fzf")</f>
        <v>https://github.com/junegunn/fzf</v>
      </c>
      <c r="D14">
        <v>21064</v>
      </c>
      <c r="E14" t="s">
        <v>45</v>
      </c>
      <c r="F14" t="s">
        <v>46</v>
      </c>
      <c r="G14">
        <v>810</v>
      </c>
      <c r="H14" s="2">
        <v>41570.669710648152</v>
      </c>
      <c r="I14" s="2">
        <v>43580.527939814812</v>
      </c>
      <c r="J14" t="s">
        <v>47</v>
      </c>
    </row>
    <row r="15" spans="1:10" x14ac:dyDescent="0.15">
      <c r="A15">
        <v>3577919</v>
      </c>
      <c r="B15" s="3" t="str">
        <f>HYPERLINK("https://github.com/astaxie/beego", "https://github.com/astaxie/beego")</f>
        <v>https://github.com/astaxie/beego</v>
      </c>
      <c r="D15">
        <v>20028</v>
      </c>
      <c r="E15" t="s">
        <v>48</v>
      </c>
      <c r="F15" t="s">
        <v>49</v>
      </c>
      <c r="G15">
        <v>4069</v>
      </c>
      <c r="H15" s="2">
        <v>40968.10564814815</v>
      </c>
      <c r="I15" s="2">
        <v>43580.53670138889</v>
      </c>
      <c r="J15" t="s">
        <v>50</v>
      </c>
    </row>
    <row r="16" spans="1:10" x14ac:dyDescent="0.15">
      <c r="A16">
        <v>41986369</v>
      </c>
      <c r="B16" s="3" t="str">
        <f>HYPERLINK("https://github.com/pingcap/tidb", "https://github.com/pingcap/tidb")</f>
        <v>https://github.com/pingcap/tidb</v>
      </c>
      <c r="D16">
        <v>18325</v>
      </c>
      <c r="E16" t="s">
        <v>51</v>
      </c>
      <c r="F16" t="s">
        <v>52</v>
      </c>
      <c r="G16">
        <v>2641</v>
      </c>
      <c r="H16" s="2">
        <v>42253.167962962973</v>
      </c>
      <c r="I16" s="2">
        <v>43580.536099537043</v>
      </c>
      <c r="J16" t="s">
        <v>53</v>
      </c>
    </row>
    <row r="17" spans="1:10" x14ac:dyDescent="0.15">
      <c r="A17">
        <v>16607898</v>
      </c>
      <c r="B17" s="3" t="str">
        <f>HYPERLINK("https://github.com/drone/drone", "https://github.com/drone/drone")</f>
        <v>https://github.com/drone/drone</v>
      </c>
      <c r="D17">
        <v>18043</v>
      </c>
      <c r="E17" t="s">
        <v>54</v>
      </c>
      <c r="F17" t="s">
        <v>55</v>
      </c>
      <c r="G17">
        <v>1764</v>
      </c>
      <c r="H17" s="2">
        <v>41677.329675925917</v>
      </c>
      <c r="I17" s="2">
        <v>43580.537256944437</v>
      </c>
      <c r="J17" t="s">
        <v>56</v>
      </c>
    </row>
    <row r="18" spans="1:10" x14ac:dyDescent="0.15">
      <c r="A18">
        <v>13124802</v>
      </c>
      <c r="B18" s="3" t="str">
        <f>HYPERLINK("https://github.com/influxdata/influxdb", "https://github.com/influxdata/influxdb")</f>
        <v>https://github.com/influxdata/influxdb</v>
      </c>
      <c r="D18">
        <v>16130</v>
      </c>
      <c r="E18" t="s">
        <v>57</v>
      </c>
      <c r="F18" t="s">
        <v>58</v>
      </c>
      <c r="G18">
        <v>2312</v>
      </c>
      <c r="H18" s="2">
        <v>41543.60497685185</v>
      </c>
      <c r="I18" s="2">
        <v>43580.505659722221</v>
      </c>
      <c r="J18" t="s">
        <v>59</v>
      </c>
    </row>
    <row r="19" spans="1:10" x14ac:dyDescent="0.15">
      <c r="A19">
        <v>8900723</v>
      </c>
      <c r="B19" s="3" t="str">
        <f>HYPERLINK("https://github.com/inconshreveable/ngrok", "https://github.com/inconshreveable/ngrok")</f>
        <v>https://github.com/inconshreveable/ngrok</v>
      </c>
      <c r="D19">
        <v>15997</v>
      </c>
      <c r="E19" t="s">
        <v>60</v>
      </c>
      <c r="F19" t="s">
        <v>61</v>
      </c>
      <c r="G19">
        <v>2762</v>
      </c>
      <c r="H19" s="2">
        <v>41353.401192129633</v>
      </c>
      <c r="I19" s="2">
        <v>43580.421493055554</v>
      </c>
      <c r="J19" t="s">
        <v>62</v>
      </c>
    </row>
    <row r="20" spans="1:10" x14ac:dyDescent="0.15">
      <c r="A20">
        <v>16563587</v>
      </c>
      <c r="B20" s="3" t="str">
        <f>HYPERLINK("https://github.com/cockroachdb/cockroach", "https://github.com/cockroachdb/cockroach")</f>
        <v>https://github.com/cockroachdb/cockroach</v>
      </c>
      <c r="D20">
        <v>15983</v>
      </c>
      <c r="E20" t="s">
        <v>63</v>
      </c>
      <c r="F20" t="s">
        <v>64</v>
      </c>
      <c r="G20">
        <v>1736</v>
      </c>
      <c r="H20" s="2">
        <v>41676.013043981482</v>
      </c>
      <c r="I20" s="2">
        <v>43580.456307870372</v>
      </c>
      <c r="J20" t="s">
        <v>65</v>
      </c>
    </row>
    <row r="21" spans="1:10" x14ac:dyDescent="0.15">
      <c r="A21">
        <v>401025</v>
      </c>
      <c r="B21" s="3" t="str">
        <f>HYPERLINK("https://github.com/github/hub", "https://github.com/github/hub")</f>
        <v>https://github.com/github/hub</v>
      </c>
      <c r="D21">
        <v>15866</v>
      </c>
      <c r="E21" t="s">
        <v>66</v>
      </c>
      <c r="F21" t="s">
        <v>67</v>
      </c>
      <c r="G21">
        <v>1589</v>
      </c>
      <c r="H21" s="2">
        <v>40152.927372685182</v>
      </c>
      <c r="I21" s="2">
        <v>43580.544594907413</v>
      </c>
      <c r="J21" t="s">
        <v>68</v>
      </c>
    </row>
    <row r="22" spans="1:10" x14ac:dyDescent="0.15">
      <c r="A22">
        <v>29261473</v>
      </c>
      <c r="B22" s="3" t="str">
        <f>HYPERLINK("https://github.com/minio/minio", "https://github.com/minio/minio")</f>
        <v>https://github.com/minio/minio</v>
      </c>
      <c r="D22">
        <v>15749</v>
      </c>
      <c r="E22" t="s">
        <v>69</v>
      </c>
      <c r="F22" t="s">
        <v>70</v>
      </c>
      <c r="G22">
        <v>1462</v>
      </c>
      <c r="H22" s="2">
        <v>42018.808310185188</v>
      </c>
      <c r="I22" s="2">
        <v>43580.526805555557</v>
      </c>
      <c r="J22" t="s">
        <v>71</v>
      </c>
    </row>
    <row r="23" spans="1:10" x14ac:dyDescent="0.15">
      <c r="A23">
        <v>28699471</v>
      </c>
      <c r="B23" s="3" t="str">
        <f>HYPERLINK("https://github.com/lukasz-madon/awesome-remote-job", "https://github.com/lukasz-madon/awesome-remote-job")</f>
        <v>https://github.com/lukasz-madon/awesome-remote-job</v>
      </c>
      <c r="D23">
        <v>13928</v>
      </c>
      <c r="E23" t="s">
        <v>72</v>
      </c>
      <c r="F23" t="s">
        <v>73</v>
      </c>
      <c r="G23">
        <v>1392</v>
      </c>
      <c r="H23" s="2">
        <v>42006.021921296298</v>
      </c>
      <c r="I23" s="2">
        <v>43580.36886574074</v>
      </c>
      <c r="J23" t="s">
        <v>74</v>
      </c>
    </row>
    <row r="24" spans="1:10" x14ac:dyDescent="0.15">
      <c r="A24">
        <v>31504491</v>
      </c>
      <c r="B24" s="3" t="str">
        <f>HYPERLINK("https://github.com/labstack/echo", "https://github.com/labstack/echo")</f>
        <v>https://github.com/labstack/echo</v>
      </c>
      <c r="D24">
        <v>13626</v>
      </c>
      <c r="E24" t="s">
        <v>75</v>
      </c>
      <c r="F24" t="s">
        <v>76</v>
      </c>
      <c r="G24">
        <v>1232</v>
      </c>
      <c r="H24" s="2">
        <v>42064.738206018519</v>
      </c>
      <c r="I24" s="2">
        <v>43580.520046296297</v>
      </c>
      <c r="J24" t="s">
        <v>77</v>
      </c>
    </row>
    <row r="25" spans="1:10" x14ac:dyDescent="0.15">
      <c r="A25">
        <v>72495579</v>
      </c>
      <c r="B25" s="3" t="str">
        <f>HYPERLINK("https://github.com/go-gitea/gitea", "https://github.com/go-gitea/gitea")</f>
        <v>https://github.com/go-gitea/gitea</v>
      </c>
      <c r="D25">
        <v>13571</v>
      </c>
      <c r="E25" t="s">
        <v>78</v>
      </c>
      <c r="F25" t="s">
        <v>79</v>
      </c>
      <c r="G25">
        <v>1468</v>
      </c>
      <c r="H25" s="2">
        <v>42675.092662037037</v>
      </c>
      <c r="I25" s="2">
        <v>43580.545740740738</v>
      </c>
      <c r="J25" t="s">
        <v>80</v>
      </c>
    </row>
    <row r="26" spans="1:10" x14ac:dyDescent="0.15">
      <c r="A26">
        <v>30215630</v>
      </c>
      <c r="B26" s="3" t="str">
        <f>HYPERLINK("https://github.com/go-kit/kit", "https://github.com/go-kit/kit")</f>
        <v>https://github.com/go-kit/kit</v>
      </c>
      <c r="D26">
        <v>13416</v>
      </c>
      <c r="E26" t="s">
        <v>81</v>
      </c>
      <c r="F26" t="s">
        <v>82</v>
      </c>
      <c r="G26">
        <v>1398</v>
      </c>
      <c r="H26" s="2">
        <v>42038.000914351847</v>
      </c>
      <c r="I26" s="2">
        <v>43580.390775462962</v>
      </c>
      <c r="J26" t="s">
        <v>83</v>
      </c>
    </row>
    <row r="27" spans="1:10" x14ac:dyDescent="0.15">
      <c r="A27">
        <v>13855476</v>
      </c>
      <c r="B27" s="3" t="str">
        <f>HYPERLINK("https://github.com/jinzhu/gorm", "https://github.com/jinzhu/gorm")</f>
        <v>https://github.com/jinzhu/gorm</v>
      </c>
      <c r="D27">
        <v>13174</v>
      </c>
      <c r="E27" t="s">
        <v>84</v>
      </c>
      <c r="F27" t="s">
        <v>85</v>
      </c>
      <c r="G27">
        <v>1491</v>
      </c>
      <c r="H27" s="2">
        <v>41572.355300925927</v>
      </c>
      <c r="I27" s="2">
        <v>43580.516689814824</v>
      </c>
      <c r="J27" t="s">
        <v>86</v>
      </c>
    </row>
    <row r="28" spans="1:10" x14ac:dyDescent="0.15">
      <c r="A28">
        <v>20537104</v>
      </c>
      <c r="B28" s="3" t="str">
        <f>HYPERLINK("https://github.com/cayleygraph/cayley", "https://github.com/cayleygraph/cayley")</f>
        <v>https://github.com/cayleygraph/cayley</v>
      </c>
      <c r="D28">
        <v>12435</v>
      </c>
      <c r="E28" t="s">
        <v>87</v>
      </c>
      <c r="F28" t="s">
        <v>88</v>
      </c>
      <c r="G28">
        <v>1107</v>
      </c>
      <c r="H28" s="2">
        <v>41795.784502314818</v>
      </c>
      <c r="I28" s="2">
        <v>43580.14402777778</v>
      </c>
      <c r="J28" t="s">
        <v>89</v>
      </c>
    </row>
    <row r="29" spans="1:10" x14ac:dyDescent="0.15">
      <c r="A29">
        <v>70202506</v>
      </c>
      <c r="B29" s="3" t="str">
        <f>HYPERLINK("https://github.com/golang/dep", "https://github.com/golang/dep")</f>
        <v>https://github.com/golang/dep</v>
      </c>
      <c r="D29">
        <v>12019</v>
      </c>
      <c r="E29" t="s">
        <v>90</v>
      </c>
      <c r="F29" t="s">
        <v>91</v>
      </c>
      <c r="G29">
        <v>980</v>
      </c>
      <c r="H29" s="2">
        <v>42650.003368055557</v>
      </c>
      <c r="I29" s="2">
        <v>43580.390798611108</v>
      </c>
      <c r="J29" t="s">
        <v>92</v>
      </c>
    </row>
    <row r="30" spans="1:10" x14ac:dyDescent="0.15">
      <c r="A30">
        <v>12574344</v>
      </c>
      <c r="B30" s="3" t="str">
        <f>HYPERLINK("https://github.com/spf13/cobra", "https://github.com/spf13/cobra")</f>
        <v>https://github.com/spf13/cobra</v>
      </c>
      <c r="D30">
        <v>11650</v>
      </c>
      <c r="E30" t="s">
        <v>93</v>
      </c>
      <c r="F30" t="s">
        <v>94</v>
      </c>
      <c r="G30">
        <v>1004</v>
      </c>
      <c r="H30" s="2">
        <v>41520.86141203704</v>
      </c>
      <c r="I30" s="2">
        <v>43580.444710648153</v>
      </c>
      <c r="J30" t="s">
        <v>95</v>
      </c>
    </row>
    <row r="31" spans="1:10" x14ac:dyDescent="0.15">
      <c r="A31">
        <v>12080551</v>
      </c>
      <c r="B31" s="3" t="str">
        <f>HYPERLINK("https://github.com/tsenart/vegeta", "https://github.com/tsenart/vegeta")</f>
        <v>https://github.com/tsenart/vegeta</v>
      </c>
      <c r="D31">
        <v>11306</v>
      </c>
      <c r="E31" t="s">
        <v>96</v>
      </c>
      <c r="F31" t="s">
        <v>97</v>
      </c>
      <c r="G31">
        <v>710</v>
      </c>
      <c r="H31" s="2">
        <v>41499.48982638889</v>
      </c>
      <c r="I31" s="2">
        <v>43580.492928240739</v>
      </c>
      <c r="J31" t="s">
        <v>98</v>
      </c>
    </row>
    <row r="32" spans="1:10" x14ac:dyDescent="0.15">
      <c r="A32">
        <v>19994257</v>
      </c>
      <c r="B32" s="3" t="str">
        <f>HYPERLINK("https://github.com/go-delve/delve", "https://github.com/go-delve/delve")</f>
        <v>https://github.com/go-delve/delve</v>
      </c>
      <c r="D32">
        <v>11209</v>
      </c>
      <c r="E32" t="s">
        <v>99</v>
      </c>
      <c r="F32" t="s">
        <v>100</v>
      </c>
      <c r="G32">
        <v>987</v>
      </c>
      <c r="H32" s="2">
        <v>41779.808831018519</v>
      </c>
      <c r="I32" s="2">
        <v>43580.517384259263</v>
      </c>
      <c r="J32" t="s">
        <v>101</v>
      </c>
    </row>
    <row r="33" spans="1:10" x14ac:dyDescent="0.15">
      <c r="A33">
        <v>2945088</v>
      </c>
      <c r="B33" s="3" t="str">
        <f>HYPERLINK("https://github.com/revel/revel", "https://github.com/revel/revel")</f>
        <v>https://github.com/revel/revel</v>
      </c>
      <c r="D33">
        <v>10981</v>
      </c>
      <c r="E33" t="s">
        <v>102</v>
      </c>
      <c r="F33" t="s">
        <v>103</v>
      </c>
      <c r="G33">
        <v>1321</v>
      </c>
      <c r="H33" s="2">
        <v>40886.17391203704</v>
      </c>
      <c r="I33" s="2">
        <v>43580.50953703704</v>
      </c>
      <c r="J33" t="s">
        <v>104</v>
      </c>
    </row>
    <row r="34" spans="1:10" x14ac:dyDescent="0.15">
      <c r="A34">
        <v>10379607</v>
      </c>
      <c r="B34" s="3" t="str">
        <f>HYPERLINK("https://github.com/buger/goreplay", "https://github.com/buger/goreplay")</f>
        <v>https://github.com/buger/goreplay</v>
      </c>
      <c r="D34">
        <v>10789</v>
      </c>
      <c r="E34" t="s">
        <v>105</v>
      </c>
      <c r="F34" t="s">
        <v>106</v>
      </c>
      <c r="G34">
        <v>1018</v>
      </c>
      <c r="H34" s="2">
        <v>41424.395219907397</v>
      </c>
      <c r="I34" s="2">
        <v>43580.493564814817</v>
      </c>
      <c r="J34" t="s">
        <v>107</v>
      </c>
    </row>
    <row r="35" spans="1:10" x14ac:dyDescent="0.15">
      <c r="A35">
        <v>13628513</v>
      </c>
      <c r="B35" s="3" t="str">
        <f>HYPERLINK("https://github.com/sirupsen/logrus", "https://github.com/sirupsen/logrus")</f>
        <v>https://github.com/sirupsen/logrus</v>
      </c>
      <c r="C35" s="6">
        <v>1</v>
      </c>
      <c r="D35">
        <v>10669</v>
      </c>
      <c r="E35" t="s">
        <v>108</v>
      </c>
      <c r="F35" t="s">
        <v>109</v>
      </c>
      <c r="G35">
        <v>1272</v>
      </c>
      <c r="H35" s="2">
        <v>41563.797858796293</v>
      </c>
      <c r="I35" s="2">
        <v>43580.514606481483</v>
      </c>
      <c r="J35" t="s">
        <v>110</v>
      </c>
    </row>
    <row r="36" spans="1:10" x14ac:dyDescent="0.15">
      <c r="A36">
        <v>11393110</v>
      </c>
      <c r="B36" s="3" t="str">
        <f>HYPERLINK("https://github.com/urfave/cli", "https://github.com/urfave/cli")</f>
        <v>https://github.com/urfave/cli</v>
      </c>
      <c r="D36">
        <v>10542</v>
      </c>
      <c r="E36" t="s">
        <v>111</v>
      </c>
      <c r="F36" t="s">
        <v>112</v>
      </c>
      <c r="G36">
        <v>870</v>
      </c>
      <c r="H36" s="2">
        <v>41468.813958333332</v>
      </c>
      <c r="I36" s="2">
        <v>43580.411643518521</v>
      </c>
      <c r="J36" t="s">
        <v>113</v>
      </c>
    </row>
    <row r="37" spans="1:10" x14ac:dyDescent="0.15">
      <c r="A37">
        <v>18062944</v>
      </c>
      <c r="B37" s="3" t="str">
        <f>HYPERLINK("https://github.com/fatih/vim-go", "https://github.com/fatih/vim-go")</f>
        <v>https://github.com/fatih/vim-go</v>
      </c>
      <c r="D37">
        <v>10285</v>
      </c>
      <c r="E37" t="s">
        <v>114</v>
      </c>
      <c r="F37" t="s">
        <v>115</v>
      </c>
      <c r="G37">
        <v>1056</v>
      </c>
      <c r="H37" s="2">
        <v>41722.550300925926</v>
      </c>
      <c r="I37" s="2">
        <v>43580.498020833344</v>
      </c>
      <c r="J37" t="s">
        <v>116</v>
      </c>
    </row>
    <row r="38" spans="1:10" x14ac:dyDescent="0.15">
      <c r="A38">
        <v>52595226</v>
      </c>
      <c r="B38" s="3" t="str">
        <f>HYPERLINK("https://github.com/xtaci/kcptun", "https://github.com/xtaci/kcptun")</f>
        <v>https://github.com/xtaci/kcptun</v>
      </c>
      <c r="D38">
        <v>10130</v>
      </c>
      <c r="E38" t="s">
        <v>117</v>
      </c>
      <c r="F38" s="4" t="s">
        <v>118</v>
      </c>
      <c r="G38">
        <v>1969</v>
      </c>
      <c r="H38" s="2">
        <v>42426.413032407407</v>
      </c>
      <c r="I38" s="2">
        <v>43580.395983796298</v>
      </c>
      <c r="J38" t="s">
        <v>119</v>
      </c>
    </row>
    <row r="39" spans="1:10" x14ac:dyDescent="0.15">
      <c r="A39">
        <v>15345331</v>
      </c>
      <c r="B39" s="3" t="str">
        <f>HYPERLINK("https://github.com/boltdb/bolt", "https://github.com/boltdb/bolt")</f>
        <v>https://github.com/boltdb/bolt</v>
      </c>
      <c r="D39">
        <v>9664</v>
      </c>
      <c r="E39" t="s">
        <v>120</v>
      </c>
      <c r="F39" t="s">
        <v>121</v>
      </c>
      <c r="G39">
        <v>1007</v>
      </c>
      <c r="H39" s="2">
        <v>41628.768217592587</v>
      </c>
      <c r="I39" s="2">
        <v>43580.239733796298</v>
      </c>
      <c r="J39" t="s">
        <v>122</v>
      </c>
    </row>
    <row r="40" spans="1:10" x14ac:dyDescent="0.15">
      <c r="A40">
        <v>41349039</v>
      </c>
      <c r="B40" s="3" t="str">
        <f>HYPERLINK("https://github.com/dgraph-io/dgraph", "https://github.com/dgraph-io/dgraph")</f>
        <v>https://github.com/dgraph-io/dgraph</v>
      </c>
      <c r="D40">
        <v>9398</v>
      </c>
      <c r="E40" t="s">
        <v>123</v>
      </c>
      <c r="F40" t="s">
        <v>124</v>
      </c>
      <c r="G40">
        <v>643</v>
      </c>
      <c r="H40" s="2">
        <v>42241.302731481483</v>
      </c>
      <c r="I40" s="2">
        <v>43580.379976851851</v>
      </c>
      <c r="J40" t="s">
        <v>125</v>
      </c>
    </row>
    <row r="41" spans="1:10" x14ac:dyDescent="0.15">
      <c r="A41">
        <v>14956897</v>
      </c>
      <c r="B41" s="3" t="str">
        <f>HYPERLINK("https://github.com/julienschmidt/httprouter", "https://github.com/julienschmidt/httprouter")</f>
        <v>https://github.com/julienschmidt/httprouter</v>
      </c>
      <c r="D41">
        <v>9070</v>
      </c>
      <c r="E41" t="s">
        <v>126</v>
      </c>
      <c r="F41" t="s">
        <v>127</v>
      </c>
      <c r="G41">
        <v>900</v>
      </c>
      <c r="H41" s="2">
        <v>41613.632581018523</v>
      </c>
      <c r="I41" s="2">
        <v>43580.521655092591</v>
      </c>
      <c r="J41" t="s">
        <v>128</v>
      </c>
    </row>
    <row r="42" spans="1:10" x14ac:dyDescent="0.15">
      <c r="A42">
        <v>8966356</v>
      </c>
      <c r="B42" s="3" t="str">
        <f>HYPERLINK("https://github.com/hashicorp/packer", "https://github.com/hashicorp/packer")</f>
        <v>https://github.com/hashicorp/packer</v>
      </c>
      <c r="D42">
        <v>8821</v>
      </c>
      <c r="E42" t="s">
        <v>129</v>
      </c>
      <c r="F42" t="s">
        <v>130</v>
      </c>
      <c r="G42">
        <v>2406</v>
      </c>
      <c r="H42" s="2">
        <v>41356.238229166673</v>
      </c>
      <c r="I42" s="2">
        <v>43580.474768518521</v>
      </c>
      <c r="J42" t="s">
        <v>131</v>
      </c>
    </row>
    <row r="43" spans="1:10" x14ac:dyDescent="0.15">
      <c r="A43">
        <v>6051812</v>
      </c>
      <c r="B43" s="3" t="str">
        <f>HYPERLINK("https://github.com/gorilla/mux", "https://github.com/gorilla/mux")</f>
        <v>https://github.com/gorilla/mux</v>
      </c>
      <c r="D43">
        <v>8682</v>
      </c>
      <c r="E43" t="s">
        <v>132</v>
      </c>
      <c r="F43" t="s">
        <v>133</v>
      </c>
      <c r="G43">
        <v>981</v>
      </c>
      <c r="H43" s="2">
        <v>41184.897499999999</v>
      </c>
      <c r="I43" s="2">
        <v>43580.507337962961</v>
      </c>
      <c r="J43" t="s">
        <v>134</v>
      </c>
    </row>
    <row r="44" spans="1:10" x14ac:dyDescent="0.15">
      <c r="A44">
        <v>26509369</v>
      </c>
      <c r="B44" s="3" t="str">
        <f>HYPERLINK("https://github.com/rkt/rkt", "https://github.com/rkt/rkt")</f>
        <v>https://github.com/rkt/rkt</v>
      </c>
      <c r="D44">
        <v>8580</v>
      </c>
      <c r="E44" t="s">
        <v>135</v>
      </c>
      <c r="F44" t="s">
        <v>136</v>
      </c>
      <c r="G44">
        <v>818</v>
      </c>
      <c r="H44" s="2">
        <v>41954.967569444438</v>
      </c>
      <c r="I44" s="2">
        <v>43580.493171296293</v>
      </c>
      <c r="J44" t="s">
        <v>137</v>
      </c>
    </row>
    <row r="45" spans="1:10" x14ac:dyDescent="0.15">
      <c r="A45">
        <v>44498957</v>
      </c>
      <c r="B45" s="3" t="str">
        <f>HYPERLINK("https://github.com/valyala/fasthttp", "https://github.com/valyala/fasthttp")</f>
        <v>https://github.com/valyala/fasthttp</v>
      </c>
      <c r="D45">
        <v>8559</v>
      </c>
      <c r="E45" t="s">
        <v>138</v>
      </c>
      <c r="F45" t="s">
        <v>139</v>
      </c>
      <c r="G45">
        <v>756</v>
      </c>
      <c r="H45" s="2">
        <v>42295.930520833332</v>
      </c>
      <c r="I45" s="2">
        <v>43580.269849537042</v>
      </c>
      <c r="J45" t="s">
        <v>140</v>
      </c>
    </row>
    <row r="46" spans="1:10" x14ac:dyDescent="0.15">
      <c r="A46">
        <v>30245748</v>
      </c>
      <c r="B46" s="3" t="str">
        <f>HYPERLINK("https://github.com/gizak/termui", "https://github.com/gizak/termui")</f>
        <v>https://github.com/gizak/termui</v>
      </c>
      <c r="D46">
        <v>8544</v>
      </c>
      <c r="E46" t="s">
        <v>141</v>
      </c>
      <c r="F46" t="s">
        <v>142</v>
      </c>
      <c r="G46">
        <v>520</v>
      </c>
      <c r="H46" s="2">
        <v>42038.589895833327</v>
      </c>
      <c r="I46" s="2">
        <v>43580.042731481481</v>
      </c>
      <c r="J46" t="s">
        <v>143</v>
      </c>
    </row>
    <row r="47" spans="1:10" x14ac:dyDescent="0.15">
      <c r="A47">
        <v>77419377</v>
      </c>
      <c r="B47" s="3" t="str">
        <f>HYPERLINK("https://github.com/bcicen/ctop", "https://github.com/bcicen/ctop")</f>
        <v>https://github.com/bcicen/ctop</v>
      </c>
      <c r="D47">
        <v>8353</v>
      </c>
      <c r="E47" t="s">
        <v>144</v>
      </c>
      <c r="F47" t="s">
        <v>145</v>
      </c>
      <c r="G47">
        <v>307</v>
      </c>
      <c r="H47" s="2">
        <v>42731.101354166669</v>
      </c>
      <c r="I47" s="2">
        <v>43580.52952546296</v>
      </c>
      <c r="J47" t="s">
        <v>146</v>
      </c>
    </row>
    <row r="48" spans="1:10" x14ac:dyDescent="0.15">
      <c r="A48">
        <v>18369373</v>
      </c>
      <c r="B48" s="3" t="str">
        <f>HYPERLINK("https://github.com/spf13/viper", "https://github.com/spf13/viper")</f>
        <v>https://github.com/spf13/viper</v>
      </c>
      <c r="D48">
        <v>8247</v>
      </c>
      <c r="E48" t="s">
        <v>147</v>
      </c>
      <c r="F48" t="s">
        <v>148</v>
      </c>
      <c r="G48">
        <v>787</v>
      </c>
      <c r="H48" s="2">
        <v>41731.606631944444</v>
      </c>
      <c r="I48" s="2">
        <v>43580.540648148148</v>
      </c>
      <c r="J48" t="s">
        <v>149</v>
      </c>
    </row>
    <row r="49" spans="1:10" x14ac:dyDescent="0.15">
      <c r="A49">
        <v>12418999</v>
      </c>
      <c r="B49" s="3" t="str">
        <f>HYPERLINK("https://github.com/gopherjs/gopherjs", "https://github.com/gopherjs/gopherjs")</f>
        <v>https://github.com/gopherjs/gopherjs</v>
      </c>
      <c r="D49">
        <v>8192</v>
      </c>
      <c r="E49" t="s">
        <v>150</v>
      </c>
      <c r="F49" t="s">
        <v>151</v>
      </c>
      <c r="G49">
        <v>381</v>
      </c>
      <c r="H49" s="2">
        <v>41513.933310185188</v>
      </c>
      <c r="I49" s="2">
        <v>43580.540671296287</v>
      </c>
      <c r="J49" t="s">
        <v>152</v>
      </c>
    </row>
    <row r="50" spans="1:10" x14ac:dyDescent="0.15">
      <c r="A50">
        <v>27729907</v>
      </c>
      <c r="B50" s="3" t="str">
        <f>HYPERLINK("https://github.com/grpc/grpc-go", "https://github.com/grpc/grpc-go")</f>
        <v>https://github.com/grpc/grpc-go</v>
      </c>
      <c r="D50">
        <v>8107</v>
      </c>
      <c r="E50" t="s">
        <v>153</v>
      </c>
      <c r="F50" t="s">
        <v>154</v>
      </c>
      <c r="G50">
        <v>1590</v>
      </c>
      <c r="H50" s="2">
        <v>41981.791365740741</v>
      </c>
      <c r="I50" s="2">
        <v>43580.450046296297</v>
      </c>
      <c r="J50" t="s">
        <v>155</v>
      </c>
    </row>
    <row r="51" spans="1:10" x14ac:dyDescent="0.15">
      <c r="A51">
        <v>80465011</v>
      </c>
      <c r="B51" s="3" t="str">
        <f>HYPERLINK("https://github.com/asciimoo/wuzz", "https://github.com/asciimoo/wuzz")</f>
        <v>https://github.com/asciimoo/wuzz</v>
      </c>
      <c r="D51">
        <v>8070</v>
      </c>
      <c r="E51" t="s">
        <v>156</v>
      </c>
      <c r="F51" t="s">
        <v>157</v>
      </c>
      <c r="G51">
        <v>275</v>
      </c>
      <c r="H51" s="2">
        <v>42765.890277777777</v>
      </c>
      <c r="I51" s="2">
        <v>43580.190625000003</v>
      </c>
      <c r="J51" t="s">
        <v>158</v>
      </c>
    </row>
    <row r="52" spans="1:10" x14ac:dyDescent="0.15">
      <c r="A52">
        <v>11008207</v>
      </c>
      <c r="B52" s="3" t="str">
        <f>HYPERLINK("https://github.com/vitessio/vitess", "https://github.com/vitessio/vitess")</f>
        <v>https://github.com/vitessio/vitess</v>
      </c>
      <c r="D52">
        <v>7876</v>
      </c>
      <c r="E52" t="s">
        <v>159</v>
      </c>
      <c r="F52" t="s">
        <v>160</v>
      </c>
      <c r="G52">
        <v>1012</v>
      </c>
      <c r="H52" s="2">
        <v>41452.88921296296</v>
      </c>
      <c r="I52" s="2">
        <v>43580.473553240743</v>
      </c>
      <c r="J52" t="s">
        <v>161</v>
      </c>
    </row>
    <row r="53" spans="1:10" x14ac:dyDescent="0.15">
      <c r="A53">
        <v>56342508</v>
      </c>
      <c r="B53" s="3" t="str">
        <f>HYPERLINK("https://github.com/jaegertracing/jaeger", "https://github.com/jaegertracing/jaeger")</f>
        <v>https://github.com/jaegertracing/jaeger</v>
      </c>
      <c r="D53">
        <v>7839</v>
      </c>
      <c r="E53" t="s">
        <v>162</v>
      </c>
      <c r="F53" t="s">
        <v>163</v>
      </c>
      <c r="G53">
        <v>753</v>
      </c>
      <c r="H53" s="2">
        <v>42475.784050925933</v>
      </c>
      <c r="I53" s="2">
        <v>43580.426365740743</v>
      </c>
      <c r="J53" t="s">
        <v>164</v>
      </c>
    </row>
    <row r="54" spans="1:10" x14ac:dyDescent="0.15">
      <c r="A54">
        <v>21827146</v>
      </c>
      <c r="B54" s="3" t="str">
        <f>HYPERLINK("https://github.com/chrislusf/seaweedfs", "https://github.com/chrislusf/seaweedfs")</f>
        <v>https://github.com/chrislusf/seaweedfs</v>
      </c>
      <c r="D54">
        <v>7683</v>
      </c>
      <c r="E54" t="s">
        <v>165</v>
      </c>
      <c r="F54" t="s">
        <v>166</v>
      </c>
      <c r="G54">
        <v>1031</v>
      </c>
      <c r="H54" s="2">
        <v>41834.695567129631</v>
      </c>
      <c r="I54" s="2">
        <v>43580.516180555547</v>
      </c>
      <c r="J54" t="s">
        <v>167</v>
      </c>
    </row>
    <row r="55" spans="1:10" x14ac:dyDescent="0.15">
      <c r="A55">
        <v>21641241</v>
      </c>
      <c r="B55" s="3" t="str">
        <f>HYPERLINK("https://github.com/Masterminds/glide", "https://github.com/Masterminds/glide")</f>
        <v>https://github.com/Masterminds/glide</v>
      </c>
      <c r="D55">
        <v>7601</v>
      </c>
      <c r="E55" t="s">
        <v>168</v>
      </c>
      <c r="F55" t="s">
        <v>169</v>
      </c>
      <c r="G55">
        <v>508</v>
      </c>
      <c r="H55" s="2">
        <v>41829.251967592587</v>
      </c>
      <c r="I55" s="2">
        <v>43580.305590277778</v>
      </c>
      <c r="J55" t="s">
        <v>170</v>
      </c>
    </row>
    <row r="56" spans="1:10" x14ac:dyDescent="0.15">
      <c r="A56">
        <v>105279544</v>
      </c>
      <c r="B56" s="3" t="str">
        <f>HYPERLINK("https://github.com/gocolly/colly", "https://github.com/gocolly/colly")</f>
        <v>https://github.com/gocolly/colly</v>
      </c>
      <c r="D56">
        <v>7456</v>
      </c>
      <c r="E56" t="s">
        <v>171</v>
      </c>
      <c r="F56" t="s">
        <v>172</v>
      </c>
      <c r="G56">
        <v>571</v>
      </c>
      <c r="H56" s="2">
        <v>43007.589456018519</v>
      </c>
      <c r="I56" s="2">
        <v>43580.361770833333</v>
      </c>
      <c r="J56" t="s">
        <v>173</v>
      </c>
    </row>
    <row r="57" spans="1:10" x14ac:dyDescent="0.15">
      <c r="A57">
        <v>7083242</v>
      </c>
      <c r="B57" s="3" t="str">
        <f>HYPERLINK("https://github.com/go-sql-driver/mysql", "https://github.com/go-sql-driver/mysql")</f>
        <v>https://github.com/go-sql-driver/mysql</v>
      </c>
      <c r="D57">
        <v>7415</v>
      </c>
      <c r="E57" t="s">
        <v>174</v>
      </c>
      <c r="F57" t="s">
        <v>175</v>
      </c>
      <c r="G57">
        <v>1375</v>
      </c>
      <c r="H57" s="2">
        <v>41252.856886574067</v>
      </c>
      <c r="I57" s="2">
        <v>43580.480671296304</v>
      </c>
      <c r="J57" t="s">
        <v>176</v>
      </c>
    </row>
    <row r="58" spans="1:10" x14ac:dyDescent="0.15">
      <c r="A58">
        <v>11593442</v>
      </c>
      <c r="B58" s="3" t="str">
        <f>HYPERLINK("https://github.com/golang/groupcache", "https://github.com/golang/groupcache")</f>
        <v>https://github.com/golang/groupcache</v>
      </c>
      <c r="D58">
        <v>7367</v>
      </c>
      <c r="E58" t="s">
        <v>177</v>
      </c>
      <c r="F58" t="s">
        <v>178</v>
      </c>
      <c r="G58">
        <v>865</v>
      </c>
      <c r="H58" s="2">
        <v>41477.913275462961</v>
      </c>
      <c r="I58" s="2">
        <v>43580.532939814817</v>
      </c>
      <c r="J58" t="s">
        <v>179</v>
      </c>
    </row>
    <row r="59" spans="1:10" x14ac:dyDescent="0.15">
      <c r="A59">
        <v>6247705</v>
      </c>
      <c r="B59" s="3" t="str">
        <f>HYPERLINK("https://github.com/stretchr/testify", "https://github.com/stretchr/testify")</f>
        <v>https://github.com/stretchr/testify</v>
      </c>
      <c r="D59">
        <v>7279</v>
      </c>
      <c r="E59" t="s">
        <v>180</v>
      </c>
      <c r="F59" t="s">
        <v>181</v>
      </c>
      <c r="G59">
        <v>657</v>
      </c>
      <c r="H59" s="2">
        <v>41198.69672453704</v>
      </c>
      <c r="I59" s="2">
        <v>43580.487754629627</v>
      </c>
      <c r="J59" t="s">
        <v>182</v>
      </c>
    </row>
    <row r="60" spans="1:10" x14ac:dyDescent="0.15">
      <c r="A60">
        <v>5594766</v>
      </c>
      <c r="B60" s="3" t="str">
        <f>HYPERLINK("https://github.com/PuerkitoBio/goquery", "https://github.com/PuerkitoBio/goquery")</f>
        <v>https://github.com/PuerkitoBio/goquery</v>
      </c>
      <c r="D60">
        <v>7108</v>
      </c>
      <c r="E60" t="s">
        <v>183</v>
      </c>
      <c r="F60" t="s">
        <v>184</v>
      </c>
      <c r="G60">
        <v>605</v>
      </c>
      <c r="H60" s="2">
        <v>41150.093738425923</v>
      </c>
      <c r="I60" s="2">
        <v>43580.508043981477</v>
      </c>
      <c r="J60" t="s">
        <v>185</v>
      </c>
    </row>
    <row r="61" spans="1:10" x14ac:dyDescent="0.15">
      <c r="A61">
        <v>102969245</v>
      </c>
      <c r="B61" s="3" t="str">
        <f>HYPERLINK("https://github.com/golang-standards/project-layout", "https://github.com/golang-standards/project-layout")</f>
        <v>https://github.com/golang-standards/project-layout</v>
      </c>
      <c r="D61">
        <v>6934</v>
      </c>
      <c r="E61" t="s">
        <v>186</v>
      </c>
      <c r="F61" t="s">
        <v>187</v>
      </c>
      <c r="G61">
        <v>605</v>
      </c>
      <c r="H61" s="2">
        <v>42987.689884259264</v>
      </c>
      <c r="I61" s="2">
        <v>43580.437673611108</v>
      </c>
      <c r="J61" t="s">
        <v>188</v>
      </c>
    </row>
    <row r="62" spans="1:10" x14ac:dyDescent="0.15">
      <c r="A62">
        <v>16930617</v>
      </c>
      <c r="B62" s="3" t="str">
        <f>HYPERLINK("https://github.com/andlabs/ui", "https://github.com/andlabs/ui")</f>
        <v>https://github.com/andlabs/ui</v>
      </c>
      <c r="D62">
        <v>6657</v>
      </c>
      <c r="E62" t="s">
        <v>189</v>
      </c>
      <c r="F62" t="s">
        <v>190</v>
      </c>
      <c r="G62">
        <v>575</v>
      </c>
      <c r="H62" s="2">
        <v>41687.988888888889</v>
      </c>
      <c r="I62" s="2">
        <v>43580.394745370373</v>
      </c>
      <c r="J62" t="s">
        <v>191</v>
      </c>
    </row>
    <row r="63" spans="1:10" x14ac:dyDescent="0.15">
      <c r="A63">
        <v>19205896</v>
      </c>
      <c r="B63" s="3" t="str">
        <f>HYPERLINK("https://github.com/restic/restic", "https://github.com/restic/restic")</f>
        <v>https://github.com/restic/restic</v>
      </c>
      <c r="D63">
        <v>6571</v>
      </c>
      <c r="E63" t="s">
        <v>192</v>
      </c>
      <c r="F63" t="s">
        <v>193</v>
      </c>
      <c r="G63">
        <v>477</v>
      </c>
      <c r="H63" s="2">
        <v>41756.588865740741</v>
      </c>
      <c r="I63" s="2">
        <v>43580.517708333333</v>
      </c>
      <c r="J63" t="s">
        <v>194</v>
      </c>
    </row>
    <row r="64" spans="1:10" x14ac:dyDescent="0.15">
      <c r="A64">
        <v>52034309</v>
      </c>
      <c r="B64" s="3" t="str">
        <f>HYPERLINK("https://github.com/uber-go/zap", "https://github.com/uber-go/zap")</f>
        <v>https://github.com/uber-go/zap</v>
      </c>
      <c r="D64">
        <v>6542</v>
      </c>
      <c r="E64" t="s">
        <v>195</v>
      </c>
      <c r="F64" t="s">
        <v>196</v>
      </c>
      <c r="G64">
        <v>497</v>
      </c>
      <c r="H64" s="2">
        <v>42418.828425925924</v>
      </c>
      <c r="I64" s="2">
        <v>43580.507268518522</v>
      </c>
      <c r="J64" t="s">
        <v>197</v>
      </c>
    </row>
    <row r="65" spans="1:10" x14ac:dyDescent="0.15">
      <c r="A65">
        <v>15452925</v>
      </c>
      <c r="B65" s="3" t="str">
        <f>HYPERLINK("https://github.com/sjwhitworth/golearn", "https://github.com/sjwhitworth/golearn")</f>
        <v>https://github.com/sjwhitworth/golearn</v>
      </c>
      <c r="D65">
        <v>6463</v>
      </c>
      <c r="E65" t="s">
        <v>198</v>
      </c>
      <c r="F65" t="s">
        <v>199</v>
      </c>
      <c r="G65">
        <v>878</v>
      </c>
      <c r="H65" s="2">
        <v>41634.545995370368</v>
      </c>
      <c r="I65" s="2">
        <v>43580.135914351849</v>
      </c>
      <c r="J65" t="s">
        <v>200</v>
      </c>
    </row>
    <row r="66" spans="1:10" x14ac:dyDescent="0.15">
      <c r="A66">
        <v>35093606</v>
      </c>
      <c r="B66" s="3" t="str">
        <f>HYPERLINK("https://github.com/dariubs/GoBooks", "https://github.com/dariubs/GoBooks")</f>
        <v>https://github.com/dariubs/GoBooks</v>
      </c>
      <c r="D66">
        <v>6359</v>
      </c>
      <c r="E66" t="s">
        <v>201</v>
      </c>
      <c r="F66" t="s">
        <v>202</v>
      </c>
      <c r="G66">
        <v>824</v>
      </c>
      <c r="H66" s="2">
        <v>42129.448333333326</v>
      </c>
      <c r="I66" s="2">
        <v>43580.453530092593</v>
      </c>
      <c r="J66" t="s">
        <v>203</v>
      </c>
    </row>
    <row r="67" spans="1:10" x14ac:dyDescent="0.15">
      <c r="A67">
        <v>19922293</v>
      </c>
      <c r="B67" s="3" t="str">
        <f>HYPERLINK("https://github.com/urfave/negroni", "https://github.com/urfave/negroni")</f>
        <v>https://github.com/urfave/negroni</v>
      </c>
      <c r="D67">
        <v>6174</v>
      </c>
      <c r="E67" t="s">
        <v>204</v>
      </c>
      <c r="F67" t="s">
        <v>205</v>
      </c>
      <c r="G67">
        <v>506</v>
      </c>
      <c r="H67" s="2">
        <v>41777.923032407409</v>
      </c>
      <c r="I67" s="2">
        <v>43580.229386574072</v>
      </c>
      <c r="J67" t="s">
        <v>206</v>
      </c>
    </row>
    <row r="68" spans="1:10" x14ac:dyDescent="0.15">
      <c r="A68">
        <v>7877397</v>
      </c>
      <c r="B68" s="3" t="str">
        <f>HYPERLINK("https://github.com/jmoiron/sqlx", "https://github.com/jmoiron/sqlx")</f>
        <v>https://github.com/jmoiron/sqlx</v>
      </c>
      <c r="D68">
        <v>6149</v>
      </c>
      <c r="E68" t="s">
        <v>207</v>
      </c>
      <c r="F68" t="s">
        <v>208</v>
      </c>
      <c r="G68">
        <v>518</v>
      </c>
      <c r="H68" s="2">
        <v>41302.819444444453</v>
      </c>
      <c r="I68" s="2">
        <v>43580.481157407397</v>
      </c>
      <c r="J68" t="s">
        <v>209</v>
      </c>
    </row>
    <row r="69" spans="1:10" x14ac:dyDescent="0.15">
      <c r="A69">
        <v>53171300</v>
      </c>
      <c r="B69" s="3" t="str">
        <f>HYPERLINK("https://github.com/tidwall/tile38", "https://github.com/tidwall/tile38")</f>
        <v>https://github.com/tidwall/tile38</v>
      </c>
      <c r="D69">
        <v>6110</v>
      </c>
      <c r="E69" t="s">
        <v>210</v>
      </c>
      <c r="F69" t="s">
        <v>211</v>
      </c>
      <c r="G69">
        <v>323</v>
      </c>
      <c r="H69" s="2">
        <v>42433.963703703703</v>
      </c>
      <c r="I69" s="2">
        <v>43580.272719907407</v>
      </c>
      <c r="J69" t="s">
        <v>212</v>
      </c>
    </row>
    <row r="70" spans="1:10" x14ac:dyDescent="0.15">
      <c r="A70">
        <v>13234395</v>
      </c>
      <c r="B70" s="3" t="str">
        <f>HYPERLINK("https://github.com/kelseyhightower/confd", "https://github.com/kelseyhightower/confd")</f>
        <v>https://github.com/kelseyhightower/confd</v>
      </c>
      <c r="D70">
        <v>6088</v>
      </c>
      <c r="E70" t="s">
        <v>213</v>
      </c>
      <c r="F70" t="s">
        <v>214</v>
      </c>
      <c r="G70">
        <v>1007</v>
      </c>
      <c r="H70" s="2">
        <v>41548.170937499999</v>
      </c>
      <c r="I70" s="2">
        <v>43580.502418981479</v>
      </c>
      <c r="J70" t="s">
        <v>215</v>
      </c>
    </row>
    <row r="71" spans="1:10" x14ac:dyDescent="0.15">
      <c r="A71">
        <v>26516975</v>
      </c>
      <c r="B71" s="3" t="str">
        <f>HYPERLINK("https://github.com/tylertreat/comcast", "https://github.com/tylertreat/comcast")</f>
        <v>https://github.com/tylertreat/comcast</v>
      </c>
      <c r="D71">
        <v>6035</v>
      </c>
      <c r="E71" t="s">
        <v>216</v>
      </c>
      <c r="F71" t="s">
        <v>217</v>
      </c>
      <c r="G71">
        <v>269</v>
      </c>
      <c r="H71" s="2">
        <v>41955.136087962957</v>
      </c>
      <c r="I71" s="2">
        <v>43578.163703703707</v>
      </c>
      <c r="J71" t="s">
        <v>218</v>
      </c>
    </row>
    <row r="72" spans="1:10" x14ac:dyDescent="0.15">
      <c r="A72">
        <v>29371034</v>
      </c>
      <c r="B72" s="3" t="str">
        <f>HYPERLINK("https://github.com/micro/micro", "https://github.com/micro/micro")</f>
        <v>https://github.com/micro/micro</v>
      </c>
      <c r="D72">
        <v>6013</v>
      </c>
      <c r="E72" t="s">
        <v>219</v>
      </c>
      <c r="F72" t="s">
        <v>220</v>
      </c>
      <c r="G72">
        <v>485</v>
      </c>
      <c r="H72" s="2">
        <v>42020.941134259258</v>
      </c>
      <c r="I72" s="2">
        <v>43580.515625</v>
      </c>
      <c r="J72" t="s">
        <v>221</v>
      </c>
    </row>
    <row r="73" spans="1:10" x14ac:dyDescent="0.15">
      <c r="A73">
        <v>24968828</v>
      </c>
      <c r="B73" s="3" t="str">
        <f>HYPERLINK("https://github.com/sosedoff/pgweb", "https://github.com/sosedoff/pgweb")</f>
        <v>https://github.com/sosedoff/pgweb</v>
      </c>
      <c r="D73">
        <v>5846</v>
      </c>
      <c r="E73" t="s">
        <v>222</v>
      </c>
      <c r="F73" t="s">
        <v>223</v>
      </c>
      <c r="G73">
        <v>414</v>
      </c>
      <c r="H73" s="2">
        <v>41921.070509259262</v>
      </c>
      <c r="I73" s="2">
        <v>43579.892222222217</v>
      </c>
      <c r="J73" t="s">
        <v>224</v>
      </c>
    </row>
    <row r="74" spans="1:10" x14ac:dyDescent="0.15">
      <c r="A74">
        <v>4022652</v>
      </c>
      <c r="B74" s="3" t="str">
        <f>HYPERLINK("https://github.com/gomodule/redigo", "https://github.com/gomodule/redigo")</f>
        <v>https://github.com/gomodule/redigo</v>
      </c>
      <c r="D74">
        <v>5827</v>
      </c>
      <c r="E74" t="s">
        <v>225</v>
      </c>
      <c r="F74" t="s">
        <v>226</v>
      </c>
      <c r="G74">
        <v>857</v>
      </c>
      <c r="H74" s="2">
        <v>41013.18886574074</v>
      </c>
      <c r="I74" s="2">
        <v>43580.397858796299</v>
      </c>
      <c r="J74" t="s">
        <v>227</v>
      </c>
    </row>
    <row r="75" spans="1:10" x14ac:dyDescent="0.15">
      <c r="A75">
        <v>9787757</v>
      </c>
      <c r="B75" s="3" t="str">
        <f>HYPERLINK("https://github.com/tools/godep", "https://github.com/tools/godep")</f>
        <v>https://github.com/tools/godep</v>
      </c>
      <c r="D75">
        <v>5628</v>
      </c>
      <c r="E75" t="s">
        <v>228</v>
      </c>
      <c r="F75" t="s">
        <v>229</v>
      </c>
      <c r="G75">
        <v>482</v>
      </c>
      <c r="H75" s="2">
        <v>41395.330266203702</v>
      </c>
      <c r="I75" s="2">
        <v>43580.135682870372</v>
      </c>
      <c r="J75" t="s">
        <v>230</v>
      </c>
    </row>
    <row r="76" spans="1:10" x14ac:dyDescent="0.15">
      <c r="A76">
        <v>80087836</v>
      </c>
      <c r="B76" s="3" t="str">
        <f>HYPERLINK("https://github.com/dgraph-io/badger", "https://github.com/dgraph-io/badger")</f>
        <v>https://github.com/dgraph-io/badger</v>
      </c>
      <c r="D76">
        <v>5626</v>
      </c>
      <c r="E76" t="s">
        <v>231</v>
      </c>
      <c r="F76" t="s">
        <v>232</v>
      </c>
      <c r="G76">
        <v>398</v>
      </c>
      <c r="H76" s="2">
        <v>42761.215150462973</v>
      </c>
      <c r="I76" s="2">
        <v>43580.334074074082</v>
      </c>
      <c r="J76" t="s">
        <v>233</v>
      </c>
    </row>
    <row r="77" spans="1:10" x14ac:dyDescent="0.15">
      <c r="A77">
        <v>18893367</v>
      </c>
      <c r="B77" s="3" t="str">
        <f>HYPERLINK("https://github.com/blevesearch/bleve", "https://github.com/blevesearch/bleve")</f>
        <v>https://github.com/blevesearch/bleve</v>
      </c>
      <c r="D77">
        <v>5601</v>
      </c>
      <c r="E77" t="s">
        <v>234</v>
      </c>
      <c r="F77" t="s">
        <v>235</v>
      </c>
      <c r="G77">
        <v>424</v>
      </c>
      <c r="H77" s="2">
        <v>41746.876597222217</v>
      </c>
      <c r="I77" s="2">
        <v>43580.172349537039</v>
      </c>
      <c r="J77" t="s">
        <v>236</v>
      </c>
    </row>
    <row r="78" spans="1:10" x14ac:dyDescent="0.15">
      <c r="A78">
        <v>31660590</v>
      </c>
      <c r="B78" s="3" t="str">
        <f>HYPERLINK("https://github.com/emirpasic/gods", "https://github.com/emirpasic/gods")</f>
        <v>https://github.com/emirpasic/gods</v>
      </c>
      <c r="D78">
        <v>5589</v>
      </c>
      <c r="E78" t="s">
        <v>237</v>
      </c>
      <c r="F78" t="s">
        <v>238</v>
      </c>
      <c r="G78">
        <v>601</v>
      </c>
      <c r="H78" s="2">
        <v>42067.597129629627</v>
      </c>
      <c r="I78" s="2">
        <v>43580.33965277778</v>
      </c>
      <c r="J78" t="s">
        <v>239</v>
      </c>
    </row>
    <row r="79" spans="1:10" x14ac:dyDescent="0.15">
      <c r="A79">
        <v>5179099</v>
      </c>
      <c r="B79" s="3" t="str">
        <f>HYPERLINK("https://github.com/go-redis/redis", "https://github.com/go-redis/redis")</f>
        <v>https://github.com/go-redis/redis</v>
      </c>
      <c r="D79">
        <v>5569</v>
      </c>
      <c r="E79" t="s">
        <v>240</v>
      </c>
      <c r="F79" t="s">
        <v>241</v>
      </c>
      <c r="G79">
        <v>760</v>
      </c>
      <c r="H79" s="2">
        <v>41115.542812500003</v>
      </c>
      <c r="I79" s="2">
        <v>43580.50371527778</v>
      </c>
      <c r="J79" t="s">
        <v>242</v>
      </c>
    </row>
    <row r="80" spans="1:10" x14ac:dyDescent="0.15">
      <c r="A80">
        <v>6443435</v>
      </c>
      <c r="B80" s="3" t="str">
        <f>HYPERLINK("https://github.com/nats-io/gnatsd", "https://github.com/nats-io/gnatsd")</f>
        <v>https://github.com/nats-io/gnatsd</v>
      </c>
      <c r="D80">
        <v>5564</v>
      </c>
      <c r="E80" t="s">
        <v>243</v>
      </c>
      <c r="F80" t="s">
        <v>244</v>
      </c>
      <c r="G80">
        <v>589</v>
      </c>
      <c r="H80" s="2">
        <v>41211.67527777778</v>
      </c>
      <c r="I80" s="2">
        <v>43580.500069444453</v>
      </c>
      <c r="J80" t="s">
        <v>245</v>
      </c>
    </row>
    <row r="81" spans="1:10" x14ac:dyDescent="0.15">
      <c r="A81">
        <v>67213524</v>
      </c>
      <c r="B81" s="3" t="str">
        <f>HYPERLINK("https://github.com/rakyll/hey", "https://github.com/rakyll/hey")</f>
        <v>https://github.com/rakyll/hey</v>
      </c>
      <c r="D81">
        <v>5552</v>
      </c>
      <c r="E81" t="s">
        <v>246</v>
      </c>
      <c r="F81" t="s">
        <v>247</v>
      </c>
      <c r="G81">
        <v>421</v>
      </c>
      <c r="H81" s="2">
        <v>42615.433437500003</v>
      </c>
      <c r="I81" s="2">
        <v>43580.53361111111</v>
      </c>
      <c r="J81" t="s">
        <v>248</v>
      </c>
    </row>
    <row r="82" spans="1:10" x14ac:dyDescent="0.15">
      <c r="A82">
        <v>26836182</v>
      </c>
      <c r="B82" s="3" t="str">
        <f>HYPERLINK("https://github.com/therecipe/qt", "https://github.com/therecipe/qt")</f>
        <v>https://github.com/therecipe/qt</v>
      </c>
      <c r="D82">
        <v>5500</v>
      </c>
      <c r="E82" t="s">
        <v>249</v>
      </c>
      <c r="F82" t="s">
        <v>250</v>
      </c>
      <c r="G82">
        <v>382</v>
      </c>
      <c r="H82" s="2">
        <v>41962.002175925933</v>
      </c>
      <c r="I82" s="2">
        <v>43580.484479166669</v>
      </c>
      <c r="J82" t="s">
        <v>251</v>
      </c>
    </row>
    <row r="83" spans="1:10" x14ac:dyDescent="0.15">
      <c r="A83">
        <v>44344606</v>
      </c>
      <c r="B83" s="3" t="str">
        <f>HYPERLINK("https://github.com/go-chi/chi", "https://github.com/go-chi/chi")</f>
        <v>https://github.com/go-chi/chi</v>
      </c>
      <c r="D83">
        <v>5484</v>
      </c>
      <c r="E83" t="s">
        <v>252</v>
      </c>
      <c r="F83" t="s">
        <v>253</v>
      </c>
      <c r="G83">
        <v>368</v>
      </c>
      <c r="H83" s="2">
        <v>42292.865613425929</v>
      </c>
      <c r="I83" s="2">
        <v>43580.478888888887</v>
      </c>
      <c r="J83" t="s">
        <v>254</v>
      </c>
    </row>
    <row r="84" spans="1:10" x14ac:dyDescent="0.15">
      <c r="A84">
        <v>4059138</v>
      </c>
      <c r="B84" s="3" t="str">
        <f>HYPERLINK("https://github.com/dgrijalva/jwt-go", "https://github.com/dgrijalva/jwt-go")</f>
        <v>https://github.com/dgrijalva/jwt-go</v>
      </c>
      <c r="D84">
        <v>5306</v>
      </c>
      <c r="E84" t="s">
        <v>255</v>
      </c>
      <c r="F84" t="s">
        <v>256</v>
      </c>
      <c r="G84">
        <v>505</v>
      </c>
      <c r="H84" s="2">
        <v>41017.070706018523</v>
      </c>
      <c r="I84" s="2">
        <v>43580.332685185182</v>
      </c>
      <c r="J84" t="s">
        <v>257</v>
      </c>
    </row>
    <row r="85" spans="1:10" x14ac:dyDescent="0.15">
      <c r="A85">
        <v>20553267</v>
      </c>
      <c r="B85" s="3" t="str">
        <f>HYPERLINK("https://github.com/peco/peco", "https://github.com/peco/peco")</f>
        <v>https://github.com/peco/peco</v>
      </c>
      <c r="D85">
        <v>5288</v>
      </c>
      <c r="E85" t="s">
        <v>258</v>
      </c>
      <c r="F85" t="s">
        <v>259</v>
      </c>
      <c r="G85">
        <v>173</v>
      </c>
      <c r="H85" s="2">
        <v>41796.254537037043</v>
      </c>
      <c r="I85" s="2">
        <v>43580.519953703697</v>
      </c>
      <c r="J85" t="s">
        <v>260</v>
      </c>
    </row>
    <row r="86" spans="1:10" x14ac:dyDescent="0.15">
      <c r="A86">
        <v>6753728</v>
      </c>
      <c r="B86" s="3" t="str">
        <f>HYPERLINK("https://github.com/visualfc/liteide", "https://github.com/visualfc/liteide")</f>
        <v>https://github.com/visualfc/liteide</v>
      </c>
      <c r="D86">
        <v>5276</v>
      </c>
      <c r="E86" t="s">
        <v>261</v>
      </c>
      <c r="F86" t="s">
        <v>262</v>
      </c>
      <c r="G86">
        <v>697</v>
      </c>
      <c r="H86" s="2">
        <v>41232.079456018517</v>
      </c>
      <c r="I86" s="2">
        <v>43580.335104166668</v>
      </c>
      <c r="J86" t="s">
        <v>263</v>
      </c>
    </row>
    <row r="87" spans="1:10" x14ac:dyDescent="0.15">
      <c r="A87">
        <v>120227732</v>
      </c>
      <c r="B87" s="3" t="str">
        <f>HYPERLINK("https://github.com/fyne-io/fyne", "https://github.com/fyne-io/fyne")</f>
        <v>https://github.com/fyne-io/fyne</v>
      </c>
      <c r="D87">
        <v>5223</v>
      </c>
      <c r="E87" t="s">
        <v>264</v>
      </c>
      <c r="F87" t="s">
        <v>265</v>
      </c>
      <c r="G87">
        <v>181</v>
      </c>
      <c r="H87" s="2">
        <v>43135.921712962961</v>
      </c>
      <c r="I87" s="2">
        <v>43580.546099537038</v>
      </c>
      <c r="J87" t="s">
        <v>266</v>
      </c>
    </row>
    <row r="88" spans="1:10" x14ac:dyDescent="0.15">
      <c r="A88">
        <v>25923208</v>
      </c>
      <c r="B88" s="3" t="str">
        <f>HYPERLINK("https://github.com/Workiva/go-datastructures", "https://github.com/Workiva/go-datastructures")</f>
        <v>https://github.com/Workiva/go-datastructures</v>
      </c>
      <c r="D88">
        <v>4893</v>
      </c>
      <c r="E88" t="s">
        <v>267</v>
      </c>
      <c r="G88">
        <v>545</v>
      </c>
      <c r="H88" s="2">
        <v>41941.580057870371</v>
      </c>
      <c r="I88" s="2">
        <v>43580.411307870367</v>
      </c>
      <c r="J88" t="s">
        <v>268</v>
      </c>
    </row>
    <row r="89" spans="1:10" x14ac:dyDescent="0.15">
      <c r="A89">
        <v>3698588</v>
      </c>
      <c r="B89" s="3" t="str">
        <f>HYPERLINK("https://github.com/lib/pq", "https://github.com/lib/pq")</f>
        <v>https://github.com/lib/pq</v>
      </c>
      <c r="D89">
        <v>4884</v>
      </c>
      <c r="E89" t="s">
        <v>269</v>
      </c>
      <c r="F89" t="s">
        <v>270</v>
      </c>
      <c r="G89">
        <v>627</v>
      </c>
      <c r="H89" s="2">
        <v>40980.78497685185</v>
      </c>
      <c r="I89" s="2">
        <v>43580.305833333332</v>
      </c>
      <c r="J89" t="s">
        <v>271</v>
      </c>
    </row>
    <row r="90" spans="1:10" x14ac:dyDescent="0.15">
      <c r="A90">
        <v>26109545</v>
      </c>
      <c r="B90" s="3" t="str">
        <f>HYPERLINK("https://github.com/odeke-em/drive", "https://github.com/odeke-em/drive")</f>
        <v>https://github.com/odeke-em/drive</v>
      </c>
      <c r="D90">
        <v>4827</v>
      </c>
      <c r="E90" t="s">
        <v>272</v>
      </c>
      <c r="F90" t="s">
        <v>273</v>
      </c>
      <c r="G90">
        <v>343</v>
      </c>
      <c r="H90" s="2">
        <v>41946.345960648148</v>
      </c>
      <c r="I90" s="2">
        <v>43580.437928240739</v>
      </c>
      <c r="J90" t="s">
        <v>274</v>
      </c>
    </row>
    <row r="91" spans="1:10" x14ac:dyDescent="0.15">
      <c r="A91">
        <v>75135036</v>
      </c>
      <c r="B91" s="3" t="str">
        <f>HYPERLINK("https://github.com/json-iterator/go", "https://github.com/json-iterator/go")</f>
        <v>https://github.com/json-iterator/go</v>
      </c>
      <c r="D91">
        <v>4822</v>
      </c>
      <c r="E91" t="s">
        <v>275</v>
      </c>
      <c r="F91" t="s">
        <v>276</v>
      </c>
      <c r="G91">
        <v>416</v>
      </c>
      <c r="H91" s="2">
        <v>42704.021111111113</v>
      </c>
      <c r="I91" s="2">
        <v>43580.393969907411</v>
      </c>
      <c r="J91" t="s">
        <v>277</v>
      </c>
    </row>
    <row r="92" spans="1:10" x14ac:dyDescent="0.15">
      <c r="A92">
        <v>18858585</v>
      </c>
      <c r="B92" s="3" t="str">
        <f>HYPERLINK("https://github.com/mailhog/MailHog", "https://github.com/mailhog/MailHog")</f>
        <v>https://github.com/mailhog/MailHog</v>
      </c>
      <c r="D92">
        <v>4752</v>
      </c>
      <c r="E92" t="s">
        <v>278</v>
      </c>
      <c r="F92" t="s">
        <v>279</v>
      </c>
      <c r="G92">
        <v>307</v>
      </c>
      <c r="H92" s="2">
        <v>41745.936678240738</v>
      </c>
      <c r="I92" s="2">
        <v>43580.536678240736</v>
      </c>
      <c r="J92" t="s">
        <v>280</v>
      </c>
    </row>
    <row r="93" spans="1:10" x14ac:dyDescent="0.15">
      <c r="A93">
        <v>44264925</v>
      </c>
      <c r="B93" s="3" t="str">
        <f>HYPERLINK("https://github.com/Microsoft/vscode-go", "https://github.com/Microsoft/vscode-go")</f>
        <v>https://github.com/Microsoft/vscode-go</v>
      </c>
      <c r="D93">
        <v>4746</v>
      </c>
      <c r="E93" t="s">
        <v>281</v>
      </c>
      <c r="F93" t="s">
        <v>282</v>
      </c>
      <c r="G93">
        <v>558</v>
      </c>
      <c r="H93" s="2">
        <v>42291.732060185182</v>
      </c>
      <c r="I93" s="2">
        <v>43580.438252314823</v>
      </c>
      <c r="J93" t="s">
        <v>283</v>
      </c>
    </row>
    <row r="94" spans="1:10" x14ac:dyDescent="0.15">
      <c r="A94">
        <v>39332913</v>
      </c>
      <c r="B94" s="3" t="str">
        <f>HYPERLINK("https://github.com/graphql-go/graphql", "https://github.com/graphql-go/graphql")</f>
        <v>https://github.com/graphql-go/graphql</v>
      </c>
      <c r="D94">
        <v>4720</v>
      </c>
      <c r="E94" t="s">
        <v>284</v>
      </c>
      <c r="F94" t="s">
        <v>285</v>
      </c>
      <c r="G94">
        <v>418</v>
      </c>
      <c r="H94" s="2">
        <v>42204.517858796287</v>
      </c>
      <c r="I94" s="2">
        <v>43580.527754629627</v>
      </c>
      <c r="J94" t="s">
        <v>286</v>
      </c>
    </row>
    <row r="95" spans="1:10" x14ac:dyDescent="0.15">
      <c r="A95">
        <v>27576132</v>
      </c>
      <c r="B95" s="3" t="str">
        <f>HYPERLINK("https://github.com/aws/aws-sdk-go", "https://github.com/aws/aws-sdk-go")</f>
        <v>https://github.com/aws/aws-sdk-go</v>
      </c>
      <c r="D95">
        <v>4708</v>
      </c>
      <c r="E95" t="s">
        <v>287</v>
      </c>
      <c r="F95" t="s">
        <v>288</v>
      </c>
      <c r="G95">
        <v>1134</v>
      </c>
      <c r="H95" s="2">
        <v>41978.228946759264</v>
      </c>
      <c r="I95" s="2">
        <v>43579.987569444442</v>
      </c>
      <c r="J95" t="s">
        <v>289</v>
      </c>
    </row>
    <row r="96" spans="1:10" x14ac:dyDescent="0.15">
      <c r="A96">
        <v>9950667</v>
      </c>
      <c r="B96" s="3" t="str">
        <f>HYPERLINK("https://github.com/go-xorm/xorm", "https://github.com/go-xorm/xorm")</f>
        <v>https://github.com/go-xorm/xorm</v>
      </c>
      <c r="D96">
        <v>4696</v>
      </c>
      <c r="E96" t="s">
        <v>290</v>
      </c>
      <c r="F96" t="s">
        <v>291</v>
      </c>
      <c r="G96">
        <v>596</v>
      </c>
      <c r="H96" s="2">
        <v>41403.107685185183</v>
      </c>
      <c r="I96" s="2">
        <v>43580.426828703698</v>
      </c>
      <c r="J96" t="s">
        <v>292</v>
      </c>
    </row>
    <row r="97" spans="1:10" x14ac:dyDescent="0.15">
      <c r="A97">
        <v>756967</v>
      </c>
      <c r="B97" s="3" t="str">
        <f>HYPERLINK("https://github.com/nsf/gocode", "https://github.com/nsf/gocode")</f>
        <v>https://github.com/nsf/gocode</v>
      </c>
      <c r="D97">
        <v>4665</v>
      </c>
      <c r="E97" t="s">
        <v>293</v>
      </c>
      <c r="F97" t="s">
        <v>294</v>
      </c>
      <c r="G97">
        <v>616</v>
      </c>
      <c r="H97" s="2">
        <v>40364.009212962963</v>
      </c>
      <c r="I97" s="2">
        <v>43580.076516203713</v>
      </c>
      <c r="J97" t="s">
        <v>295</v>
      </c>
    </row>
    <row r="98" spans="1:10" x14ac:dyDescent="0.15">
      <c r="A98">
        <v>83678416</v>
      </c>
      <c r="B98" s="3" t="str">
        <f>HYPERLINK("https://github.com/xo/usql", "https://github.com/xo/usql")</f>
        <v>https://github.com/xo/usql</v>
      </c>
      <c r="D98">
        <v>4593</v>
      </c>
      <c r="E98" t="s">
        <v>296</v>
      </c>
      <c r="F98" t="s">
        <v>297</v>
      </c>
      <c r="G98">
        <v>153</v>
      </c>
      <c r="H98" s="2">
        <v>42796.543993055559</v>
      </c>
      <c r="I98" s="2">
        <v>43580.339270833327</v>
      </c>
      <c r="J98" t="s">
        <v>298</v>
      </c>
    </row>
    <row r="99" spans="1:10" x14ac:dyDescent="0.15">
      <c r="A99">
        <v>869754</v>
      </c>
      <c r="B99" s="3" t="str">
        <f>HYPERLINK("https://github.com/go-lang-plugin-org/go-lang-idea-plugin", "https://github.com/go-lang-plugin-org/go-lang-idea-plugin")</f>
        <v>https://github.com/go-lang-plugin-org/go-lang-idea-plugin</v>
      </c>
      <c r="D99">
        <v>4532</v>
      </c>
      <c r="E99" t="s">
        <v>299</v>
      </c>
      <c r="F99" t="s">
        <v>300</v>
      </c>
      <c r="G99">
        <v>565</v>
      </c>
      <c r="H99" s="2">
        <v>40419.347233796303</v>
      </c>
      <c r="I99" s="2">
        <v>43579.416759259257</v>
      </c>
      <c r="J99" t="s">
        <v>301</v>
      </c>
    </row>
    <row r="100" spans="1:10" x14ac:dyDescent="0.15">
      <c r="A100">
        <v>6098927</v>
      </c>
      <c r="B100" s="3" t="str">
        <f>HYPERLINK("https://github.com/robertkrimen/otto", "https://github.com/robertkrimen/otto")</f>
        <v>https://github.com/robertkrimen/otto</v>
      </c>
      <c r="D100">
        <v>4524</v>
      </c>
      <c r="E100" t="s">
        <v>302</v>
      </c>
      <c r="F100" t="s">
        <v>303</v>
      </c>
      <c r="G100">
        <v>399</v>
      </c>
      <c r="H100" s="2">
        <v>41188.07545138889</v>
      </c>
      <c r="I100" s="2">
        <v>43580.541909722233</v>
      </c>
      <c r="J100" t="s">
        <v>304</v>
      </c>
    </row>
    <row r="101" spans="1:10" x14ac:dyDescent="0.15">
      <c r="A101">
        <v>27051771</v>
      </c>
      <c r="B101" s="3" t="str">
        <f>HYPERLINK("https://github.com/golang/protobuf", "https://github.com/golang/protobuf")</f>
        <v>https://github.com/golang/protobuf</v>
      </c>
      <c r="D101">
        <v>4512</v>
      </c>
      <c r="E101" t="s">
        <v>305</v>
      </c>
      <c r="F101" t="s">
        <v>306</v>
      </c>
      <c r="G101">
        <v>952</v>
      </c>
      <c r="H101" s="2">
        <v>41966.963460648149</v>
      </c>
      <c r="I101" s="2">
        <v>43580.459907407407</v>
      </c>
      <c r="J101" t="s">
        <v>307</v>
      </c>
    </row>
    <row r="102" spans="1:10" x14ac:dyDescent="0.15">
      <c r="A102">
        <v>10270722</v>
      </c>
      <c r="B102" s="3" t="str">
        <f>HYPERLINK("https://github.com/google/go-github", "https://github.com/google/go-github")</f>
        <v>https://github.com/google/go-github</v>
      </c>
      <c r="D102">
        <v>4506</v>
      </c>
      <c r="E102" t="s">
        <v>308</v>
      </c>
      <c r="F102" t="s">
        <v>309</v>
      </c>
      <c r="G102">
        <v>1042</v>
      </c>
      <c r="H102" s="2">
        <v>41418.696504629632</v>
      </c>
      <c r="I102" s="2">
        <v>43580.497337962966</v>
      </c>
      <c r="J102" t="s">
        <v>310</v>
      </c>
    </row>
    <row r="103" spans="1:10" x14ac:dyDescent="0.15">
      <c r="A103">
        <v>33822149</v>
      </c>
      <c r="B103" s="3" t="str">
        <f>HYPERLINK("https://github.com/kardianos/govendor", "https://github.com/kardianos/govendor")</f>
        <v>https://github.com/kardianos/govendor</v>
      </c>
      <c r="D103">
        <v>4497</v>
      </c>
      <c r="E103" t="s">
        <v>311</v>
      </c>
      <c r="F103" t="s">
        <v>312</v>
      </c>
      <c r="G103">
        <v>353</v>
      </c>
      <c r="H103" s="2">
        <v>42106.643518518518</v>
      </c>
      <c r="I103" s="2">
        <v>43580.413645833331</v>
      </c>
      <c r="J103" t="s">
        <v>313</v>
      </c>
    </row>
    <row r="104" spans="1:10" x14ac:dyDescent="0.15">
      <c r="A104">
        <v>95011980</v>
      </c>
      <c r="B104" s="3" t="str">
        <f>HYPERLINK("https://github.com/go-ego/riot", "https://github.com/go-ego/riot")</f>
        <v>https://github.com/go-ego/riot</v>
      </c>
      <c r="D104">
        <v>4466</v>
      </c>
      <c r="E104" t="s">
        <v>314</v>
      </c>
      <c r="F104" t="s">
        <v>315</v>
      </c>
      <c r="G104">
        <v>274</v>
      </c>
      <c r="H104" s="2">
        <v>42907.595821759263</v>
      </c>
      <c r="I104" s="2">
        <v>43580.306481481479</v>
      </c>
      <c r="J104" t="s">
        <v>316</v>
      </c>
    </row>
    <row r="105" spans="1:10" x14ac:dyDescent="0.15">
      <c r="A105">
        <v>48643510</v>
      </c>
      <c r="B105" s="3" t="str">
        <f>HYPERLINK("https://github.com/pkg/errors", "https://github.com/pkg/errors")</f>
        <v>https://github.com/pkg/errors</v>
      </c>
      <c r="D105">
        <v>4374</v>
      </c>
      <c r="E105" t="s">
        <v>317</v>
      </c>
      <c r="F105" t="s">
        <v>318</v>
      </c>
      <c r="G105">
        <v>296</v>
      </c>
      <c r="H105" s="2">
        <v>42365.503912037027</v>
      </c>
      <c r="I105" s="2">
        <v>43580.022557870368</v>
      </c>
      <c r="J105" t="s">
        <v>319</v>
      </c>
    </row>
    <row r="106" spans="1:10" x14ac:dyDescent="0.15">
      <c r="A106">
        <v>23247808</v>
      </c>
      <c r="B106" s="3" t="str">
        <f>HYPERLINK("https://github.com/rqlite/rqlite", "https://github.com/rqlite/rqlite")</f>
        <v>https://github.com/rqlite/rqlite</v>
      </c>
      <c r="D106">
        <v>4364</v>
      </c>
      <c r="E106" t="s">
        <v>320</v>
      </c>
      <c r="F106" t="s">
        <v>321</v>
      </c>
      <c r="G106">
        <v>243</v>
      </c>
      <c r="H106" s="2">
        <v>41874.188402777778</v>
      </c>
      <c r="I106" s="2">
        <v>43580.386284722219</v>
      </c>
      <c r="J106" t="s">
        <v>322</v>
      </c>
    </row>
    <row r="107" spans="1:10" x14ac:dyDescent="0.15">
      <c r="A107">
        <v>38518423</v>
      </c>
      <c r="B107" s="3" t="str">
        <f>HYPERLINK("https://github.com/flike/kingshard", "https://github.com/flike/kingshard")</f>
        <v>https://github.com/flike/kingshard</v>
      </c>
      <c r="D107">
        <v>4354</v>
      </c>
      <c r="E107" t="s">
        <v>323</v>
      </c>
      <c r="F107" t="s">
        <v>324</v>
      </c>
      <c r="G107">
        <v>881</v>
      </c>
      <c r="H107" s="2">
        <v>42189.098981481482</v>
      </c>
      <c r="I107" s="2">
        <v>43580.543587962973</v>
      </c>
      <c r="J107" t="s">
        <v>325</v>
      </c>
    </row>
    <row r="108" spans="1:10" x14ac:dyDescent="0.15">
      <c r="A108">
        <v>65434192</v>
      </c>
      <c r="B108" s="3" t="str">
        <f>HYPERLINK("https://github.com/tidwall/gjson", "https://github.com/tidwall/gjson")</f>
        <v>https://github.com/tidwall/gjson</v>
      </c>
      <c r="D108">
        <v>4341</v>
      </c>
      <c r="E108" t="s">
        <v>326</v>
      </c>
      <c r="F108" t="s">
        <v>327</v>
      </c>
      <c r="G108">
        <v>277</v>
      </c>
      <c r="H108" s="2">
        <v>42593.131099537037</v>
      </c>
      <c r="I108" s="2">
        <v>43580.392569444448</v>
      </c>
      <c r="J108" t="s">
        <v>328</v>
      </c>
    </row>
    <row r="109" spans="1:10" x14ac:dyDescent="0.15">
      <c r="A109">
        <v>2902935</v>
      </c>
      <c r="B109" s="3" t="str">
        <f>HYPERLINK("https://github.com/moovweb/gvm", "https://github.com/moovweb/gvm")</f>
        <v>https://github.com/moovweb/gvm</v>
      </c>
      <c r="D109">
        <v>4261</v>
      </c>
      <c r="E109" t="s">
        <v>329</v>
      </c>
      <c r="F109" t="s">
        <v>330</v>
      </c>
      <c r="G109">
        <v>260</v>
      </c>
      <c r="H109" s="2">
        <v>40880.106990740736</v>
      </c>
      <c r="I109" s="2">
        <v>43580.488078703696</v>
      </c>
      <c r="J109" t="s">
        <v>331</v>
      </c>
    </row>
    <row r="110" spans="1:10" x14ac:dyDescent="0.15">
      <c r="A110">
        <v>69269563</v>
      </c>
      <c r="B110" s="3" t="str">
        <f>HYPERLINK("https://github.com/go-vgo/robotgo", "https://github.com/go-vgo/robotgo")</f>
        <v>https://github.com/go-vgo/robotgo</v>
      </c>
      <c r="D110">
        <v>4187</v>
      </c>
      <c r="E110" t="s">
        <v>332</v>
      </c>
      <c r="F110" t="s">
        <v>333</v>
      </c>
      <c r="G110">
        <v>359</v>
      </c>
      <c r="H110" s="2">
        <v>42639.685370370367</v>
      </c>
      <c r="I110" s="2">
        <v>43580.297534722216</v>
      </c>
      <c r="J110" t="s">
        <v>334</v>
      </c>
    </row>
    <row r="111" spans="1:10" x14ac:dyDescent="0.15">
      <c r="A111">
        <v>100781035</v>
      </c>
      <c r="B111" s="3" t="str">
        <f>HYPERLINK("https://github.com/zserge/webview", "https://github.com/zserge/webview")</f>
        <v>https://github.com/zserge/webview</v>
      </c>
      <c r="D111">
        <v>4161</v>
      </c>
      <c r="E111" t="s">
        <v>335</v>
      </c>
      <c r="F111" t="s">
        <v>336</v>
      </c>
      <c r="G111">
        <v>280</v>
      </c>
      <c r="H111" s="2">
        <v>42966.351388888892</v>
      </c>
      <c r="I111" s="2">
        <v>43580.053831018522</v>
      </c>
      <c r="J111" t="s">
        <v>337</v>
      </c>
    </row>
    <row r="112" spans="1:10" x14ac:dyDescent="0.15">
      <c r="A112">
        <v>87617508</v>
      </c>
      <c r="B112" s="3" t="str">
        <f>HYPERLINK("https://github.com/casbin/casbin", "https://github.com/casbin/casbin")</f>
        <v>https://github.com/casbin/casbin</v>
      </c>
      <c r="D112">
        <v>4160</v>
      </c>
      <c r="E112" t="s">
        <v>338</v>
      </c>
      <c r="F112" t="s">
        <v>339</v>
      </c>
      <c r="G112">
        <v>435</v>
      </c>
      <c r="H112" s="2">
        <v>42833.327349537038</v>
      </c>
      <c r="I112" s="2">
        <v>43580.523125</v>
      </c>
      <c r="J112" t="s">
        <v>340</v>
      </c>
    </row>
    <row r="113" spans="1:10" x14ac:dyDescent="0.15">
      <c r="A113">
        <v>11206255</v>
      </c>
      <c r="B113" s="3" t="str">
        <f>HYPERLINK("https://github.com/Shopify/sarama", "https://github.com/Shopify/sarama")</f>
        <v>https://github.com/Shopify/sarama</v>
      </c>
      <c r="D113">
        <v>4146</v>
      </c>
      <c r="E113" t="s">
        <v>341</v>
      </c>
      <c r="F113" t="s">
        <v>342</v>
      </c>
      <c r="G113">
        <v>755</v>
      </c>
      <c r="H113" s="2">
        <v>41460.786550925928</v>
      </c>
      <c r="I113" s="2">
        <v>43580.432546296302</v>
      </c>
      <c r="J113" t="s">
        <v>343</v>
      </c>
    </row>
    <row r="114" spans="1:10" x14ac:dyDescent="0.15">
      <c r="A114">
        <v>15625102</v>
      </c>
      <c r="B114" s="3" t="str">
        <f>HYPERLINK("https://github.com/jroimartin/gocui", "https://github.com/jroimartin/gocui")</f>
        <v>https://github.com/jroimartin/gocui</v>
      </c>
      <c r="D114">
        <v>4122</v>
      </c>
      <c r="E114" t="s">
        <v>344</v>
      </c>
      <c r="F114" t="s">
        <v>345</v>
      </c>
      <c r="G114">
        <v>249</v>
      </c>
      <c r="H114" s="2">
        <v>41643.118287037039</v>
      </c>
      <c r="I114" s="2">
        <v>43579.224699074082</v>
      </c>
      <c r="J114" t="s">
        <v>346</v>
      </c>
    </row>
    <row r="115" spans="1:10" x14ac:dyDescent="0.15">
      <c r="A115">
        <v>31566326</v>
      </c>
      <c r="B115" s="3" t="str">
        <f>HYPERLINK("https://github.com/fogleman/nes", "https://github.com/fogleman/nes")</f>
        <v>https://github.com/fogleman/nes</v>
      </c>
      <c r="D115">
        <v>4010</v>
      </c>
      <c r="E115" t="s">
        <v>347</v>
      </c>
      <c r="F115" t="s">
        <v>348</v>
      </c>
      <c r="G115">
        <v>328</v>
      </c>
      <c r="H115" s="2">
        <v>42065.927928240737</v>
      </c>
      <c r="I115" s="2">
        <v>43579.26462962963</v>
      </c>
      <c r="J115" t="s">
        <v>349</v>
      </c>
    </row>
    <row r="116" spans="1:10" x14ac:dyDescent="0.15">
      <c r="A116">
        <v>77071454</v>
      </c>
      <c r="B116" s="3" t="str">
        <f>HYPERLINK("https://github.com/goreleaser/goreleaser", "https://github.com/goreleaser/goreleaser")</f>
        <v>https://github.com/goreleaser/goreleaser</v>
      </c>
      <c r="D116">
        <v>4005</v>
      </c>
      <c r="E116" t="s">
        <v>350</v>
      </c>
      <c r="F116" t="s">
        <v>351</v>
      </c>
      <c r="G116">
        <v>251</v>
      </c>
      <c r="H116" s="2">
        <v>42725.717812499999</v>
      </c>
      <c r="I116" s="2">
        <v>43580.377569444441</v>
      </c>
      <c r="J116" t="s">
        <v>352</v>
      </c>
    </row>
    <row r="117" spans="1:10" x14ac:dyDescent="0.15">
      <c r="A117">
        <v>16800723</v>
      </c>
      <c r="B117" s="3" t="str">
        <f>HYPERLINK("https://github.com/a8m/go-lang-cheat-sheet", "https://github.com/a8m/go-lang-cheat-sheet")</f>
        <v>https://github.com/a8m/go-lang-cheat-sheet</v>
      </c>
      <c r="D117">
        <v>3880</v>
      </c>
      <c r="E117" t="s">
        <v>353</v>
      </c>
      <c r="F117" t="s">
        <v>354</v>
      </c>
      <c r="G117">
        <v>514</v>
      </c>
      <c r="H117" s="2">
        <v>41683.475671296299</v>
      </c>
      <c r="I117" s="2">
        <v>43578.791724537034</v>
      </c>
      <c r="J117" t="s">
        <v>355</v>
      </c>
    </row>
    <row r="118" spans="1:10" x14ac:dyDescent="0.15">
      <c r="A118">
        <v>44739044</v>
      </c>
      <c r="B118" s="3" t="str">
        <f>HYPERLINK("https://github.com/src-d/go-git", "https://github.com/src-d/go-git")</f>
        <v>https://github.com/src-d/go-git</v>
      </c>
      <c r="D118">
        <v>3801</v>
      </c>
      <c r="E118" t="s">
        <v>356</v>
      </c>
      <c r="F118" t="s">
        <v>357</v>
      </c>
      <c r="G118">
        <v>390</v>
      </c>
      <c r="H118" s="2">
        <v>42299.446909722217</v>
      </c>
      <c r="I118" s="2">
        <v>43580.26666666667</v>
      </c>
      <c r="J118" t="s">
        <v>358</v>
      </c>
    </row>
    <row r="119" spans="1:10" x14ac:dyDescent="0.15">
      <c r="A119">
        <v>29156642</v>
      </c>
      <c r="B119" s="3" t="str">
        <f>HYPERLINK("https://github.com/adnanh/webhook", "https://github.com/adnanh/webhook")</f>
        <v>https://github.com/adnanh/webhook</v>
      </c>
      <c r="D119">
        <v>3767</v>
      </c>
      <c r="E119" t="s">
        <v>359</v>
      </c>
      <c r="F119" t="s">
        <v>360</v>
      </c>
      <c r="G119">
        <v>323</v>
      </c>
      <c r="H119" s="2">
        <v>42016.874432870369</v>
      </c>
      <c r="I119" s="2">
        <v>43580.545983796299</v>
      </c>
      <c r="J119" t="s">
        <v>361</v>
      </c>
    </row>
    <row r="120" spans="1:10" x14ac:dyDescent="0.15">
      <c r="A120">
        <v>7039626</v>
      </c>
      <c r="B120" s="3" t="str">
        <f>HYPERLINK("https://github.com/olivere/elastic", "https://github.com/olivere/elastic")</f>
        <v>https://github.com/olivere/elastic</v>
      </c>
      <c r="D120">
        <v>3737</v>
      </c>
      <c r="E120" t="s">
        <v>362</v>
      </c>
      <c r="F120" t="s">
        <v>363</v>
      </c>
      <c r="G120">
        <v>702</v>
      </c>
      <c r="H120" s="2">
        <v>41249.719131944446</v>
      </c>
      <c r="I120" s="2">
        <v>43580.387499999997</v>
      </c>
      <c r="J120" t="s">
        <v>364</v>
      </c>
    </row>
    <row r="121" spans="1:10" x14ac:dyDescent="0.15">
      <c r="A121">
        <v>66841911</v>
      </c>
      <c r="B121" s="3" t="str">
        <f>HYPERLINK("https://github.com/360EntSecGroup-Skylar/excelize", "https://github.com/360EntSecGroup-Skylar/excelize")</f>
        <v>https://github.com/360EntSecGroup-Skylar/excelize</v>
      </c>
      <c r="D121">
        <v>3714</v>
      </c>
      <c r="E121" t="s">
        <v>365</v>
      </c>
      <c r="F121" t="s">
        <v>366</v>
      </c>
      <c r="G121">
        <v>383</v>
      </c>
      <c r="H121" s="2">
        <v>42611.522361111107</v>
      </c>
      <c r="I121" s="2">
        <v>43580.516574074078</v>
      </c>
      <c r="J121" t="s">
        <v>367</v>
      </c>
    </row>
    <row r="122" spans="1:10" x14ac:dyDescent="0.15">
      <c r="A122">
        <v>21108219</v>
      </c>
      <c r="B122" s="3" t="str">
        <f>HYPERLINK("https://github.com/dropbox/godropbox", "https://github.com/dropbox/godropbox")</f>
        <v>https://github.com/dropbox/godropbox</v>
      </c>
      <c r="D122">
        <v>3701</v>
      </c>
      <c r="E122" t="s">
        <v>368</v>
      </c>
      <c r="F122" t="s">
        <v>369</v>
      </c>
      <c r="G122">
        <v>374</v>
      </c>
      <c r="H122" s="2">
        <v>41812.964918981481</v>
      </c>
      <c r="I122" s="2">
        <v>43580.518182870372</v>
      </c>
      <c r="J122" t="s">
        <v>370</v>
      </c>
    </row>
    <row r="123" spans="1:10" x14ac:dyDescent="0.15">
      <c r="A123">
        <v>1812190</v>
      </c>
      <c r="B123" s="3" t="str">
        <f>HYPERLINK("https://github.com/russross/blackfriday", "https://github.com/russross/blackfriday")</f>
        <v>https://github.com/russross/blackfriday</v>
      </c>
      <c r="D123">
        <v>3688</v>
      </c>
      <c r="E123" t="s">
        <v>371</v>
      </c>
      <c r="F123" t="s">
        <v>372</v>
      </c>
      <c r="G123">
        <v>472</v>
      </c>
      <c r="H123" s="2">
        <v>40690.936782407407</v>
      </c>
      <c r="I123" s="2">
        <v>43580.086909722217</v>
      </c>
      <c r="J123" t="s">
        <v>373</v>
      </c>
    </row>
    <row r="124" spans="1:10" x14ac:dyDescent="0.15">
      <c r="A124">
        <v>23664475</v>
      </c>
      <c r="B124" s="3" t="str">
        <f>HYPERLINK("https://github.com/Shopify/toxiproxy", "https://github.com/Shopify/toxiproxy")</f>
        <v>https://github.com/Shopify/toxiproxy</v>
      </c>
      <c r="D124">
        <v>3643</v>
      </c>
      <c r="E124" t="s">
        <v>374</v>
      </c>
      <c r="F124" t="s">
        <v>375</v>
      </c>
      <c r="G124">
        <v>198</v>
      </c>
      <c r="H124" s="2">
        <v>41886.580995370372</v>
      </c>
      <c r="I124" s="2">
        <v>43579.718576388892</v>
      </c>
      <c r="J124" t="s">
        <v>376</v>
      </c>
    </row>
    <row r="125" spans="1:10" x14ac:dyDescent="0.15">
      <c r="A125">
        <v>115614847</v>
      </c>
      <c r="B125" s="3" t="str">
        <f>HYPERLINK("https://github.com/gaia-pipeline/gaia", "https://github.com/gaia-pipeline/gaia")</f>
        <v>https://github.com/gaia-pipeline/gaia</v>
      </c>
      <c r="D125">
        <v>3611</v>
      </c>
      <c r="E125" t="s">
        <v>377</v>
      </c>
      <c r="F125" t="s">
        <v>378</v>
      </c>
      <c r="G125">
        <v>145</v>
      </c>
      <c r="H125" s="2">
        <v>43097.459386574083</v>
      </c>
      <c r="I125" s="2">
        <v>43580.305335648147</v>
      </c>
      <c r="J125" t="s">
        <v>379</v>
      </c>
    </row>
    <row r="126" spans="1:10" x14ac:dyDescent="0.15">
      <c r="A126">
        <v>18906266</v>
      </c>
      <c r="B126" s="3" t="str">
        <f>HYPERLINK("https://github.com/shirou/gopsutil", "https://github.com/shirou/gopsutil")</f>
        <v>https://github.com/shirou/gopsutil</v>
      </c>
      <c r="D126">
        <v>3592</v>
      </c>
      <c r="E126" t="s">
        <v>380</v>
      </c>
      <c r="F126" t="s">
        <v>381</v>
      </c>
      <c r="G126">
        <v>674</v>
      </c>
      <c r="H126" s="2">
        <v>41747.316296296303</v>
      </c>
      <c r="I126" s="2">
        <v>43580.366967592592</v>
      </c>
      <c r="J126" t="s">
        <v>382</v>
      </c>
    </row>
    <row r="127" spans="1:10" x14ac:dyDescent="0.15">
      <c r="A127">
        <v>815644</v>
      </c>
      <c r="B127" s="3" t="str">
        <f>HYPERLINK("https://github.com/miekg/dns", "https://github.com/miekg/dns")</f>
        <v>https://github.com/miekg/dns</v>
      </c>
      <c r="D127">
        <v>3573</v>
      </c>
      <c r="E127" t="s">
        <v>383</v>
      </c>
      <c r="F127" t="s">
        <v>384</v>
      </c>
      <c r="G127">
        <v>604</v>
      </c>
      <c r="H127" s="2">
        <v>40393.914155092592</v>
      </c>
      <c r="I127" s="2">
        <v>43580.54583333333</v>
      </c>
      <c r="J127" t="s">
        <v>385</v>
      </c>
    </row>
    <row r="128" spans="1:10" x14ac:dyDescent="0.15">
      <c r="A128">
        <v>39473685</v>
      </c>
      <c r="B128" s="3" t="str">
        <f>HYPERLINK("https://github.com/uber-archive/go-torch", "https://github.com/uber-archive/go-torch")</f>
        <v>https://github.com/uber-archive/go-torch</v>
      </c>
      <c r="D128">
        <v>3573</v>
      </c>
      <c r="E128" t="s">
        <v>386</v>
      </c>
      <c r="F128" t="s">
        <v>387</v>
      </c>
      <c r="G128">
        <v>193</v>
      </c>
      <c r="H128" s="2">
        <v>42206.951180555552</v>
      </c>
      <c r="I128" s="2">
        <v>43579.269224537027</v>
      </c>
      <c r="J128" t="s">
        <v>388</v>
      </c>
    </row>
    <row r="129" spans="1:10" x14ac:dyDescent="0.15">
      <c r="A129">
        <v>22629932</v>
      </c>
      <c r="B129" s="3" t="str">
        <f>HYPERLINK("https://github.com/alecthomas/gometalinter", "https://github.com/alecthomas/gometalinter")</f>
        <v>https://github.com/alecthomas/gometalinter</v>
      </c>
      <c r="D129">
        <v>3559</v>
      </c>
      <c r="E129" t="s">
        <v>389</v>
      </c>
      <c r="F129" t="s">
        <v>390</v>
      </c>
      <c r="G129">
        <v>279</v>
      </c>
      <c r="H129" s="2">
        <v>41856.174479166657</v>
      </c>
      <c r="I129" s="2">
        <v>43580.544768518521</v>
      </c>
      <c r="J129" t="s">
        <v>391</v>
      </c>
    </row>
    <row r="130" spans="1:10" x14ac:dyDescent="0.15">
      <c r="A130">
        <v>26726495</v>
      </c>
      <c r="B130" s="3" t="str">
        <f>HYPERLINK("https://github.com/go-swagger/go-swagger", "https://github.com/go-swagger/go-swagger")</f>
        <v>https://github.com/go-swagger/go-swagger</v>
      </c>
      <c r="D130">
        <v>3531</v>
      </c>
      <c r="E130" t="s">
        <v>392</v>
      </c>
      <c r="F130" t="s">
        <v>393</v>
      </c>
      <c r="G130">
        <v>587</v>
      </c>
      <c r="H130" s="2">
        <v>41959.842534722222</v>
      </c>
      <c r="I130" s="2">
        <v>43580.551076388889</v>
      </c>
      <c r="J130" t="s">
        <v>394</v>
      </c>
    </row>
    <row r="131" spans="1:10" x14ac:dyDescent="0.15">
      <c r="A131">
        <v>33208063</v>
      </c>
      <c r="B131" s="3" t="str">
        <f>HYPERLINK("https://github.com/centrifugal/centrifugo", "https://github.com/centrifugal/centrifugo")</f>
        <v>https://github.com/centrifugal/centrifugo</v>
      </c>
      <c r="D131">
        <v>3472</v>
      </c>
      <c r="E131" t="s">
        <v>395</v>
      </c>
      <c r="F131" t="s">
        <v>396</v>
      </c>
      <c r="G131">
        <v>305</v>
      </c>
      <c r="H131" s="2">
        <v>42094.851956018523</v>
      </c>
      <c r="I131" s="2">
        <v>43580.436030092591</v>
      </c>
      <c r="J131" t="s">
        <v>397</v>
      </c>
    </row>
    <row r="132" spans="1:10" x14ac:dyDescent="0.15">
      <c r="A132">
        <v>123572362</v>
      </c>
      <c r="B132" s="3" t="str">
        <f>HYPERLINK("https://github.com/quii/learn-go-with-tests", "https://github.com/quii/learn-go-with-tests")</f>
        <v>https://github.com/quii/learn-go-with-tests</v>
      </c>
      <c r="D132">
        <v>3466</v>
      </c>
      <c r="E132" t="s">
        <v>398</v>
      </c>
      <c r="F132" t="s">
        <v>399</v>
      </c>
      <c r="G132">
        <v>371</v>
      </c>
      <c r="H132" s="2">
        <v>43161.486967592587</v>
      </c>
      <c r="I132" s="2">
        <v>43580.551087962973</v>
      </c>
      <c r="J132" t="s">
        <v>400</v>
      </c>
    </row>
    <row r="133" spans="1:10" x14ac:dyDescent="0.15">
      <c r="A133">
        <v>54453471</v>
      </c>
      <c r="B133" s="3" t="str">
        <f>HYPERLINK("https://github.com/appleboy/gorush", "https://github.com/appleboy/gorush")</f>
        <v>https://github.com/appleboy/gorush</v>
      </c>
      <c r="D133">
        <v>3456</v>
      </c>
      <c r="E133" t="s">
        <v>401</v>
      </c>
      <c r="F133" t="s">
        <v>402</v>
      </c>
      <c r="G133">
        <v>343</v>
      </c>
      <c r="H133" s="2">
        <v>42451.302314814813</v>
      </c>
      <c r="I133" s="2">
        <v>43580.55773148148</v>
      </c>
      <c r="J133" t="s">
        <v>403</v>
      </c>
    </row>
    <row r="134" spans="1:10" x14ac:dyDescent="0.15">
      <c r="A134">
        <v>54453471</v>
      </c>
      <c r="B134" s="3" t="str">
        <f>HYPERLINK("https://github.com/appleboy/gorush", "https://github.com/appleboy/gorush")</f>
        <v>https://github.com/appleboy/gorush</v>
      </c>
      <c r="D134">
        <v>3455</v>
      </c>
      <c r="E134" t="s">
        <v>401</v>
      </c>
      <c r="F134" t="s">
        <v>402</v>
      </c>
      <c r="G134">
        <v>342</v>
      </c>
      <c r="H134" s="2">
        <v>42451.302314814813</v>
      </c>
      <c r="I134" s="2">
        <v>43580.353483796287</v>
      </c>
      <c r="J134" t="s">
        <v>403</v>
      </c>
    </row>
    <row r="135" spans="1:10" x14ac:dyDescent="0.15">
      <c r="A135">
        <v>15479087</v>
      </c>
      <c r="B135" s="3" t="str">
        <f>HYPERLINK("https://github.com/OctoLinker/OctoLinker", "https://github.com/OctoLinker/OctoLinker")</f>
        <v>https://github.com/OctoLinker/OctoLinker</v>
      </c>
      <c r="D135">
        <v>3445</v>
      </c>
      <c r="E135" t="s">
        <v>404</v>
      </c>
      <c r="F135" t="s">
        <v>405</v>
      </c>
      <c r="G135">
        <v>231</v>
      </c>
      <c r="H135" s="2">
        <v>41635.751296296286</v>
      </c>
      <c r="I135" s="2">
        <v>43579.680763888893</v>
      </c>
      <c r="J135" t="s">
        <v>406</v>
      </c>
    </row>
    <row r="136" spans="1:10" x14ac:dyDescent="0.15">
      <c r="A136">
        <v>59101986</v>
      </c>
      <c r="B136" s="3" t="str">
        <f>HYPERLINK("https://github.com/smallnest/rpcx", "https://github.com/smallnest/rpcx")</f>
        <v>https://github.com/smallnest/rpcx</v>
      </c>
      <c r="D136">
        <v>3407</v>
      </c>
      <c r="E136" t="s">
        <v>407</v>
      </c>
      <c r="F136" t="s">
        <v>408</v>
      </c>
      <c r="G136">
        <v>579</v>
      </c>
      <c r="H136" s="2">
        <v>42508.398668981477</v>
      </c>
      <c r="I136" s="2">
        <v>43580.536782407413</v>
      </c>
      <c r="J136" t="s">
        <v>409</v>
      </c>
    </row>
    <row r="137" spans="1:10" x14ac:dyDescent="0.15">
      <c r="A137">
        <v>914796</v>
      </c>
      <c r="B137" s="3" t="str">
        <f>HYPERLINK("https://github.com/lxn/walk", "https://github.com/lxn/walk")</f>
        <v>https://github.com/lxn/walk</v>
      </c>
      <c r="D137">
        <v>3402</v>
      </c>
      <c r="E137" t="s">
        <v>410</v>
      </c>
      <c r="F137" t="s">
        <v>411</v>
      </c>
      <c r="G137">
        <v>516</v>
      </c>
      <c r="H137" s="2">
        <v>40437.341539351852</v>
      </c>
      <c r="I137" s="2">
        <v>43580.407233796293</v>
      </c>
      <c r="J137" t="s">
        <v>412</v>
      </c>
    </row>
    <row r="138" spans="1:10" x14ac:dyDescent="0.15">
      <c r="A138">
        <v>3165783</v>
      </c>
      <c r="B138" s="3" t="str">
        <f>HYPERLINK("https://github.com/nsf/termbox-go", "https://github.com/nsf/termbox-go")</f>
        <v>https://github.com/nsf/termbox-go</v>
      </c>
      <c r="D138">
        <v>3364</v>
      </c>
      <c r="E138" t="s">
        <v>413</v>
      </c>
      <c r="F138" t="s">
        <v>414</v>
      </c>
      <c r="G138">
        <v>274</v>
      </c>
      <c r="H138" s="2">
        <v>40920.877118055563</v>
      </c>
      <c r="I138" s="2">
        <v>43579.606874999998</v>
      </c>
      <c r="J138" t="s">
        <v>415</v>
      </c>
    </row>
    <row r="139" spans="1:10" x14ac:dyDescent="0.15">
      <c r="A139">
        <v>27579614</v>
      </c>
      <c r="B139" s="3" t="str">
        <f>HYPERLINK("https://github.com/goadesign/goa", "https://github.com/goadesign/goa")</f>
        <v>https://github.com/goadesign/goa</v>
      </c>
      <c r="D139">
        <v>3356</v>
      </c>
      <c r="E139" t="s">
        <v>416</v>
      </c>
      <c r="F139" t="s">
        <v>417</v>
      </c>
      <c r="G139">
        <v>370</v>
      </c>
      <c r="H139" s="2">
        <v>41978.304085648153</v>
      </c>
      <c r="I139" s="2">
        <v>43580.389872685177</v>
      </c>
      <c r="J139" t="s">
        <v>418</v>
      </c>
    </row>
    <row r="140" spans="1:10" x14ac:dyDescent="0.15">
      <c r="A140">
        <v>81354891</v>
      </c>
      <c r="B140" s="3" t="str">
        <f>HYPERLINK("https://github.com/gchaincl/httplab", "https://github.com/gchaincl/httplab")</f>
        <v>https://github.com/gchaincl/httplab</v>
      </c>
      <c r="D140">
        <v>3328</v>
      </c>
      <c r="E140" t="s">
        <v>419</v>
      </c>
      <c r="F140" t="s">
        <v>420</v>
      </c>
      <c r="G140">
        <v>111</v>
      </c>
      <c r="H140" s="2">
        <v>42774.717581018522</v>
      </c>
      <c r="I140" s="2">
        <v>43579.966736111113</v>
      </c>
      <c r="J140" t="s">
        <v>421</v>
      </c>
    </row>
    <row r="141" spans="1:10" x14ac:dyDescent="0.15">
      <c r="A141">
        <v>21034555</v>
      </c>
      <c r="B141" s="3" t="str">
        <f>HYPERLINK("https://github.com/asaskevich/govalidator", "https://github.com/asaskevich/govalidator")</f>
        <v>https://github.com/asaskevich/govalidator</v>
      </c>
      <c r="D141">
        <v>3313</v>
      </c>
      <c r="E141" t="s">
        <v>422</v>
      </c>
      <c r="F141" t="s">
        <v>423</v>
      </c>
      <c r="G141">
        <v>343</v>
      </c>
      <c r="H141" s="2">
        <v>41810.448182870372</v>
      </c>
      <c r="I141" s="2">
        <v>43580.558738425927</v>
      </c>
      <c r="J141" t="s">
        <v>424</v>
      </c>
    </row>
    <row r="142" spans="1:10" x14ac:dyDescent="0.15">
      <c r="A142">
        <v>21034555</v>
      </c>
      <c r="B142" s="3" t="str">
        <f>HYPERLINK("https://github.com/asaskevich/govalidator", "https://github.com/asaskevich/govalidator")</f>
        <v>https://github.com/asaskevich/govalidator</v>
      </c>
      <c r="D142">
        <v>3312</v>
      </c>
      <c r="E142" t="s">
        <v>422</v>
      </c>
      <c r="F142" t="s">
        <v>423</v>
      </c>
      <c r="G142">
        <v>343</v>
      </c>
      <c r="H142" s="2">
        <v>41810.448182870372</v>
      </c>
      <c r="I142" s="2">
        <v>43580.112615740742</v>
      </c>
      <c r="J142" t="s">
        <v>424</v>
      </c>
    </row>
    <row r="143" spans="1:10" x14ac:dyDescent="0.15">
      <c r="A143">
        <v>8282363</v>
      </c>
      <c r="B143" s="3" t="str">
        <f>HYPERLINK("https://github.com/ant0ine/go-json-rest", "https://github.com/ant0ine/go-json-rest")</f>
        <v>https://github.com/ant0ine/go-json-rest</v>
      </c>
      <c r="D143">
        <v>3291</v>
      </c>
      <c r="E143" t="s">
        <v>425</v>
      </c>
      <c r="F143" t="s">
        <v>426</v>
      </c>
      <c r="G143">
        <v>362</v>
      </c>
      <c r="H143" s="2">
        <v>41324.135937500003</v>
      </c>
      <c r="I143" s="2">
        <v>43578.305393518523</v>
      </c>
      <c r="J143" t="s">
        <v>427</v>
      </c>
    </row>
    <row r="144" spans="1:10" x14ac:dyDescent="0.15">
      <c r="A144">
        <v>37038121</v>
      </c>
      <c r="B144" s="3" t="str">
        <f>HYPERLINK("https://github.com/go-acme/lego", "https://github.com/go-acme/lego")</f>
        <v>https://github.com/go-acme/lego</v>
      </c>
      <c r="D144">
        <v>3287</v>
      </c>
      <c r="E144" t="s">
        <v>428</v>
      </c>
      <c r="F144" t="s">
        <v>429</v>
      </c>
      <c r="G144">
        <v>429</v>
      </c>
      <c r="H144" s="2">
        <v>42163.02547453704</v>
      </c>
      <c r="I144" s="2">
        <v>43579.663854166669</v>
      </c>
      <c r="J144" t="s">
        <v>430</v>
      </c>
    </row>
    <row r="145" spans="1:10" x14ac:dyDescent="0.15">
      <c r="A145">
        <v>14460330</v>
      </c>
      <c r="B145" s="3" t="str">
        <f>HYPERLINK("https://github.com/mitchellh/gox", "https://github.com/mitchellh/gox")</f>
        <v>https://github.com/mitchellh/gox</v>
      </c>
      <c r="D145">
        <v>3208</v>
      </c>
      <c r="E145" t="s">
        <v>431</v>
      </c>
      <c r="F145" t="s">
        <v>432</v>
      </c>
      <c r="G145">
        <v>244</v>
      </c>
      <c r="H145" s="2">
        <v>41595.133043981477</v>
      </c>
      <c r="I145" s="2">
        <v>43579.564317129632</v>
      </c>
      <c r="J145" t="s">
        <v>433</v>
      </c>
    </row>
    <row r="146" spans="1:10" x14ac:dyDescent="0.15">
      <c r="A146">
        <v>2755696</v>
      </c>
      <c r="B146" s="3" t="str">
        <f>HYPERLINK("https://github.com/mattn/go-sqlite3", "https://github.com/mattn/go-sqlite3")</f>
        <v>https://github.com/mattn/go-sqlite3</v>
      </c>
      <c r="D146">
        <v>3192</v>
      </c>
      <c r="E146" t="s">
        <v>434</v>
      </c>
      <c r="F146" t="s">
        <v>435</v>
      </c>
      <c r="G146">
        <v>623</v>
      </c>
      <c r="H146" s="2">
        <v>40858.525578703702</v>
      </c>
      <c r="I146" s="2">
        <v>43580.383252314823</v>
      </c>
      <c r="J146" t="s">
        <v>436</v>
      </c>
    </row>
    <row r="147" spans="1:10" x14ac:dyDescent="0.15">
      <c r="A147">
        <v>2281177</v>
      </c>
      <c r="B147" s="3" t="str">
        <f>HYPERLINK("https://github.com/DisposaBoy/GoSublime", "https://github.com/DisposaBoy/GoSublime")</f>
        <v>https://github.com/DisposaBoy/GoSublime</v>
      </c>
      <c r="D147">
        <v>3185</v>
      </c>
      <c r="E147" t="s">
        <v>437</v>
      </c>
      <c r="F147" t="s">
        <v>438</v>
      </c>
      <c r="G147">
        <v>280</v>
      </c>
      <c r="H147" s="2">
        <v>40782.93378472222</v>
      </c>
      <c r="I147" s="2">
        <v>43579.331180555557</v>
      </c>
      <c r="J147" t="s">
        <v>439</v>
      </c>
    </row>
    <row r="148" spans="1:10" x14ac:dyDescent="0.15">
      <c r="A148">
        <v>1966991</v>
      </c>
      <c r="B148" s="3" t="str">
        <f>HYPERLINK("https://github.com/tealeg/xlsx", "https://github.com/tealeg/xlsx")</f>
        <v>https://github.com/tealeg/xlsx</v>
      </c>
      <c r="D148">
        <v>3138</v>
      </c>
      <c r="E148" t="s">
        <v>440</v>
      </c>
      <c r="F148" t="s">
        <v>441</v>
      </c>
      <c r="G148">
        <v>539</v>
      </c>
      <c r="H148" s="2">
        <v>40722.63921296296</v>
      </c>
      <c r="I148" s="2">
        <v>43580.345578703702</v>
      </c>
      <c r="J148" t="s">
        <v>442</v>
      </c>
    </row>
    <row r="149" spans="1:10" x14ac:dyDescent="0.15">
      <c r="A149">
        <v>33452903</v>
      </c>
      <c r="B149" s="3" t="str">
        <f>HYPERLINK("https://github.com/RichardKnop/machinery", "https://github.com/RichardKnop/machinery")</f>
        <v>https://github.com/RichardKnop/machinery</v>
      </c>
      <c r="D149">
        <v>3101</v>
      </c>
      <c r="E149" t="s">
        <v>443</v>
      </c>
      <c r="F149" t="s">
        <v>444</v>
      </c>
      <c r="G149">
        <v>390</v>
      </c>
      <c r="H149" s="2">
        <v>42099.824004629627</v>
      </c>
      <c r="I149" s="2">
        <v>43580.519479166673</v>
      </c>
      <c r="J149" t="s">
        <v>445</v>
      </c>
    </row>
    <row r="150" spans="1:10" x14ac:dyDescent="0.15">
      <c r="A150">
        <v>7515336</v>
      </c>
      <c r="B150" s="3" t="str">
        <f>HYPERLINK("https://github.com/davecgh/go-spew", "https://github.com/davecgh/go-spew")</f>
        <v>https://github.com/davecgh/go-spew</v>
      </c>
      <c r="D150">
        <v>3100</v>
      </c>
      <c r="E150" t="s">
        <v>446</v>
      </c>
      <c r="F150" t="s">
        <v>447</v>
      </c>
      <c r="G150">
        <v>188</v>
      </c>
      <c r="H150" s="2">
        <v>41283.221087962957</v>
      </c>
      <c r="I150" s="2">
        <v>43580.176041666673</v>
      </c>
      <c r="J150" t="s">
        <v>448</v>
      </c>
    </row>
    <row r="151" spans="1:10" x14ac:dyDescent="0.15">
      <c r="A151">
        <v>79921099</v>
      </c>
      <c r="B151" s="3" t="str">
        <f>HYPERLINK("https://github.com/chromedp/chromedp", "https://github.com/chromedp/chromedp")</f>
        <v>https://github.com/chromedp/chromedp</v>
      </c>
      <c r="D151">
        <v>3061</v>
      </c>
      <c r="E151" t="s">
        <v>449</v>
      </c>
      <c r="F151" t="s">
        <v>450</v>
      </c>
      <c r="G151">
        <v>256</v>
      </c>
      <c r="H151" s="2">
        <v>42759.621180555558</v>
      </c>
      <c r="I151" s="2">
        <v>43580.416851851849</v>
      </c>
      <c r="J151" t="s">
        <v>451</v>
      </c>
    </row>
    <row r="152" spans="1:10" x14ac:dyDescent="0.15">
      <c r="A152">
        <v>3104806</v>
      </c>
      <c r="B152" s="3" t="str">
        <f>HYPERLINK("https://github.com/go-gorp/gorp", "https://github.com/go-gorp/gorp")</f>
        <v>https://github.com/go-gorp/gorp</v>
      </c>
      <c r="D152">
        <v>3025</v>
      </c>
      <c r="E152" t="s">
        <v>452</v>
      </c>
      <c r="F152" t="s">
        <v>453</v>
      </c>
      <c r="G152">
        <v>346</v>
      </c>
      <c r="H152" s="2">
        <v>40912.826493055552</v>
      </c>
      <c r="I152" s="2">
        <v>43579.080833333333</v>
      </c>
      <c r="J152" t="s">
        <v>454</v>
      </c>
    </row>
    <row r="153" spans="1:10" x14ac:dyDescent="0.15">
      <c r="A153">
        <v>30711774</v>
      </c>
      <c r="B153" s="3" t="str">
        <f>HYPERLINK("https://github.com/go-playground/validator", "https://github.com/go-playground/validator")</f>
        <v>https://github.com/go-playground/validator</v>
      </c>
      <c r="D153">
        <v>2987</v>
      </c>
      <c r="E153" t="s">
        <v>455</v>
      </c>
      <c r="F153" t="s">
        <v>456</v>
      </c>
      <c r="G153">
        <v>261</v>
      </c>
      <c r="H153" s="2">
        <v>42047.689143518517</v>
      </c>
      <c r="I153" s="2">
        <v>43580.53292824074</v>
      </c>
      <c r="J153" t="s">
        <v>457</v>
      </c>
    </row>
    <row r="154" spans="1:10" x14ac:dyDescent="0.15">
      <c r="A154">
        <v>10443324</v>
      </c>
      <c r="B154" s="3" t="str">
        <f>HYPERLINK("https://github.com/golang/lint", "https://github.com/golang/lint")</f>
        <v>https://github.com/golang/lint</v>
      </c>
      <c r="D154">
        <v>2985</v>
      </c>
      <c r="E154" t="s">
        <v>458</v>
      </c>
      <c r="F154" t="s">
        <v>459</v>
      </c>
      <c r="G154">
        <v>387</v>
      </c>
      <c r="H154" s="2">
        <v>41427.948344907411</v>
      </c>
      <c r="I154" s="2">
        <v>43580.299490740741</v>
      </c>
      <c r="J154" t="s">
        <v>460</v>
      </c>
    </row>
    <row r="155" spans="1:10" x14ac:dyDescent="0.15">
      <c r="A155">
        <v>7767488</v>
      </c>
      <c r="B155" s="3" t="str">
        <f>HYPERLINK("https://github.com/syndtr/goleveldb", "https://github.com/syndtr/goleveldb")</f>
        <v>https://github.com/syndtr/goleveldb</v>
      </c>
      <c r="D155">
        <v>2955</v>
      </c>
      <c r="E155" t="s">
        <v>461</v>
      </c>
      <c r="F155" t="s">
        <v>462</v>
      </c>
      <c r="G155">
        <v>430</v>
      </c>
      <c r="H155" s="2">
        <v>41297.172893518517</v>
      </c>
      <c r="I155" s="2">
        <v>43580.209432870368</v>
      </c>
      <c r="J155" t="s">
        <v>463</v>
      </c>
    </row>
    <row r="156" spans="1:10" x14ac:dyDescent="0.15">
      <c r="A156">
        <v>63139140</v>
      </c>
      <c r="B156" s="3" t="str">
        <f>HYPERLINK("https://github.com/oxequa/realize", "https://github.com/oxequa/realize")</f>
        <v>https://github.com/oxequa/realize</v>
      </c>
      <c r="D156">
        <v>2952</v>
      </c>
      <c r="E156" t="s">
        <v>464</v>
      </c>
      <c r="F156" t="s">
        <v>465</v>
      </c>
      <c r="G156">
        <v>137</v>
      </c>
      <c r="H156" s="2">
        <v>42563.338483796288</v>
      </c>
      <c r="I156" s="2">
        <v>43580.236932870372</v>
      </c>
      <c r="J156" t="s">
        <v>466</v>
      </c>
    </row>
    <row r="157" spans="1:10" x14ac:dyDescent="0.15">
      <c r="A157">
        <v>19296225</v>
      </c>
      <c r="B157" s="3" t="str">
        <f>HYPERLINK("https://github.com/siddontang/ledisdb", "https://github.com/siddontang/ledisdb")</f>
        <v>https://github.com/siddontang/ledisdb</v>
      </c>
      <c r="D157">
        <v>2951</v>
      </c>
      <c r="E157" t="s">
        <v>467</v>
      </c>
      <c r="F157" t="s">
        <v>468</v>
      </c>
      <c r="G157">
        <v>346</v>
      </c>
      <c r="H157" s="2">
        <v>41759.029965277783</v>
      </c>
      <c r="I157" s="2">
        <v>43580.381354166668</v>
      </c>
      <c r="J157" t="s">
        <v>469</v>
      </c>
    </row>
    <row r="158" spans="1:10" x14ac:dyDescent="0.15">
      <c r="A158">
        <v>10757154</v>
      </c>
      <c r="B158" s="3" t="str">
        <f>HYPERLINK("https://github.com/satori/go.uuid", "https://github.com/satori/go.uuid")</f>
        <v>https://github.com/satori/go.uuid</v>
      </c>
      <c r="D158">
        <v>2928</v>
      </c>
      <c r="E158" t="s">
        <v>470</v>
      </c>
      <c r="F158" t="s">
        <v>471</v>
      </c>
      <c r="G158">
        <v>399</v>
      </c>
      <c r="H158" s="2">
        <v>41443.332002314812</v>
      </c>
      <c r="I158" s="2">
        <v>43580.328796296293</v>
      </c>
      <c r="J158" t="s">
        <v>472</v>
      </c>
    </row>
    <row r="159" spans="1:10" x14ac:dyDescent="0.15">
      <c r="A159">
        <v>16907502</v>
      </c>
      <c r="B159" s="3" t="str">
        <f>HYPERLINK("https://github.com/fatih/color", "https://github.com/fatih/color")</f>
        <v>https://github.com/fatih/color</v>
      </c>
      <c r="D159">
        <v>2920</v>
      </c>
      <c r="E159" t="s">
        <v>473</v>
      </c>
      <c r="F159" t="s">
        <v>474</v>
      </c>
      <c r="G159">
        <v>315</v>
      </c>
      <c r="H159" s="2">
        <v>41687.384432870371</v>
      </c>
      <c r="I159" s="2">
        <v>43579.218194444453</v>
      </c>
      <c r="J159" t="s">
        <v>475</v>
      </c>
    </row>
    <row r="160" spans="1:10" x14ac:dyDescent="0.15">
      <c r="A160">
        <v>19799491</v>
      </c>
      <c r="B160" s="3" t="str">
        <f>HYPERLINK("https://github.com/tendermint/tendermint", "https://github.com/tendermint/tendermint")</f>
        <v>https://github.com/tendermint/tendermint</v>
      </c>
      <c r="D160">
        <v>2895</v>
      </c>
      <c r="E160" t="s">
        <v>476</v>
      </c>
      <c r="F160" t="s">
        <v>477</v>
      </c>
      <c r="G160">
        <v>809</v>
      </c>
      <c r="H160" s="2">
        <v>41773.973321759258</v>
      </c>
      <c r="I160" s="2">
        <v>43580.446226851847</v>
      </c>
      <c r="J160" t="s">
        <v>478</v>
      </c>
    </row>
    <row r="161" spans="1:10" x14ac:dyDescent="0.15">
      <c r="A161">
        <v>115436884</v>
      </c>
      <c r="B161" s="3" t="str">
        <f>HYPERLINK("https://github.com/spiral/roadrunner", "https://github.com/spiral/roadrunner")</f>
        <v>https://github.com/spiral/roadrunner</v>
      </c>
      <c r="D161">
        <v>2853</v>
      </c>
      <c r="E161" t="s">
        <v>479</v>
      </c>
      <c r="F161" t="s">
        <v>480</v>
      </c>
      <c r="G161">
        <v>100</v>
      </c>
      <c r="H161" s="2">
        <v>43095.675810185188</v>
      </c>
      <c r="I161" s="2">
        <v>43580.246018518519</v>
      </c>
      <c r="J161" t="s">
        <v>481</v>
      </c>
    </row>
    <row r="162" spans="1:10" x14ac:dyDescent="0.15">
      <c r="A162">
        <v>70646781</v>
      </c>
      <c r="B162" s="3" t="str">
        <f>HYPERLINK("https://github.com/maxence-charriere/app", "https://github.com/maxence-charriere/app")</f>
        <v>https://github.com/maxence-charriere/app</v>
      </c>
      <c r="D162">
        <v>2842</v>
      </c>
      <c r="E162" t="s">
        <v>482</v>
      </c>
      <c r="F162" t="s">
        <v>483</v>
      </c>
      <c r="G162">
        <v>115</v>
      </c>
      <c r="H162" s="2">
        <v>42655.021909722222</v>
      </c>
      <c r="I162" s="2">
        <v>43579.338402777779</v>
      </c>
      <c r="J162" t="s">
        <v>484</v>
      </c>
    </row>
    <row r="163" spans="1:10" x14ac:dyDescent="0.15">
      <c r="A163">
        <v>32153390</v>
      </c>
      <c r="B163" s="3" t="str">
        <f>HYPERLINK("https://github.com/jung-kurt/gofpdf", "https://github.com/jung-kurt/gofpdf")</f>
        <v>https://github.com/jung-kurt/gofpdf</v>
      </c>
      <c r="D163">
        <v>2842</v>
      </c>
      <c r="E163" t="s">
        <v>485</v>
      </c>
      <c r="F163" t="s">
        <v>486</v>
      </c>
      <c r="G163">
        <v>251</v>
      </c>
      <c r="H163" s="2">
        <v>42076.498263888891</v>
      </c>
      <c r="I163" s="2">
        <v>43580.402488425927</v>
      </c>
      <c r="J163" t="s">
        <v>487</v>
      </c>
    </row>
    <row r="164" spans="1:10" x14ac:dyDescent="0.15">
      <c r="A164">
        <v>22603527</v>
      </c>
      <c r="B164" s="3" t="str">
        <f>HYPERLINK("https://github.com/name5566/leaf", "https://github.com/name5566/leaf")</f>
        <v>https://github.com/name5566/leaf</v>
      </c>
      <c r="D164">
        <v>2836</v>
      </c>
      <c r="E164" t="s">
        <v>488</v>
      </c>
      <c r="F164" t="s">
        <v>489</v>
      </c>
      <c r="G164">
        <v>789</v>
      </c>
      <c r="H164" s="2">
        <v>41855.527870370373</v>
      </c>
      <c r="I164" s="2">
        <v>43580.369016203702</v>
      </c>
      <c r="J164" t="s">
        <v>490</v>
      </c>
    </row>
    <row r="165" spans="1:10" x14ac:dyDescent="0.15">
      <c r="A165">
        <v>14410778</v>
      </c>
      <c r="B165" s="3" t="str">
        <f>HYPERLINK("https://github.com/bosun-monitor/bosun", "https://github.com/bosun-monitor/bosun")</f>
        <v>https://github.com/bosun-monitor/bosun</v>
      </c>
      <c r="D165">
        <v>2815</v>
      </c>
      <c r="E165" t="s">
        <v>491</v>
      </c>
      <c r="F165" t="s">
        <v>492</v>
      </c>
      <c r="G165">
        <v>473</v>
      </c>
      <c r="H165" s="2">
        <v>41593.008645833332</v>
      </c>
      <c r="I165" s="2">
        <v>43580.314212962963</v>
      </c>
      <c r="J165" t="s">
        <v>493</v>
      </c>
    </row>
    <row r="166" spans="1:10" x14ac:dyDescent="0.15">
      <c r="A166">
        <v>30828052</v>
      </c>
      <c r="B166" s="3" t="str">
        <f>HYPERLINK("https://github.com/yuin/gopher-lua", "https://github.com/yuin/gopher-lua")</f>
        <v>https://github.com/yuin/gopher-lua</v>
      </c>
      <c r="D166">
        <v>2766</v>
      </c>
      <c r="E166" t="s">
        <v>494</v>
      </c>
      <c r="F166" t="s">
        <v>495</v>
      </c>
      <c r="G166">
        <v>289</v>
      </c>
      <c r="H166" s="2">
        <v>42050.558067129627</v>
      </c>
      <c r="I166" s="2">
        <v>43580.546701388892</v>
      </c>
      <c r="J166" t="s">
        <v>496</v>
      </c>
    </row>
    <row r="167" spans="1:10" x14ac:dyDescent="0.15">
      <c r="A167">
        <v>30828052</v>
      </c>
      <c r="B167" s="3" t="str">
        <f>HYPERLINK("https://github.com/yuin/gopher-lua", "https://github.com/yuin/gopher-lua")</f>
        <v>https://github.com/yuin/gopher-lua</v>
      </c>
      <c r="D167">
        <v>2765</v>
      </c>
      <c r="E167" t="s">
        <v>494</v>
      </c>
      <c r="F167" t="s">
        <v>495</v>
      </c>
      <c r="G167">
        <v>289</v>
      </c>
      <c r="H167" s="2">
        <v>42050.558067129627</v>
      </c>
      <c r="I167" s="2">
        <v>43579.622245370367</v>
      </c>
      <c r="J167" t="s">
        <v>496</v>
      </c>
    </row>
    <row r="168" spans="1:10" x14ac:dyDescent="0.15">
      <c r="A168">
        <v>43268361</v>
      </c>
      <c r="B168" s="3" t="str">
        <f>HYPERLINK("https://github.com/cortesi/devd", "https://github.com/cortesi/devd")</f>
        <v>https://github.com/cortesi/devd</v>
      </c>
      <c r="D168">
        <v>2760</v>
      </c>
      <c r="E168" t="s">
        <v>497</v>
      </c>
      <c r="F168" t="s">
        <v>498</v>
      </c>
      <c r="G168">
        <v>117</v>
      </c>
      <c r="H168" s="2">
        <v>42274.946527777778</v>
      </c>
      <c r="I168" s="2">
        <v>43580.419270833343</v>
      </c>
      <c r="J168" t="s">
        <v>499</v>
      </c>
    </row>
    <row r="169" spans="1:10" x14ac:dyDescent="0.15">
      <c r="A169">
        <v>75190736</v>
      </c>
      <c r="B169" s="3" t="str">
        <f>HYPERLINK("https://github.com/github/orchestrator", "https://github.com/github/orchestrator")</f>
        <v>https://github.com/github/orchestrator</v>
      </c>
      <c r="D169">
        <v>2733</v>
      </c>
      <c r="E169" t="s">
        <v>500</v>
      </c>
      <c r="F169" t="s">
        <v>501</v>
      </c>
      <c r="G169">
        <v>393</v>
      </c>
      <c r="H169" s="2">
        <v>42704.572500000002</v>
      </c>
      <c r="I169" s="2">
        <v>43579.291666666657</v>
      </c>
      <c r="J169" t="s">
        <v>502</v>
      </c>
    </row>
    <row r="170" spans="1:10" x14ac:dyDescent="0.15">
      <c r="A170">
        <v>48060472</v>
      </c>
      <c r="B170" s="3" t="str">
        <f>HYPERLINK("https://github.com/nytimes/gizmo", "https://github.com/nytimes/gizmo")</f>
        <v>https://github.com/nytimes/gizmo</v>
      </c>
      <c r="D170">
        <v>2731</v>
      </c>
      <c r="E170" t="s">
        <v>503</v>
      </c>
      <c r="F170" t="s">
        <v>504</v>
      </c>
      <c r="G170">
        <v>174</v>
      </c>
      <c r="H170" s="2">
        <v>42353.756666666668</v>
      </c>
      <c r="I170" s="2">
        <v>43580.389548611107</v>
      </c>
      <c r="J170" t="s">
        <v>505</v>
      </c>
    </row>
    <row r="171" spans="1:10" x14ac:dyDescent="0.15">
      <c r="A171">
        <v>21677533</v>
      </c>
      <c r="B171" s="3" t="str">
        <f>HYPERLINK("https://github.com/go-macaron/macaron", "https://github.com/go-macaron/macaron")</f>
        <v>https://github.com/go-macaron/macaron</v>
      </c>
      <c r="D171">
        <v>2730</v>
      </c>
      <c r="E171" t="s">
        <v>506</v>
      </c>
      <c r="F171" t="s">
        <v>507</v>
      </c>
      <c r="G171">
        <v>245</v>
      </c>
      <c r="H171" s="2">
        <v>41830.134375000001</v>
      </c>
      <c r="I171" s="2">
        <v>43579.615810185183</v>
      </c>
      <c r="J171" t="s">
        <v>508</v>
      </c>
    </row>
    <row r="172" spans="1:10" x14ac:dyDescent="0.15">
      <c r="A172">
        <v>11388110</v>
      </c>
      <c r="B172" s="3" t="str">
        <f>HYPERLINK("https://github.com/googollee/go-socket.io", "https://github.com/googollee/go-socket.io")</f>
        <v>https://github.com/googollee/go-socket.io</v>
      </c>
      <c r="D172">
        <v>2729</v>
      </c>
      <c r="E172" t="s">
        <v>509</v>
      </c>
      <c r="F172" t="s">
        <v>510</v>
      </c>
      <c r="G172">
        <v>434</v>
      </c>
      <c r="H172" s="2">
        <v>41468.54488425926</v>
      </c>
      <c r="I172" s="2">
        <v>43580.410497685189</v>
      </c>
      <c r="J172" t="s">
        <v>511</v>
      </c>
    </row>
    <row r="173" spans="1:10" x14ac:dyDescent="0.15">
      <c r="A173">
        <v>28986292</v>
      </c>
      <c r="B173" s="3" t="str">
        <f>HYPERLINK("https://github.com/anacrolix/torrent", "https://github.com/anacrolix/torrent")</f>
        <v>https://github.com/anacrolix/torrent</v>
      </c>
      <c r="D173">
        <v>2676</v>
      </c>
      <c r="E173" t="s">
        <v>512</v>
      </c>
      <c r="F173" t="s">
        <v>513</v>
      </c>
      <c r="G173">
        <v>314</v>
      </c>
      <c r="H173" s="2">
        <v>42012.882430555554</v>
      </c>
      <c r="I173" s="2">
        <v>43579.897685185177</v>
      </c>
      <c r="J173" t="s">
        <v>514</v>
      </c>
    </row>
    <row r="174" spans="1:10" x14ac:dyDescent="0.15">
      <c r="A174">
        <v>33994380</v>
      </c>
      <c r="B174" s="3" t="str">
        <f>HYPERLINK("https://github.com/dvyukov/go-fuzz", "https://github.com/dvyukov/go-fuzz")</f>
        <v>https://github.com/dvyukov/go-fuzz</v>
      </c>
      <c r="D174">
        <v>2659</v>
      </c>
      <c r="E174" t="s">
        <v>515</v>
      </c>
      <c r="F174" t="s">
        <v>516</v>
      </c>
      <c r="G174">
        <v>147</v>
      </c>
      <c r="H174" s="2">
        <v>42109.547106481477</v>
      </c>
      <c r="I174" s="2">
        <v>43579.609791666669</v>
      </c>
      <c r="J174" t="s">
        <v>517</v>
      </c>
    </row>
    <row r="175" spans="1:10" x14ac:dyDescent="0.15">
      <c r="A175">
        <v>86164982</v>
      </c>
      <c r="B175" s="3" t="str">
        <f>HYPERLINK("https://github.com/gonum/gonum", "https://github.com/gonum/gonum")</f>
        <v>https://github.com/gonum/gonum</v>
      </c>
      <c r="D175">
        <v>2647</v>
      </c>
      <c r="E175" t="s">
        <v>518</v>
      </c>
      <c r="F175" t="s">
        <v>519</v>
      </c>
      <c r="G175">
        <v>194</v>
      </c>
      <c r="H175" s="2">
        <v>42819.62127314815</v>
      </c>
      <c r="I175" s="2">
        <v>43580.309814814813</v>
      </c>
      <c r="J175" t="s">
        <v>520</v>
      </c>
    </row>
    <row r="176" spans="1:10" x14ac:dyDescent="0.15">
      <c r="A176">
        <v>32351944</v>
      </c>
      <c r="B176" s="3" t="str">
        <f>HYPERLINK("https://github.com/google/gopacket", "https://github.com/google/gopacket")</f>
        <v>https://github.com/google/gopacket</v>
      </c>
      <c r="D176">
        <v>2644</v>
      </c>
      <c r="E176" t="s">
        <v>521</v>
      </c>
      <c r="F176" t="s">
        <v>522</v>
      </c>
      <c r="G176">
        <v>516</v>
      </c>
      <c r="H176" s="2">
        <v>42079.865277777782</v>
      </c>
      <c r="I176" s="2">
        <v>43580.430439814823</v>
      </c>
      <c r="J176" t="s">
        <v>523</v>
      </c>
    </row>
    <row r="177" spans="1:10" x14ac:dyDescent="0.15">
      <c r="A177">
        <v>14128006</v>
      </c>
      <c r="B177" s="3" t="str">
        <f>HYPERLINK("https://github.com/hashicorp/raft", "https://github.com/hashicorp/raft")</f>
        <v>https://github.com/hashicorp/raft</v>
      </c>
      <c r="D177">
        <v>2630</v>
      </c>
      <c r="E177" t="s">
        <v>524</v>
      </c>
      <c r="F177" t="s">
        <v>525</v>
      </c>
      <c r="G177">
        <v>330</v>
      </c>
      <c r="H177" s="2">
        <v>41583.028703703712</v>
      </c>
      <c r="I177" s="2">
        <v>43579.440138888887</v>
      </c>
      <c r="J177" t="s">
        <v>526</v>
      </c>
    </row>
    <row r="178" spans="1:10" x14ac:dyDescent="0.15">
      <c r="A178">
        <v>55637575</v>
      </c>
      <c r="B178" s="3" t="str">
        <f>HYPERLINK("https://github.com/lucas-clemente/quic-go", "https://github.com/lucas-clemente/quic-go")</f>
        <v>https://github.com/lucas-clemente/quic-go</v>
      </c>
      <c r="D178">
        <v>2619</v>
      </c>
      <c r="E178" t="s">
        <v>527</v>
      </c>
      <c r="F178" t="s">
        <v>528</v>
      </c>
      <c r="G178">
        <v>299</v>
      </c>
      <c r="H178" s="2">
        <v>42466.844756944447</v>
      </c>
      <c r="I178" s="2">
        <v>43580.108703703707</v>
      </c>
      <c r="J178" t="s">
        <v>529</v>
      </c>
    </row>
    <row r="179" spans="1:10" x14ac:dyDescent="0.15">
      <c r="A179">
        <v>9646845</v>
      </c>
      <c r="B179" s="3" t="str">
        <f>HYPERLINK("https://github.com/go-pg/pg", "https://github.com/go-pg/pg")</f>
        <v>https://github.com/go-pg/pg</v>
      </c>
      <c r="D179">
        <v>2602</v>
      </c>
      <c r="E179" t="s">
        <v>530</v>
      </c>
      <c r="F179" t="s">
        <v>531</v>
      </c>
      <c r="G179">
        <v>197</v>
      </c>
      <c r="H179" s="2">
        <v>41388.522002314807</v>
      </c>
      <c r="I179" s="2">
        <v>43580.554814814823</v>
      </c>
      <c r="J179" t="s">
        <v>532</v>
      </c>
    </row>
    <row r="180" spans="1:10" x14ac:dyDescent="0.15">
      <c r="A180">
        <v>27483832</v>
      </c>
      <c r="B180" s="3" t="str">
        <f>HYPERLINK("https://github.com/gogo/protobuf", "https://github.com/gogo/protobuf")</f>
        <v>https://github.com/gogo/protobuf</v>
      </c>
      <c r="D180">
        <v>2601</v>
      </c>
      <c r="E180" t="s">
        <v>305</v>
      </c>
      <c r="F180" t="s">
        <v>533</v>
      </c>
      <c r="G180">
        <v>350</v>
      </c>
      <c r="H180" s="2">
        <v>41976.477199074077</v>
      </c>
      <c r="I180" s="2">
        <v>43580.273009259261</v>
      </c>
      <c r="J180" t="s">
        <v>534</v>
      </c>
    </row>
    <row r="181" spans="1:10" x14ac:dyDescent="0.15">
      <c r="A181">
        <v>9646845</v>
      </c>
      <c r="B181" s="3" t="str">
        <f>HYPERLINK("https://github.com/go-pg/pg", "https://github.com/go-pg/pg")</f>
        <v>https://github.com/go-pg/pg</v>
      </c>
      <c r="D181">
        <v>2601</v>
      </c>
      <c r="E181" t="s">
        <v>530</v>
      </c>
      <c r="F181" t="s">
        <v>531</v>
      </c>
      <c r="G181">
        <v>197</v>
      </c>
      <c r="H181" s="2">
        <v>41388.522002314807</v>
      </c>
      <c r="I181" s="2">
        <v>43580.426793981482</v>
      </c>
      <c r="J181" t="s">
        <v>532</v>
      </c>
    </row>
    <row r="182" spans="1:10" x14ac:dyDescent="0.15">
      <c r="A182">
        <v>52319759</v>
      </c>
      <c r="B182" s="3" t="str">
        <f>HYPERLINK("https://github.com/gilbertchen/duplicacy", "https://github.com/gilbertchen/duplicacy")</f>
        <v>https://github.com/gilbertchen/duplicacy</v>
      </c>
      <c r="D182">
        <v>2595</v>
      </c>
      <c r="E182" t="s">
        <v>535</v>
      </c>
      <c r="F182" t="s">
        <v>536</v>
      </c>
      <c r="G182">
        <v>179</v>
      </c>
      <c r="H182" s="2">
        <v>42423.061226851853</v>
      </c>
      <c r="I182" s="2">
        <v>43580.52107638889</v>
      </c>
      <c r="J182" t="s">
        <v>537</v>
      </c>
    </row>
    <row r="183" spans="1:10" x14ac:dyDescent="0.15">
      <c r="A183">
        <v>3087541</v>
      </c>
      <c r="B183" s="3" t="str">
        <f>HYPERLINK("https://github.com/patrickmn/go-cache", "https://github.com/patrickmn/go-cache")</f>
        <v>https://github.com/patrickmn/go-cache</v>
      </c>
      <c r="D183">
        <v>2581</v>
      </c>
      <c r="E183" t="s">
        <v>538</v>
      </c>
      <c r="F183" t="s">
        <v>539</v>
      </c>
      <c r="G183">
        <v>377</v>
      </c>
      <c r="H183" s="2">
        <v>40910.546678240738</v>
      </c>
      <c r="I183" s="2">
        <v>43580.197557870371</v>
      </c>
      <c r="J183" t="s">
        <v>540</v>
      </c>
    </row>
    <row r="184" spans="1:10" x14ac:dyDescent="0.15">
      <c r="A184">
        <v>8425622</v>
      </c>
      <c r="B184" s="3" t="str">
        <f>HYPERLINK("https://github.com/BurntSushi/toml", "https://github.com/BurntSushi/toml")</f>
        <v>https://github.com/BurntSushi/toml</v>
      </c>
      <c r="D184">
        <v>2577</v>
      </c>
      <c r="E184" t="s">
        <v>541</v>
      </c>
      <c r="F184" t="s">
        <v>542</v>
      </c>
      <c r="G184">
        <v>322</v>
      </c>
      <c r="H184" s="2">
        <v>41331.212361111109</v>
      </c>
      <c r="I184" s="2">
        <v>43580.447523148148</v>
      </c>
      <c r="J184" t="s">
        <v>543</v>
      </c>
    </row>
    <row r="185" spans="1:10" x14ac:dyDescent="0.15">
      <c r="A185">
        <v>71253874</v>
      </c>
      <c r="B185" s="3" t="str">
        <f>HYPERLINK("https://github.com/graph-gophers/graphql-go", "https://github.com/graph-gophers/graphql-go")</f>
        <v>https://github.com/graph-gophers/graphql-go</v>
      </c>
      <c r="D185">
        <v>2551</v>
      </c>
      <c r="E185" t="s">
        <v>544</v>
      </c>
      <c r="F185" t="s">
        <v>545</v>
      </c>
      <c r="G185">
        <v>246</v>
      </c>
      <c r="H185" s="2">
        <v>42661.58152777778</v>
      </c>
      <c r="I185" s="2">
        <v>43580.482187499998</v>
      </c>
      <c r="J185" t="s">
        <v>546</v>
      </c>
    </row>
    <row r="186" spans="1:10" x14ac:dyDescent="0.15">
      <c r="A186">
        <v>68251076</v>
      </c>
      <c r="B186" s="3" t="str">
        <f>HYPERLINK("https://github.com/gorgonia/gorgonia", "https://github.com/gorgonia/gorgonia")</f>
        <v>https://github.com/gorgonia/gorgonia</v>
      </c>
      <c r="D186">
        <v>2541</v>
      </c>
      <c r="E186" t="s">
        <v>547</v>
      </c>
      <c r="F186" t="s">
        <v>548</v>
      </c>
      <c r="G186">
        <v>241</v>
      </c>
      <c r="H186" s="2">
        <v>42627.972025462957</v>
      </c>
      <c r="I186" s="2">
        <v>43579.986747685187</v>
      </c>
      <c r="J186" t="s">
        <v>549</v>
      </c>
    </row>
    <row r="187" spans="1:10" x14ac:dyDescent="0.15">
      <c r="A187">
        <v>81355383</v>
      </c>
      <c r="B187" s="3" t="str">
        <f>HYPERLINK("https://github.com/mongodb/mongo-go-driver", "https://github.com/mongodb/mongo-go-driver")</f>
        <v>https://github.com/mongodb/mongo-go-driver</v>
      </c>
      <c r="D187">
        <v>2487</v>
      </c>
      <c r="E187" t="s">
        <v>550</v>
      </c>
      <c r="F187" t="s">
        <v>551</v>
      </c>
      <c r="G187">
        <v>249</v>
      </c>
      <c r="H187" s="2">
        <v>42774.720856481479</v>
      </c>
      <c r="I187" s="2">
        <v>43580.431944444441</v>
      </c>
      <c r="J187" t="s">
        <v>552</v>
      </c>
    </row>
    <row r="188" spans="1:10" x14ac:dyDescent="0.15">
      <c r="A188">
        <v>89053951</v>
      </c>
      <c r="B188" s="3" t="str">
        <f>HYPERLINK("https://github.com/asticode/go-astilectron", "https://github.com/asticode/go-astilectron")</f>
        <v>https://github.com/asticode/go-astilectron</v>
      </c>
      <c r="D188">
        <v>2463</v>
      </c>
      <c r="E188" t="s">
        <v>553</v>
      </c>
      <c r="F188" t="s">
        <v>554</v>
      </c>
      <c r="G188">
        <v>158</v>
      </c>
      <c r="H188" s="2">
        <v>42847.332812499997</v>
      </c>
      <c r="I188" s="2">
        <v>43579.13753472222</v>
      </c>
      <c r="J188" t="s">
        <v>555</v>
      </c>
    </row>
    <row r="189" spans="1:10" x14ac:dyDescent="0.15">
      <c r="A189">
        <v>13512328</v>
      </c>
      <c r="B189" s="3" t="str">
        <f>HYPERLINK("https://github.com/coreos/fleet", "https://github.com/coreos/fleet")</f>
        <v>https://github.com/coreos/fleet</v>
      </c>
      <c r="D189">
        <v>2454</v>
      </c>
      <c r="E189" t="s">
        <v>556</v>
      </c>
      <c r="F189" t="s">
        <v>557</v>
      </c>
      <c r="G189">
        <v>310</v>
      </c>
      <c r="H189" s="2">
        <v>41558.997662037043</v>
      </c>
      <c r="I189" s="2">
        <v>43572.363287037027</v>
      </c>
      <c r="J189" t="s">
        <v>558</v>
      </c>
    </row>
    <row r="190" spans="1:10" x14ac:dyDescent="0.15">
      <c r="A190">
        <v>31673858</v>
      </c>
      <c r="B190" s="3" t="str">
        <f>HYPERLINK("https://github.com/h2non/imaginary", "https://github.com/h2non/imaginary")</f>
        <v>https://github.com/h2non/imaginary</v>
      </c>
      <c r="D190">
        <v>2424</v>
      </c>
      <c r="E190" t="s">
        <v>559</v>
      </c>
      <c r="F190" t="s">
        <v>560</v>
      </c>
      <c r="G190">
        <v>252</v>
      </c>
      <c r="H190" s="2">
        <v>42067.785879629628</v>
      </c>
      <c r="I190" s="2">
        <v>43580.105787037042</v>
      </c>
      <c r="J190" t="s">
        <v>561</v>
      </c>
    </row>
    <row r="191" spans="1:10" x14ac:dyDescent="0.15">
      <c r="A191">
        <v>49353330</v>
      </c>
      <c r="B191" s="3" t="str">
        <f>HYPERLINK("https://github.com/fogleman/ln", "https://github.com/fogleman/ln")</f>
        <v>https://github.com/fogleman/ln</v>
      </c>
      <c r="D191">
        <v>2411</v>
      </c>
      <c r="E191" t="s">
        <v>562</v>
      </c>
      <c r="F191" t="s">
        <v>563</v>
      </c>
      <c r="G191">
        <v>84</v>
      </c>
      <c r="H191" s="2">
        <v>42379.186226851853</v>
      </c>
      <c r="I191" s="2">
        <v>43578.582800925928</v>
      </c>
      <c r="J191" t="s">
        <v>564</v>
      </c>
    </row>
    <row r="192" spans="1:10" x14ac:dyDescent="0.15">
      <c r="A192">
        <v>37393283</v>
      </c>
      <c r="B192" s="3" t="str">
        <f>HYPERLINK("https://github.com/chrislusf/glow", "https://github.com/chrislusf/glow")</f>
        <v>https://github.com/chrislusf/glow</v>
      </c>
      <c r="D192">
        <v>2410</v>
      </c>
      <c r="E192" t="s">
        <v>565</v>
      </c>
      <c r="F192" t="s">
        <v>566</v>
      </c>
      <c r="G192">
        <v>190</v>
      </c>
      <c r="H192" s="2">
        <v>42169.023472222223</v>
      </c>
      <c r="I192" s="2">
        <v>43579.585659722223</v>
      </c>
      <c r="J192" t="s">
        <v>567</v>
      </c>
    </row>
    <row r="193" spans="1:10" x14ac:dyDescent="0.15">
      <c r="A193">
        <v>19794451</v>
      </c>
      <c r="B193" s="3" t="str">
        <f>HYPERLINK("https://github.com/alecthomas/kingpin", "https://github.com/alecthomas/kingpin")</f>
        <v>https://github.com/alecthomas/kingpin</v>
      </c>
      <c r="D193">
        <v>2406</v>
      </c>
      <c r="E193" t="s">
        <v>568</v>
      </c>
      <c r="F193" t="s">
        <v>569</v>
      </c>
      <c r="G193">
        <v>179</v>
      </c>
      <c r="H193" s="2">
        <v>41773.839629629627</v>
      </c>
      <c r="I193" s="2">
        <v>43578.430972222217</v>
      </c>
      <c r="J193" t="s">
        <v>570</v>
      </c>
    </row>
    <row r="194" spans="1:10" x14ac:dyDescent="0.15">
      <c r="A194">
        <v>86312092</v>
      </c>
      <c r="B194" s="3" t="str">
        <f>HYPERLINK("https://github.com/360EntSecGroup-Skylar/goreporter", "https://github.com/360EntSecGroup-Skylar/goreporter")</f>
        <v>https://github.com/360EntSecGroup-Skylar/goreporter</v>
      </c>
      <c r="D194">
        <v>2391</v>
      </c>
      <c r="E194" t="s">
        <v>571</v>
      </c>
      <c r="F194" t="s">
        <v>572</v>
      </c>
      <c r="G194">
        <v>176</v>
      </c>
      <c r="H194" s="2">
        <v>42821.365717592591</v>
      </c>
      <c r="I194" s="2">
        <v>43580.426759259259</v>
      </c>
      <c r="J194" t="s">
        <v>573</v>
      </c>
    </row>
    <row r="195" spans="1:10" x14ac:dyDescent="0.15">
      <c r="A195">
        <v>37334619</v>
      </c>
      <c r="B195" s="3" t="str">
        <f>HYPERLINK("https://github.com/golang/mock", "https://github.com/golang/mock")</f>
        <v>https://github.com/golang/mock</v>
      </c>
      <c r="D195">
        <v>2362</v>
      </c>
      <c r="E195" t="s">
        <v>574</v>
      </c>
      <c r="F195" t="s">
        <v>575</v>
      </c>
      <c r="G195">
        <v>236</v>
      </c>
      <c r="H195" s="2">
        <v>42167.718877314823</v>
      </c>
      <c r="I195" s="2">
        <v>43580.466967592591</v>
      </c>
      <c r="J195" t="s">
        <v>576</v>
      </c>
    </row>
    <row r="196" spans="1:10" x14ac:dyDescent="0.15">
      <c r="A196">
        <v>63731386</v>
      </c>
      <c r="B196" s="3" t="str">
        <f>HYPERLINK("https://github.com/tidwall/buntdb", "https://github.com/tidwall/buntdb")</f>
        <v>https://github.com/tidwall/buntdb</v>
      </c>
      <c r="D196">
        <v>2340</v>
      </c>
      <c r="E196" t="s">
        <v>577</v>
      </c>
      <c r="F196" t="s">
        <v>578</v>
      </c>
      <c r="G196">
        <v>166</v>
      </c>
      <c r="H196" s="2">
        <v>42570.924768518518</v>
      </c>
      <c r="I196" s="2">
        <v>43580.205937500003</v>
      </c>
      <c r="J196" t="s">
        <v>579</v>
      </c>
    </row>
    <row r="197" spans="1:10" x14ac:dyDescent="0.15">
      <c r="A197">
        <v>10296238</v>
      </c>
      <c r="B197" s="3" t="str">
        <f>HYPERLINK("https://github.com/HouzuoGuo/tiedot", "https://github.com/HouzuoGuo/tiedot")</f>
        <v>https://github.com/HouzuoGuo/tiedot</v>
      </c>
      <c r="D197">
        <v>2332</v>
      </c>
      <c r="E197" t="s">
        <v>580</v>
      </c>
      <c r="F197" t="s">
        <v>581</v>
      </c>
      <c r="G197">
        <v>228</v>
      </c>
      <c r="H197" s="2">
        <v>41420.419317129628</v>
      </c>
      <c r="I197" s="2">
        <v>43579.603472222218</v>
      </c>
      <c r="J197" t="s">
        <v>582</v>
      </c>
    </row>
    <row r="198" spans="1:10" x14ac:dyDescent="0.15">
      <c r="A198">
        <v>103115906</v>
      </c>
      <c r="B198" s="3" t="str">
        <f>HYPERLINK("https://github.com/b3log/pipe", "https://github.com/b3log/pipe")</f>
        <v>https://github.com/b3log/pipe</v>
      </c>
      <c r="D198">
        <v>2320</v>
      </c>
      <c r="E198" t="s">
        <v>583</v>
      </c>
      <c r="F198" t="s">
        <v>584</v>
      </c>
      <c r="G198">
        <v>344</v>
      </c>
      <c r="H198" s="2">
        <v>42989.390138888892</v>
      </c>
      <c r="I198" s="2">
        <v>43580.526192129633</v>
      </c>
      <c r="J198" t="s">
        <v>585</v>
      </c>
    </row>
    <row r="199" spans="1:10" x14ac:dyDescent="0.15">
      <c r="A199">
        <v>2823239</v>
      </c>
      <c r="B199" s="3" t="str">
        <f>HYPERLINK("https://github.com/rcrowley/go-metrics", "https://github.com/rcrowley/go-metrics")</f>
        <v>https://github.com/rcrowley/go-metrics</v>
      </c>
      <c r="D199">
        <v>2310</v>
      </c>
      <c r="E199" t="s">
        <v>586</v>
      </c>
      <c r="F199" t="s">
        <v>587</v>
      </c>
      <c r="G199">
        <v>388</v>
      </c>
      <c r="H199" s="2">
        <v>40868.899409722217</v>
      </c>
      <c r="I199" s="2">
        <v>43579.342997685177</v>
      </c>
      <c r="J199" t="s">
        <v>588</v>
      </c>
    </row>
    <row r="200" spans="1:10" x14ac:dyDescent="0.15">
      <c r="A200">
        <v>7042338</v>
      </c>
      <c r="B200" s="3" t="str">
        <f>HYPERLINK("https://github.com/disintegration/imaging", "https://github.com/disintegration/imaging")</f>
        <v>https://github.com/disintegration/imaging</v>
      </c>
      <c r="D200">
        <v>2309</v>
      </c>
      <c r="E200" t="s">
        <v>589</v>
      </c>
      <c r="F200" t="s">
        <v>590</v>
      </c>
      <c r="G200">
        <v>216</v>
      </c>
      <c r="H200" s="2">
        <v>41249.84815972222</v>
      </c>
      <c r="I200" s="2">
        <v>43579.400775462957</v>
      </c>
      <c r="J200" t="s">
        <v>591</v>
      </c>
    </row>
    <row r="201" spans="1:10" x14ac:dyDescent="0.15">
      <c r="A201">
        <v>22774923</v>
      </c>
      <c r="B201" s="3" t="str">
        <f>HYPERLINK("https://github.com/mattes/migrate", "https://github.com/mattes/migrate")</f>
        <v>https://github.com/mattes/migrate</v>
      </c>
      <c r="D201">
        <v>2299</v>
      </c>
      <c r="E201" t="s">
        <v>592</v>
      </c>
      <c r="F201" t="s">
        <v>593</v>
      </c>
      <c r="G201">
        <v>337</v>
      </c>
      <c r="H201" s="2">
        <v>41860.000879629632</v>
      </c>
      <c r="I201" s="2">
        <v>43578.387106481481</v>
      </c>
      <c r="J201" t="s">
        <v>594</v>
      </c>
    </row>
    <row r="202" spans="1:10" x14ac:dyDescent="0.15">
      <c r="A202">
        <v>10081171</v>
      </c>
      <c r="B202" s="3" t="str">
        <f>HYPERLINK("https://github.com/gpmgo/gopm", "https://github.com/gpmgo/gopm")</f>
        <v>https://github.com/gpmgo/gopm</v>
      </c>
      <c r="D202">
        <v>2239</v>
      </c>
      <c r="E202" t="s">
        <v>595</v>
      </c>
      <c r="F202" t="s">
        <v>596</v>
      </c>
      <c r="G202">
        <v>185</v>
      </c>
      <c r="H202" s="2">
        <v>41409.620474537027</v>
      </c>
      <c r="I202" s="2">
        <v>43580.28837962963</v>
      </c>
      <c r="J202" t="s">
        <v>597</v>
      </c>
    </row>
    <row r="203" spans="1:10" x14ac:dyDescent="0.15">
      <c r="A203">
        <v>5425992</v>
      </c>
      <c r="B203" s="3" t="str">
        <f>HYPERLINK("https://github.com/nats-io/go-nats", "https://github.com/nats-io/go-nats")</f>
        <v>https://github.com/nats-io/go-nats</v>
      </c>
      <c r="D203">
        <v>2227</v>
      </c>
      <c r="E203" t="s">
        <v>598</v>
      </c>
      <c r="F203" t="s">
        <v>599</v>
      </c>
      <c r="G203">
        <v>296</v>
      </c>
      <c r="H203" s="2">
        <v>41136.538182870368</v>
      </c>
      <c r="I203" s="2">
        <v>43580.447592592587</v>
      </c>
      <c r="J203" t="s">
        <v>600</v>
      </c>
    </row>
    <row r="204" spans="1:10" x14ac:dyDescent="0.15">
      <c r="A204">
        <v>14179252</v>
      </c>
      <c r="B204" s="3" t="str">
        <f>HYPERLINK("https://github.com/kelseyhightower/envconfig", "https://github.com/kelseyhightower/envconfig")</f>
        <v>https://github.com/kelseyhightower/envconfig</v>
      </c>
      <c r="D204">
        <v>2217</v>
      </c>
      <c r="E204" t="s">
        <v>601</v>
      </c>
      <c r="F204" t="s">
        <v>602</v>
      </c>
      <c r="G204">
        <v>197</v>
      </c>
      <c r="H204" s="2">
        <v>41584.709664351853</v>
      </c>
      <c r="I204" s="2">
        <v>43580.513460648152</v>
      </c>
      <c r="J204" t="s">
        <v>603</v>
      </c>
    </row>
    <row r="205" spans="1:10" x14ac:dyDescent="0.15">
      <c r="A205">
        <v>74203833</v>
      </c>
      <c r="B205" s="3" t="str">
        <f>HYPERLINK("https://github.com/faiface/pixel", "https://github.com/faiface/pixel")</f>
        <v>https://github.com/faiface/pixel</v>
      </c>
      <c r="D205">
        <v>2217</v>
      </c>
      <c r="E205" t="s">
        <v>604</v>
      </c>
      <c r="F205" t="s">
        <v>605</v>
      </c>
      <c r="G205">
        <v>127</v>
      </c>
      <c r="H205" s="2">
        <v>42693.469143518523</v>
      </c>
      <c r="I205" s="2">
        <v>43580.511944444443</v>
      </c>
      <c r="J205" t="s">
        <v>606</v>
      </c>
    </row>
    <row r="206" spans="1:10" x14ac:dyDescent="0.15">
      <c r="A206">
        <v>18765044</v>
      </c>
      <c r="B206" s="3" t="str">
        <f>HYPERLINK("https://github.com/golang/oauth2", "https://github.com/golang/oauth2")</f>
        <v>https://github.com/golang/oauth2</v>
      </c>
      <c r="D206">
        <v>2212</v>
      </c>
      <c r="E206" t="s">
        <v>607</v>
      </c>
      <c r="F206" t="s">
        <v>608</v>
      </c>
      <c r="G206">
        <v>503</v>
      </c>
      <c r="H206" s="2">
        <v>41743.630266203712</v>
      </c>
      <c r="I206" s="2">
        <v>43580.536006944443</v>
      </c>
      <c r="J206" t="s">
        <v>609</v>
      </c>
    </row>
    <row r="207" spans="1:10" x14ac:dyDescent="0.15">
      <c r="A207">
        <v>29778781</v>
      </c>
      <c r="B207" s="3" t="str">
        <f>HYPERLINK("https://github.com/nlopes/slack", "https://github.com/nlopes/slack")</f>
        <v>https://github.com/nlopes/slack</v>
      </c>
      <c r="D207">
        <v>2204</v>
      </c>
      <c r="E207" t="s">
        <v>610</v>
      </c>
      <c r="F207" t="s">
        <v>611</v>
      </c>
      <c r="G207">
        <v>503</v>
      </c>
      <c r="H207" s="2">
        <v>42028.59652777778</v>
      </c>
      <c r="I207" s="2">
        <v>43580.33425925926</v>
      </c>
      <c r="J207" t="s">
        <v>612</v>
      </c>
    </row>
    <row r="208" spans="1:10" x14ac:dyDescent="0.15">
      <c r="A208">
        <v>11440704</v>
      </c>
      <c r="B208" s="3" t="str">
        <f>HYPERLINK("https://github.com/golang/glog", "https://github.com/golang/glog")</f>
        <v>https://github.com/golang/glog</v>
      </c>
      <c r="D208">
        <v>2193</v>
      </c>
      <c r="E208" t="s">
        <v>613</v>
      </c>
      <c r="F208" t="s">
        <v>614</v>
      </c>
      <c r="G208">
        <v>525</v>
      </c>
      <c r="H208" s="2">
        <v>41471.189629629633</v>
      </c>
      <c r="I208" s="2">
        <v>43580.531238425923</v>
      </c>
      <c r="J208" t="s">
        <v>615</v>
      </c>
    </row>
    <row r="209" spans="1:10" x14ac:dyDescent="0.15">
      <c r="A209">
        <v>16974335</v>
      </c>
      <c r="B209" s="3" t="str">
        <f>HYPERLINK("https://github.com/parnurzeal/gorequest", "https://github.com/parnurzeal/gorequest")</f>
        <v>https://github.com/parnurzeal/gorequest</v>
      </c>
      <c r="D209">
        <v>2192</v>
      </c>
      <c r="E209" t="s">
        <v>616</v>
      </c>
      <c r="F209" t="s">
        <v>617</v>
      </c>
      <c r="G209">
        <v>301</v>
      </c>
      <c r="H209" s="2">
        <v>41689.21292824074</v>
      </c>
      <c r="I209" s="2">
        <v>43580.310034722221</v>
      </c>
      <c r="J209" t="s">
        <v>618</v>
      </c>
    </row>
    <row r="210" spans="1:10" x14ac:dyDescent="0.15">
      <c r="A210">
        <v>55814200</v>
      </c>
      <c r="B210" s="3" t="str">
        <f>HYPERLINK("https://github.com/mholt/archiver", "https://github.com/mholt/archiver")</f>
        <v>https://github.com/mholt/archiver</v>
      </c>
      <c r="D210">
        <v>2188</v>
      </c>
      <c r="E210" t="s">
        <v>619</v>
      </c>
      <c r="F210" t="s">
        <v>620</v>
      </c>
      <c r="G210">
        <v>184</v>
      </c>
      <c r="H210" s="2">
        <v>42468.949247685188</v>
      </c>
      <c r="I210" s="2">
        <v>43580.341249999998</v>
      </c>
      <c r="J210" t="s">
        <v>621</v>
      </c>
    </row>
    <row r="211" spans="1:10" x14ac:dyDescent="0.15">
      <c r="A211">
        <v>11587044</v>
      </c>
      <c r="B211" s="3" t="str">
        <f>HYPERLINK("https://github.com/benmanns/goworker", "https://github.com/benmanns/goworker")</f>
        <v>https://github.com/benmanns/goworker</v>
      </c>
      <c r="D211">
        <v>2167</v>
      </c>
      <c r="E211" t="s">
        <v>622</v>
      </c>
      <c r="F211" t="s">
        <v>623</v>
      </c>
      <c r="G211">
        <v>192</v>
      </c>
      <c r="H211" s="2">
        <v>41477.711423611108</v>
      </c>
      <c r="I211" s="2">
        <v>43580.520682870367</v>
      </c>
      <c r="J211" t="s">
        <v>624</v>
      </c>
    </row>
    <row r="212" spans="1:10" x14ac:dyDescent="0.15">
      <c r="A212">
        <v>10166531</v>
      </c>
      <c r="B212" s="3" t="str">
        <f>HYPERLINK("https://github.com/mitchellh/mapstructure", "https://github.com/mitchellh/mapstructure")</f>
        <v>https://github.com/mitchellh/mapstructure</v>
      </c>
      <c r="D212">
        <v>2165</v>
      </c>
      <c r="E212" t="s">
        <v>625</v>
      </c>
      <c r="F212" t="s">
        <v>626</v>
      </c>
      <c r="G212">
        <v>251</v>
      </c>
      <c r="H212" s="2">
        <v>41414.225393518522</v>
      </c>
      <c r="I212" s="2">
        <v>43579.508946759262</v>
      </c>
      <c r="J212" t="s">
        <v>627</v>
      </c>
    </row>
    <row r="213" spans="1:10" x14ac:dyDescent="0.15">
      <c r="A213">
        <v>103995895</v>
      </c>
      <c r="B213" s="3" t="str">
        <f>HYPERLINK("https://github.com/hybridgroup/gocv", "https://github.com/hybridgroup/gocv")</f>
        <v>https://github.com/hybridgroup/gocv</v>
      </c>
      <c r="D213">
        <v>2162</v>
      </c>
      <c r="E213" t="s">
        <v>628</v>
      </c>
      <c r="F213" t="s">
        <v>629</v>
      </c>
      <c r="G213">
        <v>307</v>
      </c>
      <c r="H213" s="2">
        <v>42996.91269675926</v>
      </c>
      <c r="I213" s="2">
        <v>43580.402037037027</v>
      </c>
      <c r="J213" t="s">
        <v>630</v>
      </c>
    </row>
    <row r="214" spans="1:10" x14ac:dyDescent="0.15">
      <c r="A214">
        <v>100285497</v>
      </c>
      <c r="B214" s="3" t="str">
        <f>HYPERLINK("https://github.com/c-bata/go-prompt", "https://github.com/c-bata/go-prompt")</f>
        <v>https://github.com/c-bata/go-prompt</v>
      </c>
      <c r="D214">
        <v>2159</v>
      </c>
      <c r="E214" t="s">
        <v>631</v>
      </c>
      <c r="F214" t="s">
        <v>632</v>
      </c>
      <c r="G214">
        <v>98</v>
      </c>
      <c r="H214" s="2">
        <v>42961.66815972222</v>
      </c>
      <c r="I214" s="2">
        <v>43580.341516203713</v>
      </c>
      <c r="J214" t="s">
        <v>633</v>
      </c>
    </row>
    <row r="215" spans="1:10" x14ac:dyDescent="0.15">
      <c r="A215">
        <v>61661892</v>
      </c>
      <c r="B215" s="3" t="str">
        <f>HYPERLINK("https://github.com/mehrdadrad/mylg", "https://github.com/mehrdadrad/mylg")</f>
        <v>https://github.com/mehrdadrad/mylg</v>
      </c>
      <c r="D215">
        <v>2152</v>
      </c>
      <c r="E215" t="s">
        <v>634</v>
      </c>
      <c r="F215" t="s">
        <v>635</v>
      </c>
      <c r="G215">
        <v>182</v>
      </c>
      <c r="H215" s="2">
        <v>42542.819421296299</v>
      </c>
      <c r="I215" s="2">
        <v>43579.554131944453</v>
      </c>
      <c r="J215" t="s">
        <v>636</v>
      </c>
    </row>
    <row r="216" spans="1:10" x14ac:dyDescent="0.15">
      <c r="A216">
        <v>29291158</v>
      </c>
      <c r="B216" s="3" t="str">
        <f>HYPERLINK("https://github.com/siddontang/go-mysql-elasticsearch", "https://github.com/siddontang/go-mysql-elasticsearch")</f>
        <v>https://github.com/siddontang/go-mysql-elasticsearch</v>
      </c>
      <c r="D216">
        <v>2148</v>
      </c>
      <c r="E216" t="s">
        <v>637</v>
      </c>
      <c r="F216" t="s">
        <v>638</v>
      </c>
      <c r="G216">
        <v>427</v>
      </c>
      <c r="H216" s="2">
        <v>42019.412708333337</v>
      </c>
      <c r="I216" s="2">
        <v>43580.358078703714</v>
      </c>
      <c r="J216" t="s">
        <v>639</v>
      </c>
    </row>
    <row r="217" spans="1:10" x14ac:dyDescent="0.15">
      <c r="A217">
        <v>42573170</v>
      </c>
      <c r="B217" s="3" t="str">
        <f>HYPERLINK("https://github.com/gernest/utron", "https://github.com/gernest/utron")</f>
        <v>https://github.com/gernest/utron</v>
      </c>
      <c r="D217">
        <v>2126</v>
      </c>
      <c r="E217" t="s">
        <v>640</v>
      </c>
      <c r="F217" t="s">
        <v>641</v>
      </c>
      <c r="G217">
        <v>143</v>
      </c>
      <c r="H217" s="2">
        <v>42263.33048611111</v>
      </c>
      <c r="I217" s="2">
        <v>43579.487939814811</v>
      </c>
      <c r="J217" t="s">
        <v>642</v>
      </c>
    </row>
    <row r="218" spans="1:10" x14ac:dyDescent="0.15">
      <c r="A218">
        <v>25225549</v>
      </c>
      <c r="B218" s="3" t="str">
        <f>HYPERLINK("https://github.com/markbates/goth", "https://github.com/markbates/goth")</f>
        <v>https://github.com/markbates/goth</v>
      </c>
      <c r="D218">
        <v>2123</v>
      </c>
      <c r="E218" t="s">
        <v>643</v>
      </c>
      <c r="F218" t="s">
        <v>644</v>
      </c>
      <c r="G218">
        <v>248</v>
      </c>
      <c r="H218" s="2">
        <v>41926.859861111108</v>
      </c>
      <c r="I218" s="2">
        <v>43580.310416666667</v>
      </c>
      <c r="J218" t="s">
        <v>645</v>
      </c>
    </row>
    <row r="219" spans="1:10" x14ac:dyDescent="0.15">
      <c r="A219">
        <v>16019737</v>
      </c>
      <c r="B219" s="3" t="str">
        <f>HYPERLINK("https://github.com/Masterminds/squirrel", "https://github.com/Masterminds/squirrel")</f>
        <v>https://github.com/Masterminds/squirrel</v>
      </c>
      <c r="D219">
        <v>2060</v>
      </c>
      <c r="E219" t="s">
        <v>646</v>
      </c>
      <c r="F219" t="s">
        <v>647</v>
      </c>
      <c r="G219">
        <v>177</v>
      </c>
      <c r="H219" s="2">
        <v>41657.229143518518</v>
      </c>
      <c r="I219" s="2">
        <v>43580.325879629629</v>
      </c>
      <c r="J219" t="s">
        <v>648</v>
      </c>
    </row>
    <row r="220" spans="1:10" x14ac:dyDescent="0.15">
      <c r="A220">
        <v>5277074</v>
      </c>
      <c r="B220" s="3" t="str">
        <f>HYPERLINK("https://github.com/nfnt/resize", "https://github.com/nfnt/resize")</f>
        <v>https://github.com/nfnt/resize</v>
      </c>
      <c r="D220">
        <v>2060</v>
      </c>
      <c r="E220" t="s">
        <v>649</v>
      </c>
      <c r="F220" t="s">
        <v>650</v>
      </c>
      <c r="G220">
        <v>194</v>
      </c>
      <c r="H220" s="2">
        <v>41123.825300925928</v>
      </c>
      <c r="I220" s="2">
        <v>43579.613946759258</v>
      </c>
      <c r="J220" t="s">
        <v>651</v>
      </c>
    </row>
    <row r="221" spans="1:10" x14ac:dyDescent="0.15">
      <c r="A221">
        <v>14489838</v>
      </c>
      <c r="B221" s="3" t="str">
        <f>HYPERLINK("https://github.com/jinzhu/now", "https://github.com/jinzhu/now")</f>
        <v>https://github.com/jinzhu/now</v>
      </c>
      <c r="D221">
        <v>2054</v>
      </c>
      <c r="E221" t="s">
        <v>652</v>
      </c>
      <c r="F221" t="s">
        <v>653</v>
      </c>
      <c r="G221">
        <v>120</v>
      </c>
      <c r="H221" s="2">
        <v>41596.455208333333</v>
      </c>
      <c r="I221" s="2">
        <v>43580.342812499999</v>
      </c>
      <c r="J221" t="s">
        <v>654</v>
      </c>
    </row>
    <row r="222" spans="1:10" x14ac:dyDescent="0.15">
      <c r="A222">
        <v>52193726</v>
      </c>
      <c r="B222" s="3" t="str">
        <f>HYPERLINK("https://github.com/volatiletech/sqlboiler", "https://github.com/volatiletech/sqlboiler")</f>
        <v>https://github.com/volatiletech/sqlboiler</v>
      </c>
      <c r="D222">
        <v>2050</v>
      </c>
      <c r="E222" t="s">
        <v>655</v>
      </c>
      <c r="F222" t="s">
        <v>656</v>
      </c>
      <c r="G222">
        <v>193</v>
      </c>
      <c r="H222" s="2">
        <v>42421.262789351851</v>
      </c>
      <c r="I222" s="2">
        <v>43580.079224537039</v>
      </c>
      <c r="J222" t="s">
        <v>657</v>
      </c>
    </row>
    <row r="223" spans="1:10" x14ac:dyDescent="0.15">
      <c r="A223">
        <v>25872841</v>
      </c>
      <c r="B223" s="3" t="str">
        <f>HYPERLINK("https://github.com/spf13/afero", "https://github.com/spf13/afero")</f>
        <v>https://github.com/spf13/afero</v>
      </c>
      <c r="D223">
        <v>2047</v>
      </c>
      <c r="E223" t="s">
        <v>658</v>
      </c>
      <c r="F223" t="s">
        <v>659</v>
      </c>
      <c r="G223">
        <v>207</v>
      </c>
      <c r="H223" s="2">
        <v>41940.596585648149</v>
      </c>
      <c r="I223" s="2">
        <v>43579.22415509259</v>
      </c>
      <c r="J223" t="s">
        <v>660</v>
      </c>
    </row>
    <row r="224" spans="1:10" x14ac:dyDescent="0.15">
      <c r="A224">
        <v>51139948</v>
      </c>
      <c r="B224" s="3" t="str">
        <f>HYPERLINK("https://github.com/xo/xo", "https://github.com/xo/xo")</f>
        <v>https://github.com/xo/xo</v>
      </c>
      <c r="D224">
        <v>2045</v>
      </c>
      <c r="E224" t="s">
        <v>661</v>
      </c>
      <c r="F224" t="s">
        <v>662</v>
      </c>
      <c r="G224">
        <v>181</v>
      </c>
      <c r="H224" s="2">
        <v>42405.432175925933</v>
      </c>
      <c r="I224" s="2">
        <v>43580.282337962963</v>
      </c>
      <c r="J224" t="s">
        <v>663</v>
      </c>
    </row>
    <row r="225" spans="1:10" x14ac:dyDescent="0.15">
      <c r="A225">
        <v>100868808</v>
      </c>
      <c r="B225" s="3" t="str">
        <f>HYPERLINK("https://github.com/Humpheh/goboy", "https://github.com/Humpheh/goboy")</f>
        <v>https://github.com/Humpheh/goboy</v>
      </c>
      <c r="D225">
        <v>2027</v>
      </c>
      <c r="E225" t="s">
        <v>664</v>
      </c>
      <c r="F225" t="s">
        <v>665</v>
      </c>
      <c r="G225">
        <v>79</v>
      </c>
      <c r="H225" s="2">
        <v>42967.624363425923</v>
      </c>
      <c r="I225" s="2">
        <v>43579.928981481477</v>
      </c>
      <c r="J225" t="s">
        <v>666</v>
      </c>
    </row>
    <row r="226" spans="1:10" x14ac:dyDescent="0.15">
      <c r="A226">
        <v>37511821</v>
      </c>
      <c r="B226" s="3" t="str">
        <f>HYPERLINK("https://github.com/xtaci/kcp-go", "https://github.com/xtaci/kcp-go")</f>
        <v>https://github.com/xtaci/kcp-go</v>
      </c>
      <c r="D226">
        <v>2018</v>
      </c>
      <c r="E226" t="s">
        <v>667</v>
      </c>
      <c r="F226" t="s">
        <v>668</v>
      </c>
      <c r="G226">
        <v>369</v>
      </c>
      <c r="H226" s="2">
        <v>42171.261053240742</v>
      </c>
      <c r="I226" s="2">
        <v>43580.346701388888</v>
      </c>
      <c r="J226" t="s">
        <v>669</v>
      </c>
    </row>
    <row r="227" spans="1:10" x14ac:dyDescent="0.15">
      <c r="A227">
        <v>74436942</v>
      </c>
      <c r="B227" s="3" t="str">
        <f>HYPERLINK("https://github.com/prest/prest", "https://github.com/prest/prest")</f>
        <v>https://github.com/prest/prest</v>
      </c>
      <c r="D227">
        <v>2008</v>
      </c>
      <c r="E227" t="s">
        <v>670</v>
      </c>
      <c r="F227" t="s">
        <v>671</v>
      </c>
      <c r="G227">
        <v>106</v>
      </c>
      <c r="H227" s="2">
        <v>42696.220196759263</v>
      </c>
      <c r="I227" s="2">
        <v>43579.628009259257</v>
      </c>
      <c r="J227" t="s">
        <v>672</v>
      </c>
    </row>
    <row r="228" spans="1:10" x14ac:dyDescent="0.15">
      <c r="A228">
        <v>54539060</v>
      </c>
      <c r="B228" s="3" t="str">
        <f>HYPERLINK("https://github.com/allegro/bigcache", "https://github.com/allegro/bigcache")</f>
        <v>https://github.com/allegro/bigcache</v>
      </c>
      <c r="D228">
        <v>2003</v>
      </c>
      <c r="E228" t="s">
        <v>673</v>
      </c>
      <c r="F228" t="s">
        <v>674</v>
      </c>
      <c r="G228">
        <v>163</v>
      </c>
      <c r="H228" s="2">
        <v>42452.304768518523</v>
      </c>
      <c r="I228" s="2">
        <v>43580.367384259262</v>
      </c>
      <c r="J228" t="s">
        <v>675</v>
      </c>
    </row>
    <row r="229" spans="1:10" x14ac:dyDescent="0.15">
      <c r="A229">
        <v>118105436</v>
      </c>
      <c r="B229" s="3" t="str">
        <f>HYPERLINK("https://github.com/golang-migrate/migrate", "https://github.com/golang-migrate/migrate")</f>
        <v>https://github.com/golang-migrate/migrate</v>
      </c>
      <c r="D229">
        <v>2001</v>
      </c>
      <c r="E229" t="s">
        <v>592</v>
      </c>
      <c r="F229" t="s">
        <v>593</v>
      </c>
      <c r="G229">
        <v>199</v>
      </c>
      <c r="H229" s="2">
        <v>43119.396504629629</v>
      </c>
      <c r="I229" s="2">
        <v>43580.292407407411</v>
      </c>
      <c r="J229" t="s">
        <v>676</v>
      </c>
    </row>
    <row r="230" spans="1:10" x14ac:dyDescent="0.15">
      <c r="A230">
        <v>49032710</v>
      </c>
      <c r="B230" s="3" t="str">
        <f>HYPERLINK("https://github.com/sideshow/apns2", "https://github.com/sideshow/apns2")</f>
        <v>https://github.com/sideshow/apns2</v>
      </c>
      <c r="D230">
        <v>1978</v>
      </c>
      <c r="E230" t="s">
        <v>677</v>
      </c>
      <c r="F230" t="s">
        <v>678</v>
      </c>
      <c r="G230">
        <v>205</v>
      </c>
      <c r="H230" s="2">
        <v>42374.039502314823</v>
      </c>
      <c r="I230" s="2">
        <v>43580.300185185188</v>
      </c>
      <c r="J230" t="s">
        <v>679</v>
      </c>
    </row>
    <row r="231" spans="1:10" x14ac:dyDescent="0.15">
      <c r="A231">
        <v>82319669</v>
      </c>
      <c r="B231" s="3" t="str">
        <f>HYPERLINK("https://github.com/jdkato/prose", "https://github.com/jdkato/prose")</f>
        <v>https://github.com/jdkato/prose</v>
      </c>
      <c r="D231">
        <v>1969</v>
      </c>
      <c r="E231" t="s">
        <v>680</v>
      </c>
      <c r="F231" t="s">
        <v>681</v>
      </c>
      <c r="G231">
        <v>92</v>
      </c>
      <c r="H231" s="2">
        <v>42783.714143518519</v>
      </c>
      <c r="I231" s="2">
        <v>43579.958368055559</v>
      </c>
      <c r="J231" t="s">
        <v>682</v>
      </c>
    </row>
    <row r="232" spans="1:10" x14ac:dyDescent="0.15">
      <c r="A232">
        <v>64680737</v>
      </c>
      <c r="B232" s="3" t="str">
        <f>HYPERLINK("https://github.com/anthonynsimon/bild", "https://github.com/anthonynsimon/bild")</f>
        <v>https://github.com/anthonynsimon/bild</v>
      </c>
      <c r="D232">
        <v>1961</v>
      </c>
      <c r="E232" t="s">
        <v>683</v>
      </c>
      <c r="F232" t="s">
        <v>684</v>
      </c>
      <c r="G232">
        <v>94</v>
      </c>
      <c r="H232" s="2">
        <v>42583.662835648152</v>
      </c>
      <c r="I232" s="2">
        <v>43580.394062500003</v>
      </c>
      <c r="J232" t="s">
        <v>685</v>
      </c>
    </row>
    <row r="233" spans="1:10" x14ac:dyDescent="0.15">
      <c r="A233">
        <v>7344683</v>
      </c>
      <c r="B233" s="3" t="str">
        <f>HYPERLINK("https://github.com/ChimeraCoder/gojson", "https://github.com/ChimeraCoder/gojson")</f>
        <v>https://github.com/ChimeraCoder/gojson</v>
      </c>
      <c r="D233">
        <v>1960</v>
      </c>
      <c r="E233" t="s">
        <v>686</v>
      </c>
      <c r="F233" t="s">
        <v>687</v>
      </c>
      <c r="G233">
        <v>132</v>
      </c>
      <c r="H233" s="2">
        <v>41270.799189814818</v>
      </c>
      <c r="I233" s="2">
        <v>43578.482951388891</v>
      </c>
      <c r="J233" t="s">
        <v>688</v>
      </c>
    </row>
    <row r="234" spans="1:10" x14ac:dyDescent="0.15">
      <c r="A234">
        <v>49927767</v>
      </c>
      <c r="B234" s="3" t="str">
        <f>HYPERLINK("https://github.com/cweill/gotests", "https://github.com/cweill/gotests")</f>
        <v>https://github.com/cweill/gotests</v>
      </c>
      <c r="D234">
        <v>1959</v>
      </c>
      <c r="E234" t="s">
        <v>689</v>
      </c>
      <c r="F234" t="s">
        <v>690</v>
      </c>
      <c r="G234">
        <v>130</v>
      </c>
      <c r="H234" s="2">
        <v>42388.212523148148</v>
      </c>
      <c r="I234" s="2">
        <v>43580.535601851851</v>
      </c>
      <c r="J234" t="s">
        <v>691</v>
      </c>
    </row>
    <row r="235" spans="1:10" x14ac:dyDescent="0.15">
      <c r="A235">
        <v>31234749</v>
      </c>
      <c r="B235" s="3" t="str">
        <f>HYPERLINK("https://github.com/pressly/sup", "https://github.com/pressly/sup")</f>
        <v>https://github.com/pressly/sup</v>
      </c>
      <c r="D235">
        <v>1927</v>
      </c>
      <c r="E235" t="s">
        <v>692</v>
      </c>
      <c r="F235" t="s">
        <v>693</v>
      </c>
      <c r="G235">
        <v>112</v>
      </c>
      <c r="H235" s="2">
        <v>42058.961354166669</v>
      </c>
      <c r="I235" s="2">
        <v>43579.691770833328</v>
      </c>
      <c r="J235" t="s">
        <v>694</v>
      </c>
    </row>
    <row r="236" spans="1:10" x14ac:dyDescent="0.15">
      <c r="A236">
        <v>66631967</v>
      </c>
      <c r="B236" s="3" t="str">
        <f>HYPERLINK("https://github.com/chrislusf/gleam", "https://github.com/chrislusf/gleam")</f>
        <v>https://github.com/chrislusf/gleam</v>
      </c>
      <c r="D236">
        <v>1926</v>
      </c>
      <c r="E236" t="s">
        <v>695</v>
      </c>
      <c r="F236" t="s">
        <v>696</v>
      </c>
      <c r="G236">
        <v>169</v>
      </c>
      <c r="H236" s="2">
        <v>42608.364444444444</v>
      </c>
      <c r="I236" s="2">
        <v>43580.442395833343</v>
      </c>
      <c r="J236" t="s">
        <v>697</v>
      </c>
    </row>
    <row r="237" spans="1:10" x14ac:dyDescent="0.15">
      <c r="A237">
        <v>16514887</v>
      </c>
      <c r="B237" s="3" t="str">
        <f>HYPERLINK("https://github.com/rakyll/statik", "https://github.com/rakyll/statik")</f>
        <v>https://github.com/rakyll/statik</v>
      </c>
      <c r="D237">
        <v>1912</v>
      </c>
      <c r="E237" t="s">
        <v>698</v>
      </c>
      <c r="F237" t="s">
        <v>699</v>
      </c>
      <c r="G237">
        <v>115</v>
      </c>
      <c r="H237" s="2">
        <v>41674.621423611112</v>
      </c>
      <c r="I237" s="2">
        <v>43579.611493055563</v>
      </c>
      <c r="J237" t="s">
        <v>700</v>
      </c>
    </row>
    <row r="238" spans="1:10" x14ac:dyDescent="0.15">
      <c r="A238">
        <v>91054480</v>
      </c>
      <c r="B238" s="3" t="str">
        <f>HYPERLINK("https://github.com/rs/zerolog", "https://github.com/rs/zerolog")</f>
        <v>https://github.com/rs/zerolog</v>
      </c>
      <c r="D238">
        <v>1901</v>
      </c>
      <c r="E238" t="s">
        <v>701</v>
      </c>
      <c r="F238" t="s">
        <v>702</v>
      </c>
      <c r="G238">
        <v>134</v>
      </c>
      <c r="H238" s="2">
        <v>42867.225451388891</v>
      </c>
      <c r="I238" s="2">
        <v>43580.489918981482</v>
      </c>
      <c r="J238" t="s">
        <v>703</v>
      </c>
    </row>
    <row r="239" spans="1:10" x14ac:dyDescent="0.15">
      <c r="A239">
        <v>12933281</v>
      </c>
      <c r="B239" s="3" t="str">
        <f>HYPERLINK("https://github.com/go-qml/qml", "https://github.com/go-qml/qml")</f>
        <v>https://github.com/go-qml/qml</v>
      </c>
      <c r="D239">
        <v>1896</v>
      </c>
      <c r="E239" t="s">
        <v>704</v>
      </c>
      <c r="F239" t="s">
        <v>705</v>
      </c>
      <c r="G239">
        <v>190</v>
      </c>
      <c r="H239" s="2">
        <v>41535.83662037037</v>
      </c>
      <c r="I239" s="2">
        <v>43580.075509259259</v>
      </c>
      <c r="J239" t="s">
        <v>706</v>
      </c>
    </row>
    <row r="240" spans="1:10" x14ac:dyDescent="0.15">
      <c r="A240">
        <v>11759482</v>
      </c>
      <c r="B240" s="3" t="str">
        <f>HYPERLINK("https://github.com/joho/godotenv", "https://github.com/joho/godotenv")</f>
        <v>https://github.com/joho/godotenv</v>
      </c>
      <c r="D240">
        <v>1894</v>
      </c>
      <c r="E240" t="s">
        <v>707</v>
      </c>
      <c r="F240" t="s">
        <v>708</v>
      </c>
      <c r="G240">
        <v>106</v>
      </c>
      <c r="H240" s="2">
        <v>41485.323136574072</v>
      </c>
      <c r="I240" s="2">
        <v>43580.485231481478</v>
      </c>
      <c r="J240" t="s">
        <v>709</v>
      </c>
    </row>
    <row r="241" spans="1:10" x14ac:dyDescent="0.15">
      <c r="A241">
        <v>30167459</v>
      </c>
      <c r="B241" s="3" t="str">
        <f>HYPERLINK("https://github.com/maruel/panicparse", "https://github.com/maruel/panicparse")</f>
        <v>https://github.com/maruel/panicparse</v>
      </c>
      <c r="D241">
        <v>1847</v>
      </c>
      <c r="E241" t="s">
        <v>710</v>
      </c>
      <c r="F241" t="s">
        <v>711</v>
      </c>
      <c r="G241">
        <v>54</v>
      </c>
      <c r="H241" s="2">
        <v>42037.093530092592</v>
      </c>
      <c r="I241" s="2">
        <v>43579.364421296297</v>
      </c>
      <c r="J241" t="s">
        <v>712</v>
      </c>
    </row>
    <row r="242" spans="1:10" x14ac:dyDescent="0.15">
      <c r="A242">
        <v>28735637</v>
      </c>
      <c r="B242" s="3" t="str">
        <f>HYPERLINK("https://github.com/volatiletech/authboss", "https://github.com/volatiletech/authboss")</f>
        <v>https://github.com/volatiletech/authboss</v>
      </c>
      <c r="D242">
        <v>1819</v>
      </c>
      <c r="E242" t="s">
        <v>713</v>
      </c>
      <c r="F242" t="s">
        <v>714</v>
      </c>
      <c r="G242">
        <v>116</v>
      </c>
      <c r="H242" s="2">
        <v>42007.216689814813</v>
      </c>
      <c r="I242" s="2">
        <v>43580.492303240739</v>
      </c>
      <c r="J242" t="s">
        <v>715</v>
      </c>
    </row>
    <row r="243" spans="1:10" x14ac:dyDescent="0.15">
      <c r="A243">
        <v>27096595</v>
      </c>
      <c r="B243" s="3" t="str">
        <f>HYPERLINK("https://github.com/googleapis/google-api-go-client", "https://github.com/googleapis/google-api-go-client")</f>
        <v>https://github.com/googleapis/google-api-go-client</v>
      </c>
      <c r="D243">
        <v>1816</v>
      </c>
      <c r="E243" t="s">
        <v>716</v>
      </c>
      <c r="F243" t="s">
        <v>717</v>
      </c>
      <c r="G243">
        <v>480</v>
      </c>
      <c r="H243" s="2">
        <v>41967.906666666669</v>
      </c>
      <c r="I243" s="2">
        <v>43580.187245370369</v>
      </c>
      <c r="J243" t="s">
        <v>718</v>
      </c>
    </row>
    <row r="244" spans="1:10" x14ac:dyDescent="0.15">
      <c r="A244">
        <v>85126896</v>
      </c>
      <c r="B244" s="3" t="str">
        <f>HYPERLINK("https://github.com/gobuffalo/packr", "https://github.com/gobuffalo/packr")</f>
        <v>https://github.com/gobuffalo/packr</v>
      </c>
      <c r="D244">
        <v>1815</v>
      </c>
      <c r="E244" t="s">
        <v>719</v>
      </c>
      <c r="F244" t="s">
        <v>720</v>
      </c>
      <c r="G244">
        <v>87</v>
      </c>
      <c r="H244" s="2">
        <v>42809.933946759258</v>
      </c>
      <c r="I244" s="2">
        <v>43580.365601851852</v>
      </c>
      <c r="J244" t="s">
        <v>721</v>
      </c>
    </row>
    <row r="245" spans="1:10" x14ac:dyDescent="0.15">
      <c r="A245">
        <v>49766020</v>
      </c>
      <c r="B245" s="3" t="str">
        <f>HYPERLINK("https://github.com/mvdan/sh", "https://github.com/mvdan/sh")</f>
        <v>https://github.com/mvdan/sh</v>
      </c>
      <c r="D245">
        <v>1800</v>
      </c>
      <c r="E245" t="s">
        <v>722</v>
      </c>
      <c r="F245" t="s">
        <v>723</v>
      </c>
      <c r="G245">
        <v>75</v>
      </c>
      <c r="H245" s="2">
        <v>42385.360520833332</v>
      </c>
      <c r="I245" s="2">
        <v>43580.377800925933</v>
      </c>
      <c r="J245" t="s">
        <v>724</v>
      </c>
    </row>
    <row r="246" spans="1:10" x14ac:dyDescent="0.15">
      <c r="A246">
        <v>15470270</v>
      </c>
      <c r="B246" s="3" t="str">
        <f>HYPERLINK("https://github.com/Terry-Mao/gopush-cluster", "https://github.com/Terry-Mao/gopush-cluster")</f>
        <v>https://github.com/Terry-Mao/gopush-cluster</v>
      </c>
      <c r="D246">
        <v>1793</v>
      </c>
      <c r="E246" t="s">
        <v>725</v>
      </c>
      <c r="F246" t="s">
        <v>726</v>
      </c>
      <c r="G246">
        <v>528</v>
      </c>
      <c r="H246" s="2">
        <v>41635.372337962966</v>
      </c>
      <c r="I246" s="2">
        <v>43580.492303240739</v>
      </c>
      <c r="J246" t="s">
        <v>727</v>
      </c>
    </row>
    <row r="247" spans="1:10" x14ac:dyDescent="0.15">
      <c r="A247">
        <v>22931257</v>
      </c>
      <c r="B247" s="3" t="str">
        <f>HYPERLINK("https://github.com/intelsdi-x/snap", "https://github.com/intelsdi-x/snap")</f>
        <v>https://github.com/intelsdi-x/snap</v>
      </c>
      <c r="D247">
        <v>1791</v>
      </c>
      <c r="E247" t="s">
        <v>728</v>
      </c>
      <c r="F247" t="s">
        <v>729</v>
      </c>
      <c r="G247">
        <v>279</v>
      </c>
      <c r="H247" s="2">
        <v>41864.878368055557</v>
      </c>
      <c r="I247" s="2">
        <v>43578.124907407408</v>
      </c>
      <c r="J247" t="s">
        <v>730</v>
      </c>
    </row>
    <row r="248" spans="1:10" x14ac:dyDescent="0.15">
      <c r="A248">
        <v>54435102</v>
      </c>
      <c r="B248" s="3" t="str">
        <f>HYPERLINK("https://github.com/Jeffail/benthos", "https://github.com/Jeffail/benthos")</f>
        <v>https://github.com/Jeffail/benthos</v>
      </c>
      <c r="D248">
        <v>1789</v>
      </c>
      <c r="E248" t="s">
        <v>731</v>
      </c>
      <c r="F248" t="s">
        <v>732</v>
      </c>
      <c r="G248">
        <v>83</v>
      </c>
      <c r="H248" s="2">
        <v>42451.054722222223</v>
      </c>
      <c r="I248" s="2">
        <v>43580.440474537027</v>
      </c>
      <c r="J248" t="s">
        <v>733</v>
      </c>
    </row>
    <row r="249" spans="1:10" x14ac:dyDescent="0.15">
      <c r="A249">
        <v>67286820</v>
      </c>
      <c r="B249" s="3" t="str">
        <f>HYPERLINK("https://github.com/TrueFurby/go-callvis", "https://github.com/TrueFurby/go-callvis")</f>
        <v>https://github.com/TrueFurby/go-callvis</v>
      </c>
      <c r="D249">
        <v>1788</v>
      </c>
      <c r="E249" t="s">
        <v>734</v>
      </c>
      <c r="F249" t="s">
        <v>735</v>
      </c>
      <c r="G249">
        <v>98</v>
      </c>
      <c r="H249" s="2">
        <v>42616.480393518519</v>
      </c>
      <c r="I249" s="2">
        <v>43580.47519675926</v>
      </c>
      <c r="J249" t="s">
        <v>736</v>
      </c>
    </row>
    <row r="250" spans="1:10" x14ac:dyDescent="0.15">
      <c r="A250">
        <v>3168225</v>
      </c>
      <c r="B250" s="3" t="str">
        <f>HYPERLINK("https://github.com/dustin/go-humanize", "https://github.com/dustin/go-humanize")</f>
        <v>https://github.com/dustin/go-humanize</v>
      </c>
      <c r="D250">
        <v>1782</v>
      </c>
      <c r="E250" t="s">
        <v>737</v>
      </c>
      <c r="F250" t="s">
        <v>738</v>
      </c>
      <c r="G250">
        <v>131</v>
      </c>
      <c r="H250" s="2">
        <v>40921.15896990741</v>
      </c>
      <c r="I250" s="2">
        <v>43580.274421296293</v>
      </c>
      <c r="J250" t="s">
        <v>739</v>
      </c>
    </row>
    <row r="251" spans="1:10" x14ac:dyDescent="0.15">
      <c r="A251">
        <v>83252983</v>
      </c>
      <c r="B251" s="3" t="str">
        <f>HYPERLINK("https://github.com/go-task/task", "https://github.com/go-task/task")</f>
        <v>https://github.com/go-task/task</v>
      </c>
      <c r="D251">
        <v>1780</v>
      </c>
      <c r="E251" t="s">
        <v>740</v>
      </c>
      <c r="F251" t="s">
        <v>741</v>
      </c>
      <c r="G251">
        <v>78</v>
      </c>
      <c r="H251" s="2">
        <v>42793.031990740739</v>
      </c>
      <c r="I251" s="2">
        <v>43580.34815972222</v>
      </c>
      <c r="J251" t="s">
        <v>742</v>
      </c>
    </row>
    <row r="252" spans="1:10" x14ac:dyDescent="0.15">
      <c r="A252">
        <v>52038678</v>
      </c>
      <c r="B252" s="3" t="str">
        <f>HYPERLINK("https://github.com/fogleman/gg", "https://github.com/fogleman/gg")</f>
        <v>https://github.com/fogleman/gg</v>
      </c>
      <c r="D252">
        <v>1772</v>
      </c>
      <c r="E252" t="s">
        <v>743</v>
      </c>
      <c r="F252" t="s">
        <v>744</v>
      </c>
      <c r="G252">
        <v>128</v>
      </c>
      <c r="H252" s="2">
        <v>42418.878564814811</v>
      </c>
      <c r="I252" s="2">
        <v>43580.11886574074</v>
      </c>
      <c r="J252" t="s">
        <v>745</v>
      </c>
    </row>
    <row r="253" spans="1:10" x14ac:dyDescent="0.15">
      <c r="A253">
        <v>20149101</v>
      </c>
      <c r="B253" s="3" t="str">
        <f>HYPERLINK("https://github.com/justinas/alice", "https://github.com/justinas/alice")</f>
        <v>https://github.com/justinas/alice</v>
      </c>
      <c r="D253">
        <v>1765</v>
      </c>
      <c r="E253" t="s">
        <v>746</v>
      </c>
      <c r="F253" t="s">
        <v>747</v>
      </c>
      <c r="G253">
        <v>114</v>
      </c>
      <c r="H253" s="2">
        <v>41784.310891203713</v>
      </c>
      <c r="I253" s="2">
        <v>43580.257789351846</v>
      </c>
      <c r="J253" t="s">
        <v>748</v>
      </c>
    </row>
    <row r="254" spans="1:10" x14ac:dyDescent="0.15">
      <c r="A254">
        <v>18651281</v>
      </c>
      <c r="B254" s="3" t="str">
        <f>HYPERLINK("https://github.com/gocircuit/circuit", "https://github.com/gocircuit/circuit")</f>
        <v>https://github.com/gocircuit/circuit</v>
      </c>
      <c r="D254">
        <v>1761</v>
      </c>
      <c r="E254" t="s">
        <v>749</v>
      </c>
      <c r="F254" t="s">
        <v>750</v>
      </c>
      <c r="G254">
        <v>151</v>
      </c>
      <c r="H254" s="2">
        <v>41739.865347222221</v>
      </c>
      <c r="I254" s="2">
        <v>43578.467638888891</v>
      </c>
      <c r="J254" t="s">
        <v>751</v>
      </c>
    </row>
    <row r="255" spans="1:10" x14ac:dyDescent="0.15">
      <c r="A255">
        <v>13791239</v>
      </c>
      <c r="B255" s="3" t="str">
        <f>HYPERLINK("https://github.com/upper/db", "https://github.com/upper/db")</f>
        <v>https://github.com/upper/db</v>
      </c>
      <c r="D255">
        <v>1758</v>
      </c>
      <c r="E255" t="s">
        <v>752</v>
      </c>
      <c r="F255" t="s">
        <v>753</v>
      </c>
      <c r="G255">
        <v>132</v>
      </c>
      <c r="H255" s="2">
        <v>41570.086527777778</v>
      </c>
      <c r="I255" s="2">
        <v>43580.496851851851</v>
      </c>
      <c r="J255" t="s">
        <v>754</v>
      </c>
    </row>
    <row r="256" spans="1:10" x14ac:dyDescent="0.15">
      <c r="A256">
        <v>72274618</v>
      </c>
      <c r="B256" s="3" t="str">
        <f>HYPERLINK("https://github.com/emitter-io/emitter", "https://github.com/emitter-io/emitter")</f>
        <v>https://github.com/emitter-io/emitter</v>
      </c>
      <c r="D256">
        <v>1752</v>
      </c>
      <c r="E256" t="s">
        <v>755</v>
      </c>
      <c r="F256" t="s">
        <v>756</v>
      </c>
      <c r="G256">
        <v>170</v>
      </c>
      <c r="H256" s="2">
        <v>42672.369687500002</v>
      </c>
      <c r="I256" s="2">
        <v>43580.314027777778</v>
      </c>
      <c r="J256" t="s">
        <v>757</v>
      </c>
    </row>
    <row r="257" spans="1:10" x14ac:dyDescent="0.15">
      <c r="A257">
        <v>15200429</v>
      </c>
      <c r="B257" s="3" t="str">
        <f>HYPERLINK("https://github.com/afex/hystrix-go", "https://github.com/afex/hystrix-go")</f>
        <v>https://github.com/afex/hystrix-go</v>
      </c>
      <c r="D257">
        <v>1749</v>
      </c>
      <c r="E257" t="s">
        <v>758</v>
      </c>
      <c r="F257" t="s">
        <v>759</v>
      </c>
      <c r="G257">
        <v>196</v>
      </c>
      <c r="H257" s="2">
        <v>41623.369016203702</v>
      </c>
      <c r="I257" s="2">
        <v>43579.580983796302</v>
      </c>
      <c r="J257" t="s">
        <v>760</v>
      </c>
    </row>
    <row r="258" spans="1:10" x14ac:dyDescent="0.15">
      <c r="A258">
        <v>9120526</v>
      </c>
      <c r="B258" s="3" t="str">
        <f>HYPERLINK("https://github.com/jackc/pgx", "https://github.com/jackc/pgx")</f>
        <v>https://github.com/jackc/pgx</v>
      </c>
      <c r="D258">
        <v>1744</v>
      </c>
      <c r="E258" t="s">
        <v>761</v>
      </c>
      <c r="F258" t="s">
        <v>762</v>
      </c>
      <c r="G258">
        <v>217</v>
      </c>
      <c r="H258" s="2">
        <v>41363.796134259261</v>
      </c>
      <c r="I258" s="2">
        <v>43580.252986111111</v>
      </c>
      <c r="J258" t="s">
        <v>763</v>
      </c>
    </row>
    <row r="259" spans="1:10" x14ac:dyDescent="0.15">
      <c r="A259">
        <v>82069313</v>
      </c>
      <c r="B259" s="3" t="str">
        <f>HYPERLINK("https://github.com/ashleymcnamara/gophers", "https://github.com/ashleymcnamara/gophers")</f>
        <v>https://github.com/ashleymcnamara/gophers</v>
      </c>
      <c r="D259">
        <v>1736</v>
      </c>
      <c r="E259" t="s">
        <v>764</v>
      </c>
      <c r="F259" t="s">
        <v>765</v>
      </c>
      <c r="G259">
        <v>79</v>
      </c>
      <c r="H259" s="2">
        <v>42781.603472222218</v>
      </c>
      <c r="I259" s="2">
        <v>43579.397881944453</v>
      </c>
      <c r="J259" t="s">
        <v>766</v>
      </c>
    </row>
    <row r="260" spans="1:10" x14ac:dyDescent="0.15">
      <c r="A260">
        <v>29749675</v>
      </c>
      <c r="B260" s="3" t="str">
        <f>HYPERLINK("https://github.com/fogleman/pt", "https://github.com/fogleman/pt")</f>
        <v>https://github.com/fogleman/pt</v>
      </c>
      <c r="D260">
        <v>1734</v>
      </c>
      <c r="E260" t="s">
        <v>767</v>
      </c>
      <c r="F260" t="s">
        <v>768</v>
      </c>
      <c r="G260">
        <v>85</v>
      </c>
      <c r="H260" s="2">
        <v>42027.819085648152</v>
      </c>
      <c r="I260" s="2">
        <v>43579.36445601852</v>
      </c>
      <c r="J260" t="s">
        <v>769</v>
      </c>
    </row>
    <row r="261" spans="1:10" x14ac:dyDescent="0.15">
      <c r="A261">
        <v>20015012</v>
      </c>
      <c r="B261" s="3" t="str">
        <f>HYPERLINK("https://github.com/tdewolff/minify", "https://github.com/tdewolff/minify")</f>
        <v>https://github.com/tdewolff/minify</v>
      </c>
      <c r="D261">
        <v>1728</v>
      </c>
      <c r="E261" t="s">
        <v>770</v>
      </c>
      <c r="F261" t="s">
        <v>771</v>
      </c>
      <c r="G261">
        <v>108</v>
      </c>
      <c r="H261" s="2">
        <v>41780.377638888887</v>
      </c>
      <c r="I261" s="2">
        <v>43579.714606481481</v>
      </c>
      <c r="J261" t="s">
        <v>772</v>
      </c>
    </row>
    <row r="262" spans="1:10" x14ac:dyDescent="0.15">
      <c r="A262">
        <v>15300997</v>
      </c>
      <c r="B262" s="3" t="str">
        <f>HYPERLINK("https://github.com/ahmetb/go-linq", "https://github.com/ahmetb/go-linq")</f>
        <v>https://github.com/ahmetb/go-linq</v>
      </c>
      <c r="D262">
        <v>1702</v>
      </c>
      <c r="E262" t="s">
        <v>773</v>
      </c>
      <c r="F262" t="s">
        <v>774</v>
      </c>
      <c r="G262">
        <v>120</v>
      </c>
      <c r="H262" s="2">
        <v>41627.128472222219</v>
      </c>
      <c r="I262" s="2">
        <v>43579.270011574074</v>
      </c>
      <c r="J262" t="s">
        <v>775</v>
      </c>
    </row>
    <row r="263" spans="1:10" x14ac:dyDescent="0.15">
      <c r="A263">
        <v>15171803</v>
      </c>
      <c r="B263" s="3" t="str">
        <f>HYPERLINK("https://github.com/aptly-dev/aptly", "https://github.com/aptly-dev/aptly")</f>
        <v>https://github.com/aptly-dev/aptly</v>
      </c>
      <c r="D263">
        <v>1699</v>
      </c>
      <c r="E263" t="s">
        <v>776</v>
      </c>
      <c r="F263" t="s">
        <v>777</v>
      </c>
      <c r="G263">
        <v>226</v>
      </c>
      <c r="H263" s="2">
        <v>41621.802002314813</v>
      </c>
      <c r="I263" s="2">
        <v>43580.187141203707</v>
      </c>
      <c r="J263" t="s">
        <v>778</v>
      </c>
    </row>
    <row r="264" spans="1:10" x14ac:dyDescent="0.15">
      <c r="A264">
        <v>105907218</v>
      </c>
      <c r="B264" s="3" t="str">
        <f>HYPERLINK("https://github.com/yunabe/lgo", "https://github.com/yunabe/lgo")</f>
        <v>https://github.com/yunabe/lgo</v>
      </c>
      <c r="D264">
        <v>1695</v>
      </c>
      <c r="E264" t="s">
        <v>779</v>
      </c>
      <c r="F264" t="s">
        <v>780</v>
      </c>
      <c r="G264">
        <v>63</v>
      </c>
      <c r="H264" s="2">
        <v>43013.645254629628</v>
      </c>
      <c r="I264" s="2">
        <v>43580.336689814823</v>
      </c>
      <c r="J264" t="s">
        <v>781</v>
      </c>
    </row>
    <row r="265" spans="1:10" x14ac:dyDescent="0.15">
      <c r="A265">
        <v>46200120</v>
      </c>
      <c r="B265" s="3" t="str">
        <f>HYPERLINK("https://github.com/hlandau/acme", "https://github.com/hlandau/acme")</f>
        <v>https://github.com/hlandau/acme</v>
      </c>
      <c r="D265">
        <v>1681</v>
      </c>
      <c r="E265" t="s">
        <v>782</v>
      </c>
      <c r="F265" t="s">
        <v>783</v>
      </c>
      <c r="G265">
        <v>92</v>
      </c>
      <c r="H265" s="2">
        <v>42323.080578703702</v>
      </c>
      <c r="I265" s="2">
        <v>43580.134062500001</v>
      </c>
      <c r="J265" t="s">
        <v>784</v>
      </c>
    </row>
    <row r="266" spans="1:10" x14ac:dyDescent="0.15">
      <c r="A266">
        <v>17042400</v>
      </c>
      <c r="B266" s="3" t="str">
        <f>HYPERLINK("https://github.com/siddontang/go-mysql", "https://github.com/siddontang/go-mysql")</f>
        <v>https://github.com/siddontang/go-mysql</v>
      </c>
      <c r="D266">
        <v>1680</v>
      </c>
      <c r="E266" t="s">
        <v>785</v>
      </c>
      <c r="F266" t="s">
        <v>786</v>
      </c>
      <c r="G266">
        <v>402</v>
      </c>
      <c r="H266" s="2">
        <v>41691.081076388888</v>
      </c>
      <c r="I266" s="2">
        <v>43580.438715277778</v>
      </c>
      <c r="J266" t="s">
        <v>787</v>
      </c>
    </row>
    <row r="267" spans="1:10" x14ac:dyDescent="0.15">
      <c r="A267">
        <v>59289480</v>
      </c>
      <c r="B267" s="3" t="str">
        <f>HYPERLINK("https://github.com/Ullaakut/cameradar", "https://github.com/Ullaakut/cameradar")</f>
        <v>https://github.com/Ullaakut/cameradar</v>
      </c>
      <c r="D267">
        <v>1673</v>
      </c>
      <c r="E267" t="s">
        <v>788</v>
      </c>
      <c r="F267" t="s">
        <v>789</v>
      </c>
      <c r="G267">
        <v>224</v>
      </c>
      <c r="H267" s="2">
        <v>42510.483113425929</v>
      </c>
      <c r="I267" s="2">
        <v>43580.27888888889</v>
      </c>
      <c r="J267" t="s">
        <v>790</v>
      </c>
    </row>
    <row r="268" spans="1:10" x14ac:dyDescent="0.15">
      <c r="A268">
        <v>41561105</v>
      </c>
      <c r="B268" s="3" t="str">
        <f>HYPERLINK("https://github.com/go-resty/resty", "https://github.com/go-resty/resty")</f>
        <v>https://github.com/go-resty/resty</v>
      </c>
      <c r="D268">
        <v>1665</v>
      </c>
      <c r="E268" t="s">
        <v>791</v>
      </c>
      <c r="F268" t="s">
        <v>792</v>
      </c>
      <c r="G268">
        <v>156</v>
      </c>
      <c r="H268" s="2">
        <v>42244.742210648154</v>
      </c>
      <c r="I268" s="2">
        <v>43579.126886574071</v>
      </c>
      <c r="J268" t="s">
        <v>793</v>
      </c>
    </row>
    <row r="269" spans="1:10" x14ac:dyDescent="0.15">
      <c r="A269">
        <v>19608522</v>
      </c>
      <c r="B269" s="3" t="str">
        <f>HYPERLINK("https://github.com/googleapis/google-cloud-go", "https://github.com/googleapis/google-cloud-go")</f>
        <v>https://github.com/googleapis/google-cloud-go</v>
      </c>
      <c r="D269">
        <v>1631</v>
      </c>
      <c r="E269" t="s">
        <v>794</v>
      </c>
      <c r="F269" t="s">
        <v>795</v>
      </c>
      <c r="G269">
        <v>527</v>
      </c>
      <c r="H269" s="2">
        <v>41768.466643518521</v>
      </c>
      <c r="I269" s="2">
        <v>43580.342858796299</v>
      </c>
      <c r="J269" t="s">
        <v>796</v>
      </c>
    </row>
    <row r="270" spans="1:10" x14ac:dyDescent="0.15">
      <c r="A270">
        <v>10721619</v>
      </c>
      <c r="B270" s="3" t="str">
        <f>HYPERLINK("https://github.com/hajimehoshi/ebiten", "https://github.com/hajimehoshi/ebiten")</f>
        <v>https://github.com/hajimehoshi/ebiten</v>
      </c>
      <c r="D270">
        <v>1622</v>
      </c>
      <c r="E270" t="s">
        <v>797</v>
      </c>
      <c r="F270" t="s">
        <v>798</v>
      </c>
      <c r="G270">
        <v>109</v>
      </c>
      <c r="H270" s="2">
        <v>41441.634039351848</v>
      </c>
      <c r="I270" s="2">
        <v>43580.112384259257</v>
      </c>
      <c r="J270" t="s">
        <v>799</v>
      </c>
    </row>
    <row r="271" spans="1:10" x14ac:dyDescent="0.15">
      <c r="A271">
        <v>8134918</v>
      </c>
      <c r="B271" s="3" t="str">
        <f>HYPERLINK("https://github.com/laher/goxc", "https://github.com/laher/goxc")</f>
        <v>https://github.com/laher/goxc</v>
      </c>
      <c r="D271">
        <v>1612</v>
      </c>
      <c r="E271" t="s">
        <v>800</v>
      </c>
      <c r="F271" t="s">
        <v>801</v>
      </c>
      <c r="G271">
        <v>71</v>
      </c>
      <c r="H271" s="2">
        <v>41316.367974537039</v>
      </c>
      <c r="I271" s="2">
        <v>43578.254675925928</v>
      </c>
      <c r="J271" t="s">
        <v>802</v>
      </c>
    </row>
    <row r="272" spans="1:10" x14ac:dyDescent="0.15">
      <c r="A272">
        <v>24011030</v>
      </c>
      <c r="B272" s="3" t="str">
        <f>HYPERLINK("https://github.com/osrg/gobgp", "https://github.com/osrg/gobgp")</f>
        <v>https://github.com/osrg/gobgp</v>
      </c>
      <c r="D272">
        <v>1600</v>
      </c>
      <c r="E272" t="s">
        <v>803</v>
      </c>
      <c r="F272" t="s">
        <v>804</v>
      </c>
      <c r="G272">
        <v>319</v>
      </c>
      <c r="H272" s="2">
        <v>41896.07775462963</v>
      </c>
      <c r="I272" s="2">
        <v>43578.103032407409</v>
      </c>
      <c r="J272" t="s">
        <v>805</v>
      </c>
    </row>
    <row r="273" spans="1:10" x14ac:dyDescent="0.15">
      <c r="A273">
        <v>15344288</v>
      </c>
      <c r="B273" s="3" t="str">
        <f>HYPERLINK("https://github.com/Shopify/go-lua", "https://github.com/Shopify/go-lua")</f>
        <v>https://github.com/Shopify/go-lua</v>
      </c>
      <c r="D273">
        <v>1592</v>
      </c>
      <c r="E273" t="s">
        <v>806</v>
      </c>
      <c r="F273" t="s">
        <v>807</v>
      </c>
      <c r="G273">
        <v>116</v>
      </c>
      <c r="H273" s="2">
        <v>41628.72896990741</v>
      </c>
      <c r="I273" s="2">
        <v>43578.330358796287</v>
      </c>
      <c r="J273" t="s">
        <v>808</v>
      </c>
    </row>
    <row r="274" spans="1:10" x14ac:dyDescent="0.15">
      <c r="A274">
        <v>115747740</v>
      </c>
      <c r="B274" s="3" t="str">
        <f>HYPERLINK("https://github.com/mkchoi212/fac", "https://github.com/mkchoi212/fac")</f>
        <v>https://github.com/mkchoi212/fac</v>
      </c>
      <c r="D274">
        <v>1559</v>
      </c>
      <c r="E274" t="s">
        <v>809</v>
      </c>
      <c r="F274" t="s">
        <v>810</v>
      </c>
      <c r="G274">
        <v>33</v>
      </c>
      <c r="H274" s="2">
        <v>43098.799826388888</v>
      </c>
      <c r="I274" s="2">
        <v>43576.73715277778</v>
      </c>
      <c r="J274" t="s">
        <v>811</v>
      </c>
    </row>
    <row r="275" spans="1:10" x14ac:dyDescent="0.15">
      <c r="A275">
        <v>13815417</v>
      </c>
      <c r="B275" s="3" t="str">
        <f>HYPERLINK("https://github.com/GeertJohan/go.rice", "https://github.com/GeertJohan/go.rice")</f>
        <v>https://github.com/GeertJohan/go.rice</v>
      </c>
      <c r="D275">
        <v>1555</v>
      </c>
      <c r="E275" t="s">
        <v>812</v>
      </c>
      <c r="F275" t="s">
        <v>813</v>
      </c>
      <c r="G275">
        <v>92</v>
      </c>
      <c r="H275" s="2">
        <v>41570.895532407398</v>
      </c>
      <c r="I275" s="2">
        <v>43580.523356481477</v>
      </c>
      <c r="J275" t="s">
        <v>814</v>
      </c>
    </row>
    <row r="276" spans="1:10" x14ac:dyDescent="0.15">
      <c r="A276">
        <v>59949570</v>
      </c>
      <c r="B276" s="3" t="str">
        <f>HYPERLINK("https://github.com/codesenberg/bombardier", "https://github.com/codesenberg/bombardier")</f>
        <v>https://github.com/codesenberg/bombardier</v>
      </c>
      <c r="D276">
        <v>1554</v>
      </c>
      <c r="E276" t="s">
        <v>815</v>
      </c>
      <c r="F276" t="s">
        <v>816</v>
      </c>
      <c r="G276">
        <v>91</v>
      </c>
      <c r="H276" s="2">
        <v>42519.636458333327</v>
      </c>
      <c r="I276" s="2">
        <v>43580.539803240739</v>
      </c>
      <c r="J276" t="s">
        <v>817</v>
      </c>
    </row>
    <row r="277" spans="1:10" x14ac:dyDescent="0.15">
      <c r="A277">
        <v>31953662</v>
      </c>
      <c r="B277" s="3" t="str">
        <f>HYPERLINK("https://github.com/xyproto/algernon", "https://github.com/xyproto/algernon")</f>
        <v>https://github.com/xyproto/algernon</v>
      </c>
      <c r="D277">
        <v>1534</v>
      </c>
      <c r="E277" t="s">
        <v>818</v>
      </c>
      <c r="F277" t="s">
        <v>819</v>
      </c>
      <c r="G277">
        <v>66</v>
      </c>
      <c r="H277" s="2">
        <v>42073.476041666669</v>
      </c>
      <c r="I277" s="2">
        <v>43580.160439814812</v>
      </c>
      <c r="J277" t="s">
        <v>820</v>
      </c>
    </row>
    <row r="278" spans="1:10" x14ac:dyDescent="0.15">
      <c r="A278">
        <v>25734811</v>
      </c>
      <c r="B278" s="3" t="str">
        <f>HYPERLINK("https://github.com/nanomsg/mangos-v1", "https://github.com/nanomsg/mangos-v1")</f>
        <v>https://github.com/nanomsg/mangos-v1</v>
      </c>
      <c r="D278">
        <v>1528</v>
      </c>
      <c r="E278" t="s">
        <v>821</v>
      </c>
      <c r="F278" t="s">
        <v>822</v>
      </c>
      <c r="G278">
        <v>136</v>
      </c>
      <c r="H278" s="2">
        <v>41937.619733796288</v>
      </c>
      <c r="I278" s="2">
        <v>43574.70784722222</v>
      </c>
      <c r="J278" t="s">
        <v>823</v>
      </c>
    </row>
    <row r="279" spans="1:10" x14ac:dyDescent="0.15">
      <c r="A279">
        <v>134012064</v>
      </c>
      <c r="B279" s="3" t="str">
        <f>HYPERLINK("https://github.com/pion/webrtc", "https://github.com/pion/webrtc")</f>
        <v>https://github.com/pion/webrtc</v>
      </c>
      <c r="D279">
        <v>1523</v>
      </c>
      <c r="E279" t="s">
        <v>824</v>
      </c>
      <c r="F279" t="s">
        <v>825</v>
      </c>
      <c r="G279">
        <v>161</v>
      </c>
      <c r="H279" s="2">
        <v>43238.96533564815</v>
      </c>
      <c r="I279" s="2">
        <v>43580.494027777779</v>
      </c>
      <c r="J279" t="s">
        <v>826</v>
      </c>
    </row>
    <row r="280" spans="1:10" x14ac:dyDescent="0.15">
      <c r="A280">
        <v>86179273</v>
      </c>
      <c r="B280" s="3" t="str">
        <f>HYPERLINK("https://github.com/matcornic/hermes", "https://github.com/matcornic/hermes")</f>
        <v>https://github.com/matcornic/hermes</v>
      </c>
      <c r="D280">
        <v>1520</v>
      </c>
      <c r="E280" t="s">
        <v>827</v>
      </c>
      <c r="F280" t="s">
        <v>828</v>
      </c>
      <c r="G280">
        <v>102</v>
      </c>
      <c r="H280" s="2">
        <v>42819.767777777779</v>
      </c>
      <c r="I280" s="2">
        <v>43579.288773148153</v>
      </c>
      <c r="J280" t="s">
        <v>829</v>
      </c>
    </row>
    <row r="281" spans="1:10" x14ac:dyDescent="0.15">
      <c r="A281">
        <v>12739005</v>
      </c>
      <c r="B281" s="3" t="str">
        <f>HYPERLINK("https://github.com/openshift/osin", "https://github.com/openshift/osin")</f>
        <v>https://github.com/openshift/osin</v>
      </c>
      <c r="D281">
        <v>1519</v>
      </c>
      <c r="E281" t="s">
        <v>830</v>
      </c>
      <c r="F281" t="s">
        <v>831</v>
      </c>
      <c r="G281">
        <v>316</v>
      </c>
      <c r="H281" s="2">
        <v>41527.827777777777</v>
      </c>
      <c r="I281" s="2">
        <v>43577.352638888893</v>
      </c>
      <c r="J281" t="s">
        <v>832</v>
      </c>
    </row>
    <row r="282" spans="1:10" x14ac:dyDescent="0.15">
      <c r="A282">
        <v>88156832</v>
      </c>
      <c r="B282" s="3" t="str">
        <f>HYPERLINK("https://github.com/globalsign/mgo", "https://github.com/globalsign/mgo")</f>
        <v>https://github.com/globalsign/mgo</v>
      </c>
      <c r="D282">
        <v>1517</v>
      </c>
      <c r="E282" t="s">
        <v>833</v>
      </c>
      <c r="F282" t="s">
        <v>834</v>
      </c>
      <c r="G282">
        <v>172</v>
      </c>
      <c r="H282" s="2">
        <v>42838.468101851853</v>
      </c>
      <c r="I282" s="2">
        <v>43580.397928240738</v>
      </c>
      <c r="J282" t="s">
        <v>835</v>
      </c>
    </row>
    <row r="283" spans="1:10" x14ac:dyDescent="0.15">
      <c r="A283">
        <v>134018330</v>
      </c>
      <c r="B283" s="3" t="str">
        <f>HYPERLINK("https://github.com/panjf2000/ants", "https://github.com/panjf2000/ants")</f>
        <v>https://github.com/panjf2000/ants</v>
      </c>
      <c r="D283">
        <v>1512</v>
      </c>
      <c r="E283" t="s">
        <v>836</v>
      </c>
      <c r="F283" t="s">
        <v>837</v>
      </c>
      <c r="G283">
        <v>202</v>
      </c>
      <c r="H283" s="2">
        <v>43239.051134259258</v>
      </c>
      <c r="I283" s="2">
        <v>43580.540625000001</v>
      </c>
      <c r="J283" t="s">
        <v>838</v>
      </c>
    </row>
    <row r="284" spans="1:10" x14ac:dyDescent="0.15">
      <c r="A284">
        <v>36784686</v>
      </c>
      <c r="B284" s="3" t="str">
        <f>HYPERLINK("https://github.com/egonelbre/gophers", "https://github.com/egonelbre/gophers")</f>
        <v>https://github.com/egonelbre/gophers</v>
      </c>
      <c r="D284">
        <v>1487</v>
      </c>
      <c r="E284" t="s">
        <v>764</v>
      </c>
      <c r="F284" t="s">
        <v>839</v>
      </c>
      <c r="G284">
        <v>63</v>
      </c>
      <c r="H284" s="2">
        <v>42158.274097222216</v>
      </c>
      <c r="I284" s="2">
        <v>43579.289606481478</v>
      </c>
      <c r="J284" t="s">
        <v>840</v>
      </c>
    </row>
    <row r="285" spans="1:10" x14ac:dyDescent="0.15">
      <c r="A285">
        <v>17722930</v>
      </c>
      <c r="B285" s="3" t="str">
        <f>HYPERLINK("https://github.com/joefitzgerald/go-plus", "https://github.com/joefitzgerald/go-plus")</f>
        <v>https://github.com/joefitzgerald/go-plus</v>
      </c>
      <c r="D285">
        <v>1466</v>
      </c>
      <c r="E285" t="s">
        <v>841</v>
      </c>
      <c r="F285" t="s">
        <v>842</v>
      </c>
      <c r="G285">
        <v>128</v>
      </c>
      <c r="H285" s="2">
        <v>41711.805069444446</v>
      </c>
      <c r="I285" s="2">
        <v>43574.657256944447</v>
      </c>
      <c r="J285" t="s">
        <v>843</v>
      </c>
    </row>
    <row r="286" spans="1:10" x14ac:dyDescent="0.15">
      <c r="A286">
        <v>38029983</v>
      </c>
      <c r="B286" s="3" t="str">
        <f>HYPERLINK("https://github.com/go-telegram-bot-api/telegram-bot-api", "https://github.com/go-telegram-bot-api/telegram-bot-api")</f>
        <v>https://github.com/go-telegram-bot-api/telegram-bot-api</v>
      </c>
      <c r="D286">
        <v>1463</v>
      </c>
      <c r="E286" t="s">
        <v>844</v>
      </c>
      <c r="F286" t="s">
        <v>845</v>
      </c>
      <c r="G286">
        <v>252</v>
      </c>
      <c r="H286" s="2">
        <v>42180.231909722221</v>
      </c>
      <c r="I286" s="2">
        <v>43580.316122685188</v>
      </c>
      <c r="J286" t="s">
        <v>846</v>
      </c>
    </row>
    <row r="287" spans="1:10" x14ac:dyDescent="0.15">
      <c r="A287">
        <v>72875399</v>
      </c>
      <c r="B287" s="3" t="str">
        <f>HYPERLINK("https://github.com/devopsfaith/krakend", "https://github.com/devopsfaith/krakend")</f>
        <v>https://github.com/devopsfaith/krakend</v>
      </c>
      <c r="D287">
        <v>1459</v>
      </c>
      <c r="E287" t="s">
        <v>847</v>
      </c>
      <c r="F287" t="s">
        <v>848</v>
      </c>
      <c r="G287">
        <v>128</v>
      </c>
      <c r="H287" s="2">
        <v>42678.77584490741</v>
      </c>
      <c r="I287" s="2">
        <v>43580.480104166672</v>
      </c>
      <c r="J287" t="s">
        <v>849</v>
      </c>
    </row>
    <row r="288" spans="1:10" x14ac:dyDescent="0.15">
      <c r="A288">
        <v>16607984</v>
      </c>
      <c r="B288" s="3" t="str">
        <f>HYPERLINK("https://github.com/DATA-DOG/go-sqlmock", "https://github.com/DATA-DOG/go-sqlmock")</f>
        <v>https://github.com/DATA-DOG/go-sqlmock</v>
      </c>
      <c r="D288">
        <v>1447</v>
      </c>
      <c r="E288" t="s">
        <v>850</v>
      </c>
      <c r="F288" t="s">
        <v>851</v>
      </c>
      <c r="G288">
        <v>151</v>
      </c>
      <c r="H288" s="2">
        <v>41677.332974537043</v>
      </c>
      <c r="I288" s="2">
        <v>43580.556840277779</v>
      </c>
      <c r="J288" t="s">
        <v>852</v>
      </c>
    </row>
    <row r="289" spans="1:10" x14ac:dyDescent="0.15">
      <c r="A289">
        <v>16607984</v>
      </c>
      <c r="B289" s="3" t="str">
        <f>HYPERLINK("https://github.com/DATA-DOG/go-sqlmock", "https://github.com/DATA-DOG/go-sqlmock")</f>
        <v>https://github.com/DATA-DOG/go-sqlmock</v>
      </c>
      <c r="D289">
        <v>1446</v>
      </c>
      <c r="E289" t="s">
        <v>850</v>
      </c>
      <c r="F289" t="s">
        <v>851</v>
      </c>
      <c r="G289">
        <v>151</v>
      </c>
      <c r="H289" s="2">
        <v>41677.332974537043</v>
      </c>
      <c r="I289" s="2">
        <v>43580.42119212963</v>
      </c>
      <c r="J289" t="s">
        <v>852</v>
      </c>
    </row>
    <row r="290" spans="1:10" x14ac:dyDescent="0.15">
      <c r="A290">
        <v>12785038</v>
      </c>
      <c r="B290" s="3" t="str">
        <f>HYPERLINK("https://github.com/rethinkdb/rethinkdb-go", "https://github.com/rethinkdb/rethinkdb-go")</f>
        <v>https://github.com/rethinkdb/rethinkdb-go</v>
      </c>
      <c r="D290">
        <v>1441</v>
      </c>
      <c r="E290" t="s">
        <v>853</v>
      </c>
      <c r="F290" t="s">
        <v>854</v>
      </c>
      <c r="G290">
        <v>154</v>
      </c>
      <c r="H290" s="2">
        <v>41529.580868055556</v>
      </c>
      <c r="I290" s="2">
        <v>43579.364537037043</v>
      </c>
      <c r="J290" t="s">
        <v>855</v>
      </c>
    </row>
    <row r="291" spans="1:10" x14ac:dyDescent="0.15">
      <c r="A291">
        <v>82111260</v>
      </c>
      <c r="B291" s="3" t="str">
        <f>HYPERLINK("https://github.com/tj/mmake", "https://github.com/tj/mmake")</f>
        <v>https://github.com/tj/mmake</v>
      </c>
      <c r="D291">
        <v>1440</v>
      </c>
      <c r="E291" t="s">
        <v>856</v>
      </c>
      <c r="F291" t="s">
        <v>857</v>
      </c>
      <c r="G291">
        <v>34</v>
      </c>
      <c r="H291" s="2">
        <v>42781.917604166672</v>
      </c>
      <c r="I291" s="2">
        <v>43578.851180555554</v>
      </c>
      <c r="J291" t="s">
        <v>858</v>
      </c>
    </row>
    <row r="292" spans="1:10" x14ac:dyDescent="0.15">
      <c r="A292">
        <v>12311467</v>
      </c>
      <c r="B292" s="3" t="str">
        <f>HYPERLINK("https://github.com/flosch/pongo2", "https://github.com/flosch/pongo2")</f>
        <v>https://github.com/flosch/pongo2</v>
      </c>
      <c r="D292">
        <v>1433</v>
      </c>
      <c r="E292" t="s">
        <v>859</v>
      </c>
      <c r="F292" t="s">
        <v>860</v>
      </c>
      <c r="G292">
        <v>142</v>
      </c>
      <c r="H292" s="2">
        <v>41509.041759259257</v>
      </c>
      <c r="I292" s="2">
        <v>43580.429328703707</v>
      </c>
      <c r="J292" t="s">
        <v>861</v>
      </c>
    </row>
    <row r="293" spans="1:10" x14ac:dyDescent="0.15">
      <c r="A293">
        <v>31333618</v>
      </c>
      <c r="B293" s="3" t="str">
        <f>HYPERLINK("https://github.com/shopspring/decimal", "https://github.com/shopspring/decimal")</f>
        <v>https://github.com/shopspring/decimal</v>
      </c>
      <c r="D293">
        <v>1431</v>
      </c>
      <c r="E293" t="s">
        <v>862</v>
      </c>
      <c r="F293" t="s">
        <v>863</v>
      </c>
      <c r="G293">
        <v>218</v>
      </c>
      <c r="H293" s="2">
        <v>42060.842326388891</v>
      </c>
      <c r="I293" s="2">
        <v>43580.464189814818</v>
      </c>
      <c r="J293" t="s">
        <v>864</v>
      </c>
    </row>
    <row r="294" spans="1:10" x14ac:dyDescent="0.15">
      <c r="A294">
        <v>5629366</v>
      </c>
      <c r="B294" s="3" t="str">
        <f>HYPERLINK("https://github.com/jessevdk/go-flags", "https://github.com/jessevdk/go-flags")</f>
        <v>https://github.com/jessevdk/go-flags</v>
      </c>
      <c r="D294">
        <v>1421</v>
      </c>
      <c r="E294" t="s">
        <v>865</v>
      </c>
      <c r="F294" t="s">
        <v>866</v>
      </c>
      <c r="G294">
        <v>172</v>
      </c>
      <c r="H294" s="2">
        <v>41152.581921296303</v>
      </c>
      <c r="I294" s="2">
        <v>43580.199953703697</v>
      </c>
      <c r="J294" t="s">
        <v>867</v>
      </c>
    </row>
    <row r="295" spans="1:10" x14ac:dyDescent="0.15">
      <c r="A295">
        <v>8019413</v>
      </c>
      <c r="B295" s="3" t="str">
        <f>HYPERLINK("https://github.com/hpcloud/tail", "https://github.com/hpcloud/tail")</f>
        <v>https://github.com/hpcloud/tail</v>
      </c>
      <c r="D295">
        <v>1415</v>
      </c>
      <c r="E295" t="s">
        <v>868</v>
      </c>
      <c r="F295" t="s">
        <v>869</v>
      </c>
      <c r="G295">
        <v>290</v>
      </c>
      <c r="H295" s="2">
        <v>41310.019479166673</v>
      </c>
      <c r="I295" s="2">
        <v>43580.328923611109</v>
      </c>
      <c r="J295" t="s">
        <v>870</v>
      </c>
    </row>
    <row r="296" spans="1:10" x14ac:dyDescent="0.15">
      <c r="A296">
        <v>28173298</v>
      </c>
      <c r="B296" s="3" t="str">
        <f>HYPERLINK("https://github.com/go-ini/ini", "https://github.com/go-ini/ini")</f>
        <v>https://github.com/go-ini/ini</v>
      </c>
      <c r="D296">
        <v>1409</v>
      </c>
      <c r="E296" t="s">
        <v>871</v>
      </c>
      <c r="F296" t="s">
        <v>872</v>
      </c>
      <c r="G296">
        <v>198</v>
      </c>
      <c r="H296" s="2">
        <v>41991.317094907397</v>
      </c>
      <c r="I296" s="2">
        <v>43580.304467592592</v>
      </c>
      <c r="J296" t="s">
        <v>873</v>
      </c>
    </row>
    <row r="297" spans="1:10" x14ac:dyDescent="0.15">
      <c r="A297">
        <v>67892585</v>
      </c>
      <c r="B297" s="3" t="str">
        <f>HYPERLINK("https://github.com/ok-borg/borg", "https://github.com/ok-borg/borg")</f>
        <v>https://github.com/ok-borg/borg</v>
      </c>
      <c r="D297">
        <v>1408</v>
      </c>
      <c r="E297" t="s">
        <v>874</v>
      </c>
      <c r="F297" t="s">
        <v>875</v>
      </c>
      <c r="G297">
        <v>49</v>
      </c>
      <c r="H297" s="2">
        <v>42623.847708333327</v>
      </c>
      <c r="I297" s="2">
        <v>43579.496574074074</v>
      </c>
      <c r="J297" t="s">
        <v>876</v>
      </c>
    </row>
    <row r="298" spans="1:10" x14ac:dyDescent="0.15">
      <c r="A298">
        <v>9977351</v>
      </c>
      <c r="B298" s="3" t="str">
        <f>HYPERLINK("https://github.com/visualfc/goqt", "https://github.com/visualfc/goqt")</f>
        <v>https://github.com/visualfc/goqt</v>
      </c>
      <c r="D298">
        <v>1406</v>
      </c>
      <c r="E298" t="s">
        <v>877</v>
      </c>
      <c r="F298" t="s">
        <v>878</v>
      </c>
      <c r="G298">
        <v>117</v>
      </c>
      <c r="H298" s="2">
        <v>41404.34646990741</v>
      </c>
      <c r="I298" s="2">
        <v>43578.362060185187</v>
      </c>
      <c r="J298" t="s">
        <v>879</v>
      </c>
    </row>
    <row r="299" spans="1:10" x14ac:dyDescent="0.15">
      <c r="A299">
        <v>35573029</v>
      </c>
      <c r="B299" s="3" t="str">
        <f>HYPERLINK("https://github.com/olahol/melody", "https://github.com/olahol/melody")</f>
        <v>https://github.com/olahol/melody</v>
      </c>
      <c r="D299">
        <v>1392</v>
      </c>
      <c r="E299" t="s">
        <v>880</v>
      </c>
      <c r="F299" t="s">
        <v>881</v>
      </c>
      <c r="G299">
        <v>148</v>
      </c>
      <c r="H299" s="2">
        <v>42137.860092592593</v>
      </c>
      <c r="I299" s="2">
        <v>43580.314699074072</v>
      </c>
      <c r="J299" t="s">
        <v>882</v>
      </c>
    </row>
    <row r="300" spans="1:10" x14ac:dyDescent="0.15">
      <c r="A300">
        <v>12448510</v>
      </c>
      <c r="B300" s="3" t="str">
        <f>HYPERLINK("https://github.com/nsqio/go-nsq", "https://github.com/nsqio/go-nsq")</f>
        <v>https://github.com/nsqio/go-nsq</v>
      </c>
      <c r="D300">
        <v>1378</v>
      </c>
      <c r="E300" t="s">
        <v>883</v>
      </c>
      <c r="F300" t="s">
        <v>884</v>
      </c>
      <c r="G300">
        <v>273</v>
      </c>
      <c r="H300" s="2">
        <v>41515.054537037038</v>
      </c>
      <c r="I300" s="2">
        <v>43580.301932870367</v>
      </c>
      <c r="J300" t="s">
        <v>885</v>
      </c>
    </row>
    <row r="301" spans="1:10" x14ac:dyDescent="0.15">
      <c r="A301">
        <v>14454569</v>
      </c>
      <c r="B301" s="3" t="str">
        <f>HYPERLINK("https://github.com/gocraft/web", "https://github.com/gocraft/web")</f>
        <v>https://github.com/gocraft/web</v>
      </c>
      <c r="D301">
        <v>1377</v>
      </c>
      <c r="E301" t="s">
        <v>886</v>
      </c>
      <c r="F301" t="s">
        <v>887</v>
      </c>
      <c r="G301">
        <v>105</v>
      </c>
      <c r="H301" s="2">
        <v>41594.866898148153</v>
      </c>
      <c r="I301" s="2">
        <v>43575.649212962962</v>
      </c>
      <c r="J301" t="s">
        <v>888</v>
      </c>
    </row>
    <row r="302" spans="1:10" x14ac:dyDescent="0.15">
      <c r="A302">
        <v>44316518</v>
      </c>
      <c r="B302" s="3" t="str">
        <f>HYPERLINK("https://github.com/sciter-sdk/go-sciter", "https://github.com/sciter-sdk/go-sciter")</f>
        <v>https://github.com/sciter-sdk/go-sciter</v>
      </c>
      <c r="D302">
        <v>1359</v>
      </c>
      <c r="E302" t="s">
        <v>889</v>
      </c>
      <c r="F302" t="s">
        <v>890</v>
      </c>
      <c r="G302">
        <v>158</v>
      </c>
      <c r="H302" s="2">
        <v>42292.528541666667</v>
      </c>
      <c r="I302" s="2">
        <v>43580.451053240737</v>
      </c>
      <c r="J302" t="s">
        <v>891</v>
      </c>
    </row>
    <row r="303" spans="1:10" x14ac:dyDescent="0.15">
      <c r="A303">
        <v>47131865</v>
      </c>
      <c r="B303" s="3" t="str">
        <f>HYPERLINK("https://github.com/SpectoLabs/hoverfly", "https://github.com/SpectoLabs/hoverfly")</f>
        <v>https://github.com/SpectoLabs/hoverfly</v>
      </c>
      <c r="D303">
        <v>1349</v>
      </c>
      <c r="E303" t="s">
        <v>892</v>
      </c>
      <c r="F303" t="s">
        <v>893</v>
      </c>
      <c r="G303">
        <v>122</v>
      </c>
      <c r="H303" s="2">
        <v>42338.692025462973</v>
      </c>
      <c r="I303" s="2">
        <v>43580.535115740742</v>
      </c>
      <c r="J303" t="s">
        <v>894</v>
      </c>
    </row>
    <row r="304" spans="1:10" x14ac:dyDescent="0.15">
      <c r="A304">
        <v>12745404</v>
      </c>
      <c r="B304" s="3" t="str">
        <f>HYPERLINK("https://github.com/mattn/gom", "https://github.com/mattn/gom")</f>
        <v>https://github.com/mattn/gom</v>
      </c>
      <c r="D304">
        <v>1348</v>
      </c>
      <c r="E304" t="s">
        <v>895</v>
      </c>
      <c r="F304" t="s">
        <v>896</v>
      </c>
      <c r="G304">
        <v>99</v>
      </c>
      <c r="H304" s="2">
        <v>41528.089571759258</v>
      </c>
      <c r="I304" s="2">
        <v>43580.138391203713</v>
      </c>
      <c r="J304" t="s">
        <v>897</v>
      </c>
    </row>
    <row r="305" spans="1:10" x14ac:dyDescent="0.15">
      <c r="A305">
        <v>37273343</v>
      </c>
      <c r="B305" s="3" t="str">
        <f>HYPERLINK("https://github.com/levigross/grequests", "https://github.com/levigross/grequests")</f>
        <v>https://github.com/levigross/grequests</v>
      </c>
      <c r="D305">
        <v>1343</v>
      </c>
      <c r="E305" t="s">
        <v>898</v>
      </c>
      <c r="F305" t="s">
        <v>899</v>
      </c>
      <c r="G305">
        <v>66</v>
      </c>
      <c r="H305" s="2">
        <v>42166.695694444446</v>
      </c>
      <c r="I305" s="2">
        <v>43580.528043981481</v>
      </c>
      <c r="J305" t="s">
        <v>900</v>
      </c>
    </row>
    <row r="306" spans="1:10" x14ac:dyDescent="0.15">
      <c r="A306">
        <v>179166439</v>
      </c>
      <c r="B306" s="3" t="str">
        <f>HYPERLINK("https://github.com/MariaLetta/free-gophers-pack", "https://github.com/MariaLetta/free-gophers-pack")</f>
        <v>https://github.com/MariaLetta/free-gophers-pack</v>
      </c>
      <c r="D306">
        <v>1340</v>
      </c>
      <c r="E306" t="s">
        <v>901</v>
      </c>
      <c r="F306" t="s">
        <v>902</v>
      </c>
      <c r="G306">
        <v>63</v>
      </c>
      <c r="H306" s="2">
        <v>43557.924641203703</v>
      </c>
      <c r="I306" s="2">
        <v>43579.628587962958</v>
      </c>
      <c r="J306" t="s">
        <v>903</v>
      </c>
    </row>
    <row r="307" spans="1:10" x14ac:dyDescent="0.15">
      <c r="A307">
        <v>42817478</v>
      </c>
      <c r="B307" s="3" t="str">
        <f>HYPERLINK("https://github.com/chzyer/readline", "https://github.com/chzyer/readline")</f>
        <v>https://github.com/chzyer/readline</v>
      </c>
      <c r="D307">
        <v>1332</v>
      </c>
      <c r="E307" t="s">
        <v>904</v>
      </c>
      <c r="F307" t="s">
        <v>905</v>
      </c>
      <c r="G307">
        <v>135</v>
      </c>
      <c r="H307" s="2">
        <v>42267.632986111108</v>
      </c>
      <c r="I307" s="2">
        <v>43578.559571759259</v>
      </c>
      <c r="J307" t="s">
        <v>906</v>
      </c>
    </row>
    <row r="308" spans="1:10" x14ac:dyDescent="0.15">
      <c r="A308">
        <v>32500617</v>
      </c>
      <c r="B308" s="3" t="str">
        <f>HYPERLINK("https://github.com/ajvb/kala", "https://github.com/ajvb/kala")</f>
        <v>https://github.com/ajvb/kala</v>
      </c>
      <c r="D308">
        <v>1315</v>
      </c>
      <c r="E308" t="s">
        <v>907</v>
      </c>
      <c r="F308" t="s">
        <v>908</v>
      </c>
      <c r="G308">
        <v>119</v>
      </c>
      <c r="H308" s="2">
        <v>42082.183553240742</v>
      </c>
      <c r="I308" s="2">
        <v>43579.296967592592</v>
      </c>
      <c r="J308" t="s">
        <v>909</v>
      </c>
    </row>
    <row r="309" spans="1:10" x14ac:dyDescent="0.15">
      <c r="A309">
        <v>11206358</v>
      </c>
      <c r="B309" s="3" t="str">
        <f>HYPERLINK("https://github.com/nytlabs/streamtools", "https://github.com/nytlabs/streamtools")</f>
        <v>https://github.com/nytlabs/streamtools</v>
      </c>
      <c r="D309">
        <v>1314</v>
      </c>
      <c r="E309" t="s">
        <v>910</v>
      </c>
      <c r="F309" t="s">
        <v>911</v>
      </c>
      <c r="G309">
        <v>111</v>
      </c>
      <c r="H309" s="2">
        <v>41460.790798611109</v>
      </c>
      <c r="I309" s="2">
        <v>43573.62773148148</v>
      </c>
      <c r="J309" t="s">
        <v>912</v>
      </c>
    </row>
    <row r="310" spans="1:10" x14ac:dyDescent="0.15">
      <c r="A310">
        <v>23823837</v>
      </c>
      <c r="B310" s="3" t="str">
        <f>HYPERLINK("https://github.com/rubenv/sql-migrate", "https://github.com/rubenv/sql-migrate")</f>
        <v>https://github.com/rubenv/sql-migrate</v>
      </c>
      <c r="D310">
        <v>1304</v>
      </c>
      <c r="E310" t="s">
        <v>913</v>
      </c>
      <c r="F310" t="s">
        <v>914</v>
      </c>
      <c r="G310">
        <v>126</v>
      </c>
      <c r="H310" s="2">
        <v>41891.313668981478</v>
      </c>
      <c r="I310" s="2">
        <v>43579.107627314806</v>
      </c>
      <c r="J310" t="s">
        <v>915</v>
      </c>
    </row>
    <row r="311" spans="1:10" x14ac:dyDescent="0.15">
      <c r="A311">
        <v>8587669</v>
      </c>
      <c r="B311" s="3" t="str">
        <f>HYPERLINK("https://github.com/libgit2/git2go", "https://github.com/libgit2/git2go")</f>
        <v>https://github.com/libgit2/git2go</v>
      </c>
      <c r="D311">
        <v>1304</v>
      </c>
      <c r="E311" t="s">
        <v>916</v>
      </c>
      <c r="F311" t="s">
        <v>917</v>
      </c>
      <c r="G311">
        <v>221</v>
      </c>
      <c r="H311" s="2">
        <v>41338.826886574083</v>
      </c>
      <c r="I311" s="2">
        <v>43577.105312500003</v>
      </c>
      <c r="J311" t="s">
        <v>918</v>
      </c>
    </row>
    <row r="312" spans="1:10" x14ac:dyDescent="0.15">
      <c r="A312">
        <v>2794417</v>
      </c>
      <c r="B312" s="3" t="str">
        <f>HYPERLINK("https://github.com/cihub/seelog", "https://github.com/cihub/seelog")</f>
        <v>https://github.com/cihub/seelog</v>
      </c>
      <c r="D312">
        <v>1301</v>
      </c>
      <c r="E312" t="s">
        <v>919</v>
      </c>
      <c r="F312" t="s">
        <v>920</v>
      </c>
      <c r="G312">
        <v>219</v>
      </c>
      <c r="H312" s="2">
        <v>40864.405034722222</v>
      </c>
      <c r="I312" s="2">
        <v>43580.08734953704</v>
      </c>
      <c r="J312" t="s">
        <v>921</v>
      </c>
    </row>
    <row r="313" spans="1:10" x14ac:dyDescent="0.15">
      <c r="A313">
        <v>53277717</v>
      </c>
      <c r="B313" s="3" t="str">
        <f>HYPERLINK("https://github.com/valyala/quicktemplate", "https://github.com/valyala/quicktemplate")</f>
        <v>https://github.com/valyala/quicktemplate</v>
      </c>
      <c r="D313">
        <v>1301</v>
      </c>
      <c r="E313" t="s">
        <v>922</v>
      </c>
      <c r="F313" t="s">
        <v>923</v>
      </c>
      <c r="G313">
        <v>74</v>
      </c>
      <c r="H313" s="2">
        <v>42435.904178240737</v>
      </c>
      <c r="I313" s="2">
        <v>43580.37259259259</v>
      </c>
      <c r="J313" t="s">
        <v>924</v>
      </c>
    </row>
    <row r="314" spans="1:10" x14ac:dyDescent="0.15">
      <c r="A314">
        <v>49366798</v>
      </c>
      <c r="B314" s="3" t="str">
        <f>HYPERLINK("https://github.com/asdine/storm", "https://github.com/asdine/storm")</f>
        <v>https://github.com/asdine/storm</v>
      </c>
      <c r="D314">
        <v>1292</v>
      </c>
      <c r="E314" t="s">
        <v>925</v>
      </c>
      <c r="F314" t="s">
        <v>926</v>
      </c>
      <c r="G314">
        <v>83</v>
      </c>
      <c r="H314" s="2">
        <v>42379.538877314822</v>
      </c>
      <c r="I314" s="2">
        <v>43578.741064814807</v>
      </c>
      <c r="J314" t="s">
        <v>927</v>
      </c>
    </row>
    <row r="315" spans="1:10" x14ac:dyDescent="0.15">
      <c r="A315">
        <v>28068530</v>
      </c>
      <c r="B315" s="3" t="str">
        <f>HYPERLINK("https://github.com/montanaflynn/stats", "https://github.com/montanaflynn/stats")</f>
        <v>https://github.com/montanaflynn/stats</v>
      </c>
      <c r="D315">
        <v>1280</v>
      </c>
      <c r="E315" t="s">
        <v>928</v>
      </c>
      <c r="F315" t="s">
        <v>929</v>
      </c>
      <c r="G315">
        <v>87</v>
      </c>
      <c r="H315" s="2">
        <v>41989.142581018517</v>
      </c>
      <c r="I315" s="2">
        <v>43578.409583333327</v>
      </c>
      <c r="J315" t="s">
        <v>930</v>
      </c>
    </row>
    <row r="316" spans="1:10" x14ac:dyDescent="0.15">
      <c r="A316">
        <v>8397993</v>
      </c>
      <c r="B316" s="3" t="str">
        <f>HYPERLINK("https://github.com/kisielk/errcheck", "https://github.com/kisielk/errcheck")</f>
        <v>https://github.com/kisielk/errcheck</v>
      </c>
      <c r="D316">
        <v>1271</v>
      </c>
      <c r="E316" t="s">
        <v>931</v>
      </c>
      <c r="F316" t="s">
        <v>932</v>
      </c>
      <c r="G316">
        <v>93</v>
      </c>
      <c r="H316" s="2">
        <v>41329.93891203704</v>
      </c>
      <c r="I316" s="2">
        <v>43578.018958333327</v>
      </c>
      <c r="J316" t="s">
        <v>933</v>
      </c>
    </row>
    <row r="317" spans="1:10" x14ac:dyDescent="0.15">
      <c r="A317">
        <v>140949512</v>
      </c>
      <c r="B317" s="3" t="str">
        <f>HYPERLINK("https://github.com/dunglas/mercure", "https://github.com/dunglas/mercure")</f>
        <v>https://github.com/dunglas/mercure</v>
      </c>
      <c r="D317">
        <v>1266</v>
      </c>
      <c r="E317" t="s">
        <v>934</v>
      </c>
      <c r="F317" t="s">
        <v>935</v>
      </c>
      <c r="G317">
        <v>57</v>
      </c>
      <c r="H317" s="2">
        <v>43295.574467592603</v>
      </c>
      <c r="I317" s="2">
        <v>43580.404664351852</v>
      </c>
      <c r="J317" t="s">
        <v>936</v>
      </c>
    </row>
    <row r="318" spans="1:10" x14ac:dyDescent="0.15">
      <c r="A318">
        <v>549192</v>
      </c>
      <c r="B318" s="3" t="str">
        <f>HYPERLINK("https://github.com/ajstarks/svgo", "https://github.com/ajstarks/svgo")</f>
        <v>https://github.com/ajstarks/svgo</v>
      </c>
      <c r="D318">
        <v>1263</v>
      </c>
      <c r="E318" t="s">
        <v>937</v>
      </c>
      <c r="F318" t="s">
        <v>938</v>
      </c>
      <c r="G318">
        <v>103</v>
      </c>
      <c r="H318" s="2">
        <v>40242.975115740737</v>
      </c>
      <c r="I318" s="2">
        <v>43580.123703703714</v>
      </c>
      <c r="J318" t="s">
        <v>939</v>
      </c>
    </row>
    <row r="319" spans="1:10" x14ac:dyDescent="0.15">
      <c r="A319">
        <v>30563502</v>
      </c>
      <c r="B319" s="3" t="str">
        <f>HYPERLINK("https://github.com/cpmech/gosl", "https://github.com/cpmech/gosl")</f>
        <v>https://github.com/cpmech/gosl</v>
      </c>
      <c r="D319">
        <v>1260</v>
      </c>
      <c r="E319" t="s">
        <v>940</v>
      </c>
      <c r="F319" t="s">
        <v>941</v>
      </c>
      <c r="G319">
        <v>99</v>
      </c>
      <c r="H319" s="2">
        <v>42044.958773148152</v>
      </c>
      <c r="I319" s="2">
        <v>43580.109861111108</v>
      </c>
      <c r="J319" t="s">
        <v>942</v>
      </c>
    </row>
    <row r="320" spans="1:10" x14ac:dyDescent="0.15">
      <c r="A320">
        <v>46313630</v>
      </c>
      <c r="B320" s="3" t="str">
        <f>HYPERLINK("https://github.com/gosuri/uiprogress", "https://github.com/gosuri/uiprogress")</f>
        <v>https://github.com/gosuri/uiprogress</v>
      </c>
      <c r="D320">
        <v>1254</v>
      </c>
      <c r="E320" t="s">
        <v>943</v>
      </c>
      <c r="F320" t="s">
        <v>944</v>
      </c>
      <c r="G320">
        <v>74</v>
      </c>
      <c r="H320" s="2">
        <v>42325.041250000002</v>
      </c>
      <c r="I320" s="2">
        <v>43580.459594907406</v>
      </c>
      <c r="J320" t="s">
        <v>945</v>
      </c>
    </row>
    <row r="321" spans="1:10" x14ac:dyDescent="0.15">
      <c r="A321">
        <v>20831114</v>
      </c>
      <c r="B321" s="3" t="str">
        <f>HYPERLINK("https://github.com/natefinch/lumberjack", "https://github.com/natefinch/lumberjack")</f>
        <v>https://github.com/natefinch/lumberjack</v>
      </c>
      <c r="D321">
        <v>1248</v>
      </c>
      <c r="E321" t="s">
        <v>946</v>
      </c>
      <c r="F321" t="s">
        <v>947</v>
      </c>
      <c r="G321">
        <v>173</v>
      </c>
      <c r="H321" s="2">
        <v>41804.497071759259</v>
      </c>
      <c r="I321" s="2">
        <v>43579.329606481479</v>
      </c>
      <c r="J321" t="s">
        <v>948</v>
      </c>
    </row>
    <row r="322" spans="1:10" x14ac:dyDescent="0.15">
      <c r="A322">
        <v>151509362</v>
      </c>
      <c r="B322" s="3" t="str">
        <f>HYPERLINK("https://github.com/davrodpin/mole", "https://github.com/davrodpin/mole")</f>
        <v>https://github.com/davrodpin/mole</v>
      </c>
      <c r="D322">
        <v>1248</v>
      </c>
      <c r="E322" t="s">
        <v>949</v>
      </c>
      <c r="F322" t="s">
        <v>950</v>
      </c>
      <c r="G322">
        <v>62</v>
      </c>
      <c r="H322" s="2">
        <v>43377.109722222223</v>
      </c>
      <c r="I322" s="2">
        <v>43574.416875000003</v>
      </c>
      <c r="J322" t="s">
        <v>951</v>
      </c>
    </row>
    <row r="323" spans="1:10" x14ac:dyDescent="0.15">
      <c r="A323">
        <v>15237681</v>
      </c>
      <c r="B323" s="3" t="str">
        <f>HYPERLINK("https://github.com/julienschmidt/go-http-routing-benchmark", "https://github.com/julienschmidt/go-http-routing-benchmark")</f>
        <v>https://github.com/julienschmidt/go-http-routing-benchmark</v>
      </c>
      <c r="D323">
        <v>1231</v>
      </c>
      <c r="E323" t="s">
        <v>952</v>
      </c>
      <c r="F323" t="s">
        <v>953</v>
      </c>
      <c r="G323">
        <v>164</v>
      </c>
      <c r="H323" s="2">
        <v>41624.894988425927</v>
      </c>
      <c r="I323" s="2">
        <v>43580.363136574073</v>
      </c>
      <c r="J323" t="s">
        <v>954</v>
      </c>
    </row>
    <row r="324" spans="1:10" x14ac:dyDescent="0.15">
      <c r="A324">
        <v>20692563</v>
      </c>
      <c r="B324" s="3" t="str">
        <f>HYPERLINK("https://github.com/unrolled/render", "https://github.com/unrolled/render")</f>
        <v>https://github.com/unrolled/render</v>
      </c>
      <c r="D324">
        <v>1224</v>
      </c>
      <c r="E324" t="s">
        <v>955</v>
      </c>
      <c r="F324" t="s">
        <v>956</v>
      </c>
      <c r="G324">
        <v>106</v>
      </c>
      <c r="H324" s="2">
        <v>41800.680960648147</v>
      </c>
      <c r="I324" s="2">
        <v>43577.193831018521</v>
      </c>
      <c r="J324" t="s">
        <v>957</v>
      </c>
    </row>
    <row r="325" spans="1:10" x14ac:dyDescent="0.15">
      <c r="A325">
        <v>18537125</v>
      </c>
      <c r="B325" s="3" t="str">
        <f>HYPERLINK("https://github.com/muesli/smartcrop", "https://github.com/muesli/smartcrop")</f>
        <v>https://github.com/muesli/smartcrop</v>
      </c>
      <c r="D325">
        <v>1217</v>
      </c>
      <c r="E325" t="s">
        <v>958</v>
      </c>
      <c r="F325" t="s">
        <v>959</v>
      </c>
      <c r="G325">
        <v>74</v>
      </c>
      <c r="H325" s="2">
        <v>41736.944479166668</v>
      </c>
      <c r="I325" s="2">
        <v>43574.563148148147</v>
      </c>
      <c r="J325" t="s">
        <v>960</v>
      </c>
    </row>
    <row r="326" spans="1:10" x14ac:dyDescent="0.15">
      <c r="A326">
        <v>15968733</v>
      </c>
      <c r="B326" s="3" t="str">
        <f>HYPERLINK("https://github.com/rakyll/coop", "https://github.com/rakyll/coop")</f>
        <v>https://github.com/rakyll/coop</v>
      </c>
      <c r="D326">
        <v>1217</v>
      </c>
      <c r="E326" t="s">
        <v>961</v>
      </c>
      <c r="F326" t="s">
        <v>962</v>
      </c>
      <c r="G326">
        <v>49</v>
      </c>
      <c r="H326" s="2">
        <v>41655.567893518521</v>
      </c>
      <c r="I326" s="2">
        <v>43571.465092592603</v>
      </c>
      <c r="J326" t="s">
        <v>963</v>
      </c>
    </row>
    <row r="327" spans="1:10" x14ac:dyDescent="0.15">
      <c r="A327">
        <v>29749065</v>
      </c>
      <c r="B327" s="3" t="str">
        <f>HYPERLINK("https://github.com/haxpax/gosms", "https://github.com/haxpax/gosms")</f>
        <v>https://github.com/haxpax/gosms</v>
      </c>
      <c r="D327">
        <v>1211</v>
      </c>
      <c r="E327" t="s">
        <v>964</v>
      </c>
      <c r="F327" t="s">
        <v>965</v>
      </c>
      <c r="G327">
        <v>114</v>
      </c>
      <c r="H327" s="2">
        <v>42027.809664351851</v>
      </c>
      <c r="I327" s="2">
        <v>43574.637870370367</v>
      </c>
      <c r="J327" t="s">
        <v>966</v>
      </c>
    </row>
    <row r="328" spans="1:10" x14ac:dyDescent="0.15">
      <c r="A328">
        <v>26840153</v>
      </c>
      <c r="B328" s="3" t="str">
        <f>HYPERLINK("https://github.com/go-zoo/bone", "https://github.com/go-zoo/bone")</f>
        <v>https://github.com/go-zoo/bone</v>
      </c>
      <c r="D328">
        <v>1206</v>
      </c>
      <c r="E328" t="s">
        <v>967</v>
      </c>
      <c r="F328" t="s">
        <v>968</v>
      </c>
      <c r="G328">
        <v>78</v>
      </c>
      <c r="H328" s="2">
        <v>41962.094861111109</v>
      </c>
      <c r="I328" s="2">
        <v>43579.364699074067</v>
      </c>
      <c r="J328" t="s">
        <v>969</v>
      </c>
    </row>
    <row r="329" spans="1:10" x14ac:dyDescent="0.15">
      <c r="A329">
        <v>12607168</v>
      </c>
      <c r="B329" s="3" t="str">
        <f>HYPERLINK("https://github.com/pote/gpm", "https://github.com/pote/gpm")</f>
        <v>https://github.com/pote/gpm</v>
      </c>
      <c r="D329">
        <v>1203</v>
      </c>
      <c r="E329" t="s">
        <v>970</v>
      </c>
      <c r="F329" t="s">
        <v>971</v>
      </c>
      <c r="G329">
        <v>51</v>
      </c>
      <c r="H329" s="2">
        <v>41522.100023148138</v>
      </c>
      <c r="I329" s="2">
        <v>43575.428576388891</v>
      </c>
      <c r="J329" t="s">
        <v>972</v>
      </c>
    </row>
    <row r="330" spans="1:10" x14ac:dyDescent="0.15">
      <c r="A330">
        <v>18372716</v>
      </c>
      <c r="B330" s="3" t="str">
        <f>HYPERLINK("https://github.com/Jeffail/tunny", "https://github.com/Jeffail/tunny")</f>
        <v>https://github.com/Jeffail/tunny</v>
      </c>
      <c r="D330">
        <v>1198</v>
      </c>
      <c r="E330" t="s">
        <v>973</v>
      </c>
      <c r="F330" t="s">
        <v>974</v>
      </c>
      <c r="G330">
        <v>106</v>
      </c>
      <c r="H330" s="2">
        <v>41731.677060185182</v>
      </c>
      <c r="I330" s="2">
        <v>43580.296469907407</v>
      </c>
      <c r="J330" t="s">
        <v>975</v>
      </c>
    </row>
    <row r="331" spans="1:10" x14ac:dyDescent="0.15">
      <c r="A331">
        <v>164809872</v>
      </c>
      <c r="B331" s="3" t="str">
        <f>HYPERLINK("https://github.com/d5/tengo", "https://github.com/d5/tengo")</f>
        <v>https://github.com/d5/tengo</v>
      </c>
      <c r="D331">
        <v>1184</v>
      </c>
      <c r="E331" t="s">
        <v>976</v>
      </c>
      <c r="F331" t="s">
        <v>977</v>
      </c>
      <c r="G331">
        <v>50</v>
      </c>
      <c r="H331" s="2">
        <v>43474.303668981483</v>
      </c>
      <c r="I331" s="2">
        <v>43580.062962962962</v>
      </c>
      <c r="J331" t="s">
        <v>978</v>
      </c>
    </row>
    <row r="332" spans="1:10" x14ac:dyDescent="0.15">
      <c r="A332">
        <v>45341460</v>
      </c>
      <c r="B332" s="3" t="str">
        <f>HYPERLINK("https://github.com/RichardKnop/go-oauth2-server", "https://github.com/RichardKnop/go-oauth2-server")</f>
        <v>https://github.com/RichardKnop/go-oauth2-server</v>
      </c>
      <c r="D332">
        <v>1183</v>
      </c>
      <c r="E332" t="s">
        <v>979</v>
      </c>
      <c r="F332" t="s">
        <v>980</v>
      </c>
      <c r="G332">
        <v>165</v>
      </c>
      <c r="H332" s="2">
        <v>42309.562604166669</v>
      </c>
      <c r="I332" s="2">
        <v>43580.196469907409</v>
      </c>
      <c r="J332" t="s">
        <v>981</v>
      </c>
    </row>
    <row r="333" spans="1:10" x14ac:dyDescent="0.15">
      <c r="A333">
        <v>75564101</v>
      </c>
      <c r="B333" s="3" t="str">
        <f>HYPERLINK("https://github.com/dave/jennifer", "https://github.com/dave/jennifer")</f>
        <v>https://github.com/dave/jennifer</v>
      </c>
      <c r="D333">
        <v>1183</v>
      </c>
      <c r="E333" t="s">
        <v>982</v>
      </c>
      <c r="F333" t="s">
        <v>983</v>
      </c>
      <c r="G333">
        <v>53</v>
      </c>
      <c r="H333" s="2">
        <v>42708.873356481483</v>
      </c>
      <c r="I333" s="2">
        <v>43578.331226851849</v>
      </c>
      <c r="J333" t="s">
        <v>984</v>
      </c>
    </row>
    <row r="334" spans="1:10" x14ac:dyDescent="0.15">
      <c r="A334">
        <v>21774052</v>
      </c>
      <c r="B334" s="3" t="str">
        <f>HYPERLINK("https://github.com/disintegration/gift", "https://github.com/disintegration/gift")</f>
        <v>https://github.com/disintegration/gift</v>
      </c>
      <c r="D334">
        <v>1174</v>
      </c>
      <c r="E334" t="s">
        <v>985</v>
      </c>
      <c r="F334" t="s">
        <v>986</v>
      </c>
      <c r="G334">
        <v>83</v>
      </c>
      <c r="H334" s="2">
        <v>41832.783101851863</v>
      </c>
      <c r="I334" s="2">
        <v>43578.611585648148</v>
      </c>
      <c r="J334" t="s">
        <v>987</v>
      </c>
    </row>
    <row r="335" spans="1:10" x14ac:dyDescent="0.15">
      <c r="A335">
        <v>14570749</v>
      </c>
      <c r="B335" s="3" t="str">
        <f>HYPERLINK("https://github.com/microcosm-cc/bluemonday", "https://github.com/microcosm-cc/bluemonday")</f>
        <v>https://github.com/microcosm-cc/bluemonday</v>
      </c>
      <c r="D335">
        <v>1169</v>
      </c>
      <c r="E335" t="s">
        <v>988</v>
      </c>
      <c r="F335" t="s">
        <v>989</v>
      </c>
      <c r="G335">
        <v>86</v>
      </c>
      <c r="H335" s="2">
        <v>41598.92765046296</v>
      </c>
      <c r="I335" s="2">
        <v>43579.758171296293</v>
      </c>
      <c r="J335" t="s">
        <v>990</v>
      </c>
    </row>
    <row r="336" spans="1:10" x14ac:dyDescent="0.15">
      <c r="A336">
        <v>3269762</v>
      </c>
      <c r="B336" s="3" t="str">
        <f>HYPERLINK("https://github.com/bmizerany/pat", "https://github.com/bmizerany/pat")</f>
        <v>https://github.com/bmizerany/pat</v>
      </c>
      <c r="D336">
        <v>1166</v>
      </c>
      <c r="E336" t="s">
        <v>991</v>
      </c>
      <c r="G336">
        <v>107</v>
      </c>
      <c r="H336" s="2">
        <v>40933.9841087963</v>
      </c>
      <c r="I336" s="2">
        <v>43576.251064814824</v>
      </c>
      <c r="J336" t="s">
        <v>992</v>
      </c>
    </row>
    <row r="337" spans="1:10" x14ac:dyDescent="0.15">
      <c r="A337">
        <v>79034512</v>
      </c>
      <c r="B337" s="3" t="str">
        <f>HYPERLINK("https://github.com/shiyanhui/hero", "https://github.com/shiyanhui/hero")</f>
        <v>https://github.com/shiyanhui/hero</v>
      </c>
      <c r="D337">
        <v>1162</v>
      </c>
      <c r="E337" t="s">
        <v>993</v>
      </c>
      <c r="F337" t="s">
        <v>994</v>
      </c>
      <c r="G337">
        <v>74</v>
      </c>
      <c r="H337" s="2">
        <v>42750.563773148147</v>
      </c>
      <c r="I337" s="2">
        <v>43580.480636574073</v>
      </c>
      <c r="J337" t="s">
        <v>995</v>
      </c>
    </row>
    <row r="338" spans="1:10" x14ac:dyDescent="0.15">
      <c r="A338">
        <v>10373529</v>
      </c>
      <c r="B338" s="3" t="str">
        <f>HYPERLINK("https://github.com/ugorji/go", "https://github.com/ugorji/go")</f>
        <v>https://github.com/ugorji/go</v>
      </c>
      <c r="D338">
        <v>1157</v>
      </c>
      <c r="E338" t="s">
        <v>275</v>
      </c>
      <c r="F338" t="s">
        <v>996</v>
      </c>
      <c r="G338">
        <v>178</v>
      </c>
      <c r="H338" s="2">
        <v>41424.092511574083</v>
      </c>
      <c r="I338" s="2">
        <v>43580.417881944442</v>
      </c>
      <c r="J338" t="s">
        <v>997</v>
      </c>
    </row>
    <row r="339" spans="1:10" x14ac:dyDescent="0.15">
      <c r="A339">
        <v>19994985</v>
      </c>
      <c r="B339" s="3" t="str">
        <f>HYPERLINK("https://github.com/unrolled/secure", "https://github.com/unrolled/secure")</f>
        <v>https://github.com/unrolled/secure</v>
      </c>
      <c r="D339">
        <v>1142</v>
      </c>
      <c r="E339" t="s">
        <v>998</v>
      </c>
      <c r="F339" t="s">
        <v>999</v>
      </c>
      <c r="G339">
        <v>75</v>
      </c>
      <c r="H339" s="2">
        <v>41779.823935185188</v>
      </c>
      <c r="I339" s="2">
        <v>43579.748032407413</v>
      </c>
      <c r="J339" t="s">
        <v>1000</v>
      </c>
    </row>
    <row r="340" spans="1:10" x14ac:dyDescent="0.15">
      <c r="A340">
        <v>35771021</v>
      </c>
      <c r="B340" s="3" t="str">
        <f>HYPERLINK("https://github.com/didip/tollbooth", "https://github.com/didip/tollbooth")</f>
        <v>https://github.com/didip/tollbooth</v>
      </c>
      <c r="D340">
        <v>1140</v>
      </c>
      <c r="E340" t="s">
        <v>1001</v>
      </c>
      <c r="F340" t="s">
        <v>1002</v>
      </c>
      <c r="G340">
        <v>113</v>
      </c>
      <c r="H340" s="2">
        <v>42141.638923611114</v>
      </c>
      <c r="I340" s="2">
        <v>43579.633125</v>
      </c>
      <c r="J340" t="s">
        <v>1003</v>
      </c>
    </row>
    <row r="341" spans="1:10" x14ac:dyDescent="0.15">
      <c r="A341">
        <v>11601889</v>
      </c>
      <c r="B341" s="3" t="str">
        <f>HYPERLINK("https://github.com/gonum/plot", "https://github.com/gonum/plot")</f>
        <v>https://github.com/gonum/plot</v>
      </c>
      <c r="D341">
        <v>1123</v>
      </c>
      <c r="E341" t="s">
        <v>1004</v>
      </c>
      <c r="F341" t="s">
        <v>1005</v>
      </c>
      <c r="G341">
        <v>112</v>
      </c>
      <c r="H341" s="2">
        <v>41478.292511574073</v>
      </c>
      <c r="I341" s="2">
        <v>43580.375775462962</v>
      </c>
      <c r="J341" t="s">
        <v>1006</v>
      </c>
    </row>
    <row r="342" spans="1:10" x14ac:dyDescent="0.15">
      <c r="A342">
        <v>19436562</v>
      </c>
      <c r="B342" s="3" t="str">
        <f>HYPERLINK("https://github.com/mkaz/working-with-go", "https://github.com/mkaz/working-with-go")</f>
        <v>https://github.com/mkaz/working-with-go</v>
      </c>
      <c r="D342">
        <v>1119</v>
      </c>
      <c r="E342" t="s">
        <v>1007</v>
      </c>
      <c r="F342" t="s">
        <v>1008</v>
      </c>
      <c r="G342">
        <v>181</v>
      </c>
      <c r="H342" s="2">
        <v>41763.895196759258</v>
      </c>
      <c r="I342" s="2">
        <v>43580.310763888891</v>
      </c>
      <c r="J342" t="s">
        <v>1009</v>
      </c>
    </row>
    <row r="343" spans="1:10" x14ac:dyDescent="0.15">
      <c r="A343">
        <v>92176061</v>
      </c>
      <c r="B343" s="3" t="str">
        <f>HYPERLINK("https://github.com/galeone/tfgo", "https://github.com/galeone/tfgo")</f>
        <v>https://github.com/galeone/tfgo</v>
      </c>
      <c r="D343">
        <v>1116</v>
      </c>
      <c r="E343" t="s">
        <v>1010</v>
      </c>
      <c r="F343" t="s">
        <v>1011</v>
      </c>
      <c r="G343">
        <v>71</v>
      </c>
      <c r="H343" s="2">
        <v>42878.560868055552</v>
      </c>
      <c r="I343" s="2">
        <v>43580.063842592594</v>
      </c>
      <c r="J343" t="s">
        <v>1012</v>
      </c>
    </row>
    <row r="344" spans="1:10" x14ac:dyDescent="0.15">
      <c r="A344">
        <v>13730733</v>
      </c>
      <c r="B344" s="3" t="str">
        <f>HYPERLINK("https://github.com/facebookarchive/inject", "https://github.com/facebookarchive/inject")</f>
        <v>https://github.com/facebookarchive/inject</v>
      </c>
      <c r="D344">
        <v>1112</v>
      </c>
      <c r="E344" t="s">
        <v>1013</v>
      </c>
      <c r="F344" t="s">
        <v>1014</v>
      </c>
      <c r="G344">
        <v>85</v>
      </c>
      <c r="H344" s="2">
        <v>41568.077615740738</v>
      </c>
      <c r="I344" s="2">
        <v>43579.392916666657</v>
      </c>
      <c r="J344" t="s">
        <v>1015</v>
      </c>
    </row>
    <row r="345" spans="1:10" x14ac:dyDescent="0.15">
      <c r="A345">
        <v>12367149</v>
      </c>
      <c r="B345" s="3" t="str">
        <f>HYPERLINK("https://github.com/docopt/docopt.go", "https://github.com/docopt/docopt.go")</f>
        <v>https://github.com/docopt/docopt.go</v>
      </c>
      <c r="D345">
        <v>1110</v>
      </c>
      <c r="E345" t="s">
        <v>1016</v>
      </c>
      <c r="F345" t="s">
        <v>1017</v>
      </c>
      <c r="G345">
        <v>94</v>
      </c>
      <c r="H345" s="2">
        <v>41511.962407407409</v>
      </c>
      <c r="I345" s="2">
        <v>43578.295474537037</v>
      </c>
      <c r="J345" t="s">
        <v>1018</v>
      </c>
    </row>
    <row r="346" spans="1:10" x14ac:dyDescent="0.15">
      <c r="A346">
        <v>25719147</v>
      </c>
      <c r="B346" s="3" t="str">
        <f>HYPERLINK("https://github.com/rs/cors", "https://github.com/rs/cors")</f>
        <v>https://github.com/rs/cors</v>
      </c>
      <c r="D346">
        <v>1107</v>
      </c>
      <c r="E346" t="s">
        <v>1019</v>
      </c>
      <c r="F346" t="s">
        <v>1020</v>
      </c>
      <c r="G346">
        <v>101</v>
      </c>
      <c r="H346" s="2">
        <v>41937.159548611111</v>
      </c>
      <c r="I346" s="2">
        <v>43579.931793981479</v>
      </c>
      <c r="J346" t="s">
        <v>1021</v>
      </c>
    </row>
    <row r="347" spans="1:10" x14ac:dyDescent="0.15">
      <c r="A347">
        <v>102989</v>
      </c>
      <c r="B347" s="3" t="str">
        <f>HYPERLINK("https://github.com/tj/terminal-table", "https://github.com/tj/terminal-table")</f>
        <v>https://github.com/tj/terminal-table</v>
      </c>
      <c r="D347">
        <v>1103</v>
      </c>
      <c r="E347" t="s">
        <v>1022</v>
      </c>
      <c r="F347" t="s">
        <v>1023</v>
      </c>
      <c r="G347">
        <v>108</v>
      </c>
      <c r="H347" s="2">
        <v>39820.988449074073</v>
      </c>
      <c r="I347" s="2">
        <v>43580.510775462957</v>
      </c>
      <c r="J347" t="s">
        <v>1024</v>
      </c>
    </row>
    <row r="348" spans="1:10" x14ac:dyDescent="0.15">
      <c r="A348">
        <v>30389634</v>
      </c>
      <c r="B348" s="3" t="str">
        <f>HYPERLINK("https://github.com/tylertreat/BoomFilters", "https://github.com/tylertreat/BoomFilters")</f>
        <v>https://github.com/tylertreat/BoomFilters</v>
      </c>
      <c r="D348">
        <v>1097</v>
      </c>
      <c r="E348" t="s">
        <v>1025</v>
      </c>
      <c r="F348" t="s">
        <v>1026</v>
      </c>
      <c r="G348">
        <v>68</v>
      </c>
      <c r="H348" s="2">
        <v>42041.084328703713</v>
      </c>
      <c r="I348" s="2">
        <v>43576.990636574083</v>
      </c>
      <c r="J348" t="s">
        <v>1027</v>
      </c>
    </row>
    <row r="349" spans="1:10" x14ac:dyDescent="0.15">
      <c r="A349">
        <v>10509683</v>
      </c>
      <c r="B349" s="3" t="str">
        <f>HYPERLINK("https://github.com/veandco/go-sdl2", "https://github.com/veandco/go-sdl2")</f>
        <v>https://github.com/veandco/go-sdl2</v>
      </c>
      <c r="D349">
        <v>1097</v>
      </c>
      <c r="E349" t="s">
        <v>1028</v>
      </c>
      <c r="F349" t="s">
        <v>1029</v>
      </c>
      <c r="G349">
        <v>139</v>
      </c>
      <c r="H349" s="2">
        <v>41430.770868055559</v>
      </c>
      <c r="I349" s="2">
        <v>43579.718530092592</v>
      </c>
      <c r="J349" t="s">
        <v>1030</v>
      </c>
    </row>
    <row r="350" spans="1:10" x14ac:dyDescent="0.15">
      <c r="A350">
        <v>41440228</v>
      </c>
      <c r="B350" s="3" t="str">
        <f>HYPERLINK("https://github.com/sanathp/statusok", "https://github.com/sanathp/statusok")</f>
        <v>https://github.com/sanathp/statusok</v>
      </c>
      <c r="D350">
        <v>1095</v>
      </c>
      <c r="E350" t="s">
        <v>1031</v>
      </c>
      <c r="F350" t="s">
        <v>1032</v>
      </c>
      <c r="G350">
        <v>126</v>
      </c>
      <c r="H350" s="2">
        <v>42242.735972222217</v>
      </c>
      <c r="I350" s="2">
        <v>43580.531400462962</v>
      </c>
      <c r="J350" t="s">
        <v>1033</v>
      </c>
    </row>
    <row r="351" spans="1:10" x14ac:dyDescent="0.15">
      <c r="A351">
        <v>2287470</v>
      </c>
      <c r="B351" s="3" t="str">
        <f>HYPERLINK("https://github.com/uniqush/uniqush-push", "https://github.com/uniqush/uniqush-push")</f>
        <v>https://github.com/uniqush/uniqush-push</v>
      </c>
      <c r="D351">
        <v>1072</v>
      </c>
      <c r="E351" t="s">
        <v>1034</v>
      </c>
      <c r="F351" t="s">
        <v>1035</v>
      </c>
      <c r="G351">
        <v>173</v>
      </c>
      <c r="H351" s="2">
        <v>40784.362928240742</v>
      </c>
      <c r="I351" s="2">
        <v>43574.955428240741</v>
      </c>
      <c r="J351" t="s">
        <v>1036</v>
      </c>
    </row>
    <row r="352" spans="1:10" x14ac:dyDescent="0.15">
      <c r="A352">
        <v>137647094</v>
      </c>
      <c r="B352" s="3" t="str">
        <f>HYPERLINK("https://github.com/guptarohit/asciigraph", "https://github.com/guptarohit/asciigraph")</f>
        <v>https://github.com/guptarohit/asciigraph</v>
      </c>
      <c r="D352">
        <v>1065</v>
      </c>
      <c r="E352" t="s">
        <v>1037</v>
      </c>
      <c r="F352" t="s">
        <v>1038</v>
      </c>
      <c r="G352">
        <v>32</v>
      </c>
      <c r="H352" s="2">
        <v>43268.442546296297</v>
      </c>
      <c r="I352" s="2">
        <v>43579.920729166668</v>
      </c>
      <c r="J352" t="s">
        <v>1039</v>
      </c>
    </row>
    <row r="353" spans="1:10" x14ac:dyDescent="0.15">
      <c r="A353">
        <v>57400412</v>
      </c>
      <c r="B353" s="3" t="str">
        <f>HYPERLINK("https://github.com/gavv/httpexpect", "https://github.com/gavv/httpexpect")</f>
        <v>https://github.com/gavv/httpexpect</v>
      </c>
      <c r="D353">
        <v>1064</v>
      </c>
      <c r="E353" t="s">
        <v>1040</v>
      </c>
      <c r="F353" t="s">
        <v>1041</v>
      </c>
      <c r="G353">
        <v>64</v>
      </c>
      <c r="H353" s="2">
        <v>42489.712037037039</v>
      </c>
      <c r="I353" s="2">
        <v>43578.621203703697</v>
      </c>
      <c r="J353" t="s">
        <v>1042</v>
      </c>
    </row>
    <row r="354" spans="1:10" x14ac:dyDescent="0.15">
      <c r="A354">
        <v>66257173</v>
      </c>
      <c r="B354" s="3" t="str">
        <f>HYPERLINK("https://github.com/aerokube/selenoid", "https://github.com/aerokube/selenoid")</f>
        <v>https://github.com/aerokube/selenoid</v>
      </c>
      <c r="D354">
        <v>1056</v>
      </c>
      <c r="E354" t="s">
        <v>1043</v>
      </c>
      <c r="F354" t="s">
        <v>1044</v>
      </c>
      <c r="G354">
        <v>135</v>
      </c>
      <c r="H354" s="2">
        <v>42604.382824074077</v>
      </c>
      <c r="I354" s="2">
        <v>43580.503680555557</v>
      </c>
      <c r="J354" t="s">
        <v>1045</v>
      </c>
    </row>
    <row r="355" spans="1:10" x14ac:dyDescent="0.15">
      <c r="A355">
        <v>47317797</v>
      </c>
      <c r="B355" s="3" t="str">
        <f>HYPERLINK("https://github.com/eleme/banshee", "https://github.com/eleme/banshee")</f>
        <v>https://github.com/eleme/banshee</v>
      </c>
      <c r="D355">
        <v>1052</v>
      </c>
      <c r="E355" t="s">
        <v>1046</v>
      </c>
      <c r="F355" t="s">
        <v>1047</v>
      </c>
      <c r="G355">
        <v>120</v>
      </c>
      <c r="H355" s="2">
        <v>42341.343344907407</v>
      </c>
      <c r="I355" s="2">
        <v>43580.551817129628</v>
      </c>
      <c r="J355" t="s">
        <v>1048</v>
      </c>
    </row>
    <row r="356" spans="1:10" x14ac:dyDescent="0.15">
      <c r="A356">
        <v>15043456</v>
      </c>
      <c r="B356" s="3" t="str">
        <f>HYPERLINK("https://github.com/go-opencv/go-opencv", "https://github.com/go-opencv/go-opencv")</f>
        <v>https://github.com/go-opencv/go-opencv</v>
      </c>
      <c r="D356">
        <v>1048</v>
      </c>
      <c r="E356" t="s">
        <v>1049</v>
      </c>
      <c r="F356" t="s">
        <v>1050</v>
      </c>
      <c r="G356">
        <v>172</v>
      </c>
      <c r="H356" s="2">
        <v>41617.405162037037</v>
      </c>
      <c r="I356" s="2">
        <v>43580.401354166657</v>
      </c>
      <c r="J356" t="s">
        <v>1051</v>
      </c>
    </row>
    <row r="357" spans="1:10" x14ac:dyDescent="0.15">
      <c r="A357">
        <v>26651710</v>
      </c>
      <c r="B357" s="3" t="str">
        <f>HYPERLINK("https://github.com/square/go-jose", "https://github.com/square/go-jose")</f>
        <v>https://github.com/square/go-jose</v>
      </c>
      <c r="D357">
        <v>1043</v>
      </c>
      <c r="E357" t="s">
        <v>1052</v>
      </c>
      <c r="F357" t="s">
        <v>1053</v>
      </c>
      <c r="G357">
        <v>217</v>
      </c>
      <c r="H357" s="2">
        <v>41957.769108796303</v>
      </c>
      <c r="I357" s="2">
        <v>43580.269548611112</v>
      </c>
      <c r="J357" t="s">
        <v>1054</v>
      </c>
    </row>
    <row r="358" spans="1:10" x14ac:dyDescent="0.15">
      <c r="A358">
        <v>50220146</v>
      </c>
      <c r="B358" s="3" t="str">
        <f>HYPERLINK("https://github.com/mmcdole/gofeed", "https://github.com/mmcdole/gofeed")</f>
        <v>https://github.com/mmcdole/gofeed</v>
      </c>
      <c r="D358">
        <v>1041</v>
      </c>
      <c r="E358" t="s">
        <v>1055</v>
      </c>
      <c r="F358" t="s">
        <v>1056</v>
      </c>
      <c r="G358">
        <v>89</v>
      </c>
      <c r="H358" s="2">
        <v>42392.114282407398</v>
      </c>
      <c r="I358" s="2">
        <v>43580.391377314823</v>
      </c>
      <c r="J358" t="s">
        <v>1057</v>
      </c>
    </row>
    <row r="359" spans="1:10" x14ac:dyDescent="0.15">
      <c r="A359">
        <v>21420279</v>
      </c>
      <c r="B359" s="3" t="str">
        <f>HYPERLINK("https://github.com/tobyhede/go-underscore", "https://github.com/tobyhede/go-underscore")</f>
        <v>https://github.com/tobyhede/go-underscore</v>
      </c>
      <c r="D359">
        <v>1036</v>
      </c>
      <c r="E359" t="s">
        <v>1058</v>
      </c>
      <c r="F359" t="s">
        <v>1059</v>
      </c>
      <c r="G359">
        <v>55</v>
      </c>
      <c r="H359" s="2">
        <v>41822.435601851852</v>
      </c>
      <c r="I359" s="2">
        <v>43580.516840277778</v>
      </c>
      <c r="J359" t="s">
        <v>1060</v>
      </c>
    </row>
    <row r="360" spans="1:10" x14ac:dyDescent="0.15">
      <c r="A360">
        <v>11162159</v>
      </c>
      <c r="B360" s="3" t="str">
        <f>HYPERLINK("https://github.com/deckarep/golang-set", "https://github.com/deckarep/golang-set")</f>
        <v>https://github.com/deckarep/golang-set</v>
      </c>
      <c r="D360">
        <v>1032</v>
      </c>
      <c r="E360" t="s">
        <v>1061</v>
      </c>
      <c r="F360" t="s">
        <v>1062</v>
      </c>
      <c r="G360">
        <v>105</v>
      </c>
      <c r="H360" s="2">
        <v>41458.911122685182</v>
      </c>
      <c r="I360" s="2">
        <v>43579.232476851852</v>
      </c>
      <c r="J360" t="s">
        <v>1063</v>
      </c>
    </row>
    <row r="361" spans="1:10" x14ac:dyDescent="0.15">
      <c r="A361">
        <v>69914159</v>
      </c>
      <c r="B361" s="3" t="str">
        <f>HYPERLINK("https://github.com/gliderlabs/ssh", "https://github.com/gliderlabs/ssh")</f>
        <v>https://github.com/gliderlabs/ssh</v>
      </c>
      <c r="D361">
        <v>1024</v>
      </c>
      <c r="E361" t="s">
        <v>1064</v>
      </c>
      <c r="F361" t="s">
        <v>1065</v>
      </c>
      <c r="G361">
        <v>115</v>
      </c>
      <c r="H361" s="2">
        <v>42646.912314814806</v>
      </c>
      <c r="I361" s="2">
        <v>43580.291481481479</v>
      </c>
      <c r="J361" t="s">
        <v>1066</v>
      </c>
    </row>
    <row r="362" spans="1:10" x14ac:dyDescent="0.15">
      <c r="A362">
        <v>15146229</v>
      </c>
      <c r="B362" s="3" t="str">
        <f>HYPERLINK("https://github.com/jordan-wright/email", "https://github.com/jordan-wright/email")</f>
        <v>https://github.com/jordan-wright/email</v>
      </c>
      <c r="D362">
        <v>1023</v>
      </c>
      <c r="E362" t="s">
        <v>1067</v>
      </c>
      <c r="F362" t="s">
        <v>1068</v>
      </c>
      <c r="G362">
        <v>132</v>
      </c>
      <c r="H362" s="2">
        <v>41620.84165509259</v>
      </c>
      <c r="I362" s="2">
        <v>43580.079826388886</v>
      </c>
      <c r="J362" t="s">
        <v>1069</v>
      </c>
    </row>
    <row r="363" spans="1:10" x14ac:dyDescent="0.15">
      <c r="A363">
        <v>9360392</v>
      </c>
      <c r="B363" s="3" t="str">
        <f>HYPERLINK("https://github.com/xtaci/gonet", "https://github.com/xtaci/gonet")</f>
        <v>https://github.com/xtaci/gonet</v>
      </c>
      <c r="D363">
        <v>1019</v>
      </c>
      <c r="E363" t="s">
        <v>1070</v>
      </c>
      <c r="F363" t="s">
        <v>1071</v>
      </c>
      <c r="G363">
        <v>294</v>
      </c>
      <c r="H363" s="2">
        <v>41375.096099537041</v>
      </c>
      <c r="I363" s="2">
        <v>43580.211793981478</v>
      </c>
      <c r="J363" t="s">
        <v>1072</v>
      </c>
    </row>
    <row r="364" spans="1:10" x14ac:dyDescent="0.15">
      <c r="A364">
        <v>62978868</v>
      </c>
      <c r="B364" s="3" t="str">
        <f>HYPERLINK("https://github.com/TIBCOSoftware/flogo", "https://github.com/TIBCOSoftware/flogo")</f>
        <v>https://github.com/TIBCOSoftware/flogo</v>
      </c>
      <c r="D364">
        <v>1019</v>
      </c>
      <c r="E364" t="s">
        <v>1073</v>
      </c>
      <c r="F364" t="s">
        <v>1074</v>
      </c>
      <c r="G364">
        <v>151</v>
      </c>
      <c r="H364" s="2">
        <v>42561.123414351852</v>
      </c>
      <c r="I364" s="2">
        <v>43580.126909722218</v>
      </c>
      <c r="J364" t="s">
        <v>1075</v>
      </c>
    </row>
    <row r="365" spans="1:10" x14ac:dyDescent="0.15">
      <c r="A365">
        <v>93255352</v>
      </c>
      <c r="B365" s="3" t="str">
        <f>HYPERLINK("https://github.com/xiaonanln/goworld", "https://github.com/xiaonanln/goworld")</f>
        <v>https://github.com/xiaonanln/goworld</v>
      </c>
      <c r="D365">
        <v>1002</v>
      </c>
      <c r="E365" t="s">
        <v>1076</v>
      </c>
      <c r="F365" s="4" t="s">
        <v>1077</v>
      </c>
      <c r="G365">
        <v>191</v>
      </c>
      <c r="H365" s="2">
        <v>42889.626921296287</v>
      </c>
      <c r="I365" s="2">
        <v>43580.528877314813</v>
      </c>
      <c r="J365" t="s">
        <v>1078</v>
      </c>
    </row>
    <row r="366" spans="1:10" x14ac:dyDescent="0.15">
      <c r="A366">
        <v>26521386</v>
      </c>
      <c r="B366" s="3" t="str">
        <f>HYPERLINK("https://github.com/EngoEngine/engo", "https://github.com/EngoEngine/engo")</f>
        <v>https://github.com/EngoEngine/engo</v>
      </c>
      <c r="D366">
        <v>997</v>
      </c>
      <c r="E366" t="s">
        <v>1079</v>
      </c>
      <c r="F366" t="s">
        <v>1080</v>
      </c>
      <c r="G366">
        <v>89</v>
      </c>
      <c r="H366" s="2">
        <v>41955.243090277778</v>
      </c>
      <c r="I366" s="2">
        <v>43578.767835648148</v>
      </c>
      <c r="J366" t="s">
        <v>1081</v>
      </c>
    </row>
    <row r="367" spans="1:10" x14ac:dyDescent="0.15">
      <c r="A367">
        <v>29329884</v>
      </c>
      <c r="B367" s="3" t="str">
        <f>HYPERLINK("https://github.com/minio/mc", "https://github.com/minio/mc")</f>
        <v>https://github.com/minio/mc</v>
      </c>
      <c r="D367">
        <v>996</v>
      </c>
      <c r="E367" t="s">
        <v>1082</v>
      </c>
      <c r="F367" t="s">
        <v>1083</v>
      </c>
      <c r="G367">
        <v>170</v>
      </c>
      <c r="H367" s="2">
        <v>42020.122812499998</v>
      </c>
      <c r="I367" s="2">
        <v>43579.644895833328</v>
      </c>
      <c r="J367" t="s">
        <v>1084</v>
      </c>
    </row>
    <row r="368" spans="1:10" x14ac:dyDescent="0.15">
      <c r="A368">
        <v>13546188</v>
      </c>
      <c r="B368" s="3" t="str">
        <f>HYPERLINK("https://github.com/clipperhouse/gen", "https://github.com/clipperhouse/gen")</f>
        <v>https://github.com/clipperhouse/gen</v>
      </c>
      <c r="D368">
        <v>995</v>
      </c>
      <c r="E368" t="s">
        <v>1085</v>
      </c>
      <c r="F368" t="s">
        <v>1086</v>
      </c>
      <c r="G368">
        <v>67</v>
      </c>
      <c r="H368" s="2">
        <v>41560.851805555547</v>
      </c>
      <c r="I368" s="2">
        <v>43569.760277777779</v>
      </c>
      <c r="J368" t="s">
        <v>1087</v>
      </c>
    </row>
    <row r="369" spans="1:10" x14ac:dyDescent="0.15">
      <c r="A369">
        <v>25594579</v>
      </c>
      <c r="B369" s="3" t="str">
        <f>HYPERLINK("https://github.com/pravj/geopattern", "https://github.com/pravj/geopattern")</f>
        <v>https://github.com/pravj/geopattern</v>
      </c>
      <c r="D369">
        <v>995</v>
      </c>
      <c r="E369" t="s">
        <v>1088</v>
      </c>
      <c r="F369" t="s">
        <v>1089</v>
      </c>
      <c r="G369">
        <v>49</v>
      </c>
      <c r="H369" s="2">
        <v>41934.726736111108</v>
      </c>
      <c r="I369" s="2">
        <v>43579.364768518521</v>
      </c>
      <c r="J369" t="s">
        <v>1090</v>
      </c>
    </row>
    <row r="370" spans="1:10" x14ac:dyDescent="0.15">
      <c r="A370">
        <v>36133658</v>
      </c>
      <c r="B370" s="3" t="str">
        <f>HYPERLINK("https://github.com/JoelOtter/termloop", "https://github.com/JoelOtter/termloop")</f>
        <v>https://github.com/JoelOtter/termloop</v>
      </c>
      <c r="D370">
        <v>994</v>
      </c>
      <c r="E370" t="s">
        <v>1091</v>
      </c>
      <c r="F370" t="s">
        <v>1092</v>
      </c>
      <c r="G370">
        <v>61</v>
      </c>
      <c r="H370" s="2">
        <v>42147.717060185183</v>
      </c>
      <c r="I370" s="2">
        <v>43580.239120370366</v>
      </c>
      <c r="J370" t="s">
        <v>1093</v>
      </c>
    </row>
    <row r="371" spans="1:10" x14ac:dyDescent="0.15">
      <c r="A371">
        <v>27642603</v>
      </c>
      <c r="B371" s="3" t="str">
        <f>HYPERLINK("https://github.com/thoas/picfit", "https://github.com/thoas/picfit")</f>
        <v>https://github.com/thoas/picfit</v>
      </c>
      <c r="D371">
        <v>993</v>
      </c>
      <c r="E371" t="s">
        <v>1094</v>
      </c>
      <c r="F371" t="s">
        <v>1095</v>
      </c>
      <c r="G371">
        <v>85</v>
      </c>
      <c r="H371" s="2">
        <v>41979.729687500003</v>
      </c>
      <c r="I371" s="2">
        <v>43580.355173611111</v>
      </c>
      <c r="J371" t="s">
        <v>1096</v>
      </c>
    </row>
    <row r="372" spans="1:10" x14ac:dyDescent="0.15">
      <c r="A372">
        <v>8115252</v>
      </c>
      <c r="B372" s="3" t="str">
        <f>HYPERLINK("https://github.com/rcrowley/go-tigertonic", "https://github.com/rcrowley/go-tigertonic")</f>
        <v>https://github.com/rcrowley/go-tigertonic</v>
      </c>
      <c r="D372">
        <v>993</v>
      </c>
      <c r="E372" t="s">
        <v>1097</v>
      </c>
      <c r="F372" t="s">
        <v>1098</v>
      </c>
      <c r="G372">
        <v>77</v>
      </c>
      <c r="H372" s="2">
        <v>41314.886261574073</v>
      </c>
      <c r="I372" s="2">
        <v>43573.580671296288</v>
      </c>
      <c r="J372" t="s">
        <v>1099</v>
      </c>
    </row>
    <row r="373" spans="1:10" x14ac:dyDescent="0.15">
      <c r="A373">
        <v>95233790</v>
      </c>
      <c r="B373" s="3" t="str">
        <f>HYPERLINK("https://github.com/go-ego/gse", "https://github.com/go-ego/gse")</f>
        <v>https://github.com/go-ego/gse</v>
      </c>
      <c r="D373">
        <v>992</v>
      </c>
      <c r="E373" t="s">
        <v>1100</v>
      </c>
      <c r="F373" t="s">
        <v>1101</v>
      </c>
      <c r="G373">
        <v>71</v>
      </c>
      <c r="H373" s="2">
        <v>42909.65457175926</v>
      </c>
      <c r="I373" s="2">
        <v>43579.245150462957</v>
      </c>
      <c r="J373" t="s">
        <v>1102</v>
      </c>
    </row>
    <row r="374" spans="1:10" x14ac:dyDescent="0.15">
      <c r="A374">
        <v>37897520</v>
      </c>
      <c r="B374" s="3" t="str">
        <f>HYPERLINK("https://github.com/dghubble/gologin", "https://github.com/dghubble/gologin")</f>
        <v>https://github.com/dghubble/gologin</v>
      </c>
      <c r="D374">
        <v>988</v>
      </c>
      <c r="E374" t="s">
        <v>1103</v>
      </c>
      <c r="F374" t="s">
        <v>1104</v>
      </c>
      <c r="G374">
        <v>59</v>
      </c>
      <c r="H374" s="2">
        <v>42178.1950462963</v>
      </c>
      <c r="I374" s="2">
        <v>43580.325543981482</v>
      </c>
      <c r="J374" t="s">
        <v>1105</v>
      </c>
    </row>
    <row r="375" spans="1:10" x14ac:dyDescent="0.15">
      <c r="A375">
        <v>38148874</v>
      </c>
      <c r="B375" s="3" t="str">
        <f>HYPERLINK("https://github.com/cdipaolo/goml", "https://github.com/cdipaolo/goml")</f>
        <v>https://github.com/cdipaolo/goml</v>
      </c>
      <c r="D375">
        <v>978</v>
      </c>
      <c r="E375" t="s">
        <v>1106</v>
      </c>
      <c r="F375" t="s">
        <v>1107</v>
      </c>
      <c r="G375">
        <v>86</v>
      </c>
      <c r="H375" s="2">
        <v>42182.244456018518</v>
      </c>
      <c r="I375" s="2">
        <v>43580.309386574067</v>
      </c>
      <c r="J375" t="s">
        <v>1108</v>
      </c>
    </row>
    <row r="376" spans="1:10" x14ac:dyDescent="0.15">
      <c r="A376">
        <v>11843609</v>
      </c>
      <c r="B376" s="3" t="str">
        <f>HYPERLINK("https://github.com/rlmcpherson/s3gof3r", "https://github.com/rlmcpherson/s3gof3r")</f>
        <v>https://github.com/rlmcpherson/s3gof3r</v>
      </c>
      <c r="D376">
        <v>977</v>
      </c>
      <c r="E376" t="s">
        <v>1109</v>
      </c>
      <c r="F376" t="s">
        <v>1110</v>
      </c>
      <c r="G376">
        <v>143</v>
      </c>
      <c r="H376" s="2">
        <v>41488.549756944441</v>
      </c>
      <c r="I376" s="2">
        <v>43577.311493055553</v>
      </c>
      <c r="J376" t="s">
        <v>1111</v>
      </c>
    </row>
    <row r="377" spans="1:10" x14ac:dyDescent="0.15">
      <c r="A377">
        <v>2715490</v>
      </c>
      <c r="B377" s="3" t="str">
        <f>HYPERLINK("https://github.com/go-llvm/llgo", "https://github.com/go-llvm/llgo")</f>
        <v>https://github.com/go-llvm/llgo</v>
      </c>
      <c r="D377">
        <v>966</v>
      </c>
      <c r="E377" t="s">
        <v>1112</v>
      </c>
      <c r="F377" t="s">
        <v>1113</v>
      </c>
      <c r="G377">
        <v>81</v>
      </c>
      <c r="H377" s="2">
        <v>40852.599675925929</v>
      </c>
      <c r="I377" s="2">
        <v>43577.181550925918</v>
      </c>
      <c r="J377" t="s">
        <v>1114</v>
      </c>
    </row>
    <row r="378" spans="1:10" x14ac:dyDescent="0.15">
      <c r="A378">
        <v>8566841</v>
      </c>
      <c r="B378" s="3" t="str">
        <f>HYPERLINK("https://github.com/ChimeraCoder/anaconda", "https://github.com/ChimeraCoder/anaconda")</f>
        <v>https://github.com/ChimeraCoder/anaconda</v>
      </c>
      <c r="D378">
        <v>965</v>
      </c>
      <c r="E378" t="s">
        <v>1115</v>
      </c>
      <c r="F378" t="s">
        <v>1116</v>
      </c>
      <c r="G378">
        <v>242</v>
      </c>
      <c r="H378" s="2">
        <v>41337.948692129627</v>
      </c>
      <c r="I378" s="2">
        <v>43572.780162037037</v>
      </c>
      <c r="J378" t="s">
        <v>1117</v>
      </c>
    </row>
    <row r="379" spans="1:10" x14ac:dyDescent="0.15">
      <c r="A379">
        <v>453807</v>
      </c>
      <c r="B379" s="3" t="str">
        <f>HYPERLINK("https://github.com/hoisie/mustache", "https://github.com/hoisie/mustache")</f>
        <v>https://github.com/hoisie/mustache</v>
      </c>
      <c r="D379">
        <v>959</v>
      </c>
      <c r="E379" t="s">
        <v>1118</v>
      </c>
      <c r="F379" t="s">
        <v>1119</v>
      </c>
      <c r="G379">
        <v>153</v>
      </c>
      <c r="H379" s="2">
        <v>40177.878530092603</v>
      </c>
      <c r="I379" s="2">
        <v>43571.379861111112</v>
      </c>
      <c r="J379" t="s">
        <v>1120</v>
      </c>
    </row>
    <row r="380" spans="1:10" x14ac:dyDescent="0.15">
      <c r="A380">
        <v>14081448</v>
      </c>
      <c r="B380" s="3" t="str">
        <f>HYPERLINK("https://github.com/mitchellh/cli", "https://github.com/mitchellh/cli")</f>
        <v>https://github.com/mitchellh/cli</v>
      </c>
      <c r="D380">
        <v>957</v>
      </c>
      <c r="E380" t="s">
        <v>111</v>
      </c>
      <c r="F380" t="s">
        <v>1121</v>
      </c>
      <c r="G380">
        <v>77</v>
      </c>
      <c r="H380" s="2">
        <v>41581.283263888887</v>
      </c>
      <c r="I380" s="2">
        <v>43579.992384259262</v>
      </c>
      <c r="J380" t="s">
        <v>1122</v>
      </c>
    </row>
    <row r="381" spans="1:10" x14ac:dyDescent="0.15">
      <c r="A381">
        <v>16825661</v>
      </c>
      <c r="B381" s="3" t="str">
        <f>HYPERLINK("https://github.com/hprose/hprose-golang", "https://github.com/hprose/hprose-golang")</f>
        <v>https://github.com/hprose/hprose-golang</v>
      </c>
      <c r="D381">
        <v>954</v>
      </c>
      <c r="E381" t="s">
        <v>1123</v>
      </c>
      <c r="F381" t="s">
        <v>1124</v>
      </c>
      <c r="G381">
        <v>164</v>
      </c>
      <c r="H381" s="2">
        <v>41684.136608796303</v>
      </c>
      <c r="I381" s="2">
        <v>43580.555381944447</v>
      </c>
      <c r="J381" t="s">
        <v>1125</v>
      </c>
    </row>
    <row r="382" spans="1:10" x14ac:dyDescent="0.15">
      <c r="A382">
        <v>16825661</v>
      </c>
      <c r="B382" s="3" t="str">
        <f>HYPERLINK("https://github.com/hprose/hprose-golang", "https://github.com/hprose/hprose-golang")</f>
        <v>https://github.com/hprose/hprose-golang</v>
      </c>
      <c r="D382">
        <v>953</v>
      </c>
      <c r="E382" t="s">
        <v>1123</v>
      </c>
      <c r="F382" t="s">
        <v>1124</v>
      </c>
      <c r="G382">
        <v>164</v>
      </c>
      <c r="H382" s="2">
        <v>41684.136608796303</v>
      </c>
      <c r="I382" s="2">
        <v>43580.409583333327</v>
      </c>
      <c r="J382" t="s">
        <v>1125</v>
      </c>
    </row>
    <row r="383" spans="1:10" x14ac:dyDescent="0.15">
      <c r="A383">
        <v>61687013</v>
      </c>
      <c r="B383" s="3" t="str">
        <f>HYPERLINK("https://github.com/go-ozzo/ozzo-validation", "https://github.com/go-ozzo/ozzo-validation")</f>
        <v>https://github.com/go-ozzo/ozzo-validation</v>
      </c>
      <c r="D383">
        <v>947</v>
      </c>
      <c r="E383" t="s">
        <v>1126</v>
      </c>
      <c r="F383" t="s">
        <v>1127</v>
      </c>
      <c r="G383">
        <v>63</v>
      </c>
      <c r="H383" s="2">
        <v>42543.158136574071</v>
      </c>
      <c r="I383" s="2">
        <v>43580.550335648149</v>
      </c>
      <c r="J383" t="s">
        <v>1128</v>
      </c>
    </row>
    <row r="384" spans="1:10" x14ac:dyDescent="0.15">
      <c r="A384">
        <v>15213446</v>
      </c>
      <c r="B384" s="3" t="str">
        <f>HYPERLINK("https://github.com/denisenkom/go-mssqldb", "https://github.com/denisenkom/go-mssqldb")</f>
        <v>https://github.com/denisenkom/go-mssqldb</v>
      </c>
      <c r="D384">
        <v>946</v>
      </c>
      <c r="E384" t="s">
        <v>1129</v>
      </c>
      <c r="F384" t="s">
        <v>1130</v>
      </c>
      <c r="G384">
        <v>230</v>
      </c>
      <c r="H384" s="2">
        <v>41624.007488425923</v>
      </c>
      <c r="I384" s="2">
        <v>43580.332511574074</v>
      </c>
      <c r="J384" t="s">
        <v>1131</v>
      </c>
    </row>
    <row r="385" spans="1:10" x14ac:dyDescent="0.15">
      <c r="A385">
        <v>6185208</v>
      </c>
      <c r="B385" s="3" t="str">
        <f>HYPERLINK("https://github.com/mattbaird/elastigo", "https://github.com/mattbaird/elastigo")</f>
        <v>https://github.com/mattbaird/elastigo</v>
      </c>
      <c r="D385">
        <v>941</v>
      </c>
      <c r="E385" t="s">
        <v>1132</v>
      </c>
      <c r="F385" t="s">
        <v>1133</v>
      </c>
      <c r="G385">
        <v>252</v>
      </c>
      <c r="H385" s="2">
        <v>41194.180543981478</v>
      </c>
      <c r="I385" s="2">
        <v>43579.364814814813</v>
      </c>
      <c r="J385" t="s">
        <v>1134</v>
      </c>
    </row>
    <row r="386" spans="1:10" x14ac:dyDescent="0.15">
      <c r="A386">
        <v>12303687</v>
      </c>
      <c r="B386" s="3" t="str">
        <f>HYPERLINK("https://github.com/justinas/nosurf", "https://github.com/justinas/nosurf")</f>
        <v>https://github.com/justinas/nosurf</v>
      </c>
      <c r="D386">
        <v>940</v>
      </c>
      <c r="E386" t="s">
        <v>1135</v>
      </c>
      <c r="F386" t="s">
        <v>1136</v>
      </c>
      <c r="G386">
        <v>70</v>
      </c>
      <c r="H386" s="2">
        <v>41508.741365740738</v>
      </c>
      <c r="I386" s="2">
        <v>43579.504444444443</v>
      </c>
      <c r="J386" t="s">
        <v>1137</v>
      </c>
    </row>
    <row r="387" spans="1:10" x14ac:dyDescent="0.15">
      <c r="A387">
        <v>55581236</v>
      </c>
      <c r="B387" s="3" t="str">
        <f>HYPERLINK("https://github.com/smallnest/go-web-framework-benchmark", "https://github.com/smallnest/go-web-framework-benchmark")</f>
        <v>https://github.com/smallnest/go-web-framework-benchmark</v>
      </c>
      <c r="D387">
        <v>937</v>
      </c>
      <c r="E387" t="s">
        <v>1138</v>
      </c>
      <c r="F387" t="s">
        <v>1139</v>
      </c>
      <c r="G387">
        <v>110</v>
      </c>
      <c r="H387" s="2">
        <v>42466.269131944442</v>
      </c>
      <c r="I387" s="2">
        <v>43580.02144675926</v>
      </c>
      <c r="J387" t="s">
        <v>1140</v>
      </c>
    </row>
    <row r="388" spans="1:10" x14ac:dyDescent="0.15">
      <c r="A388">
        <v>118105591</v>
      </c>
      <c r="B388" s="3" t="str">
        <f>HYPERLINK("https://github.com/gojektech/heimdall", "https://github.com/gojektech/heimdall")</f>
        <v>https://github.com/gojektech/heimdall</v>
      </c>
      <c r="D388">
        <v>936</v>
      </c>
      <c r="E388" t="s">
        <v>1141</v>
      </c>
      <c r="F388" t="s">
        <v>1142</v>
      </c>
      <c r="G388">
        <v>71</v>
      </c>
      <c r="H388" s="2">
        <v>43119.397523148153</v>
      </c>
      <c r="I388" s="2">
        <v>43580.509305555563</v>
      </c>
      <c r="J388" t="s">
        <v>1143</v>
      </c>
    </row>
    <row r="389" spans="1:10" x14ac:dyDescent="0.15">
      <c r="A389">
        <v>89053003</v>
      </c>
      <c r="B389" s="3" t="str">
        <f>HYPERLINK("https://github.com/awnumar/memguard", "https://github.com/awnumar/memguard")</f>
        <v>https://github.com/awnumar/memguard</v>
      </c>
      <c r="D389">
        <v>924</v>
      </c>
      <c r="E389" t="s">
        <v>1144</v>
      </c>
      <c r="F389" t="s">
        <v>1145</v>
      </c>
      <c r="G389">
        <v>37</v>
      </c>
      <c r="H389" s="2">
        <v>42847.319907407407</v>
      </c>
      <c r="I389" s="2">
        <v>43579.448333333326</v>
      </c>
      <c r="J389" t="s">
        <v>1146</v>
      </c>
    </row>
    <row r="390" spans="1:10" x14ac:dyDescent="0.15">
      <c r="A390">
        <v>9776211</v>
      </c>
      <c r="B390" s="3" t="str">
        <f>HYPERLINK("https://github.com/gographics/imagick", "https://github.com/gographics/imagick")</f>
        <v>https://github.com/gographics/imagick</v>
      </c>
      <c r="D390">
        <v>920</v>
      </c>
      <c r="E390" t="s">
        <v>1147</v>
      </c>
      <c r="F390" t="s">
        <v>1148</v>
      </c>
      <c r="G390">
        <v>114</v>
      </c>
      <c r="H390" s="2">
        <v>41394.730416666673</v>
      </c>
      <c r="I390" s="2">
        <v>43580.144918981481</v>
      </c>
      <c r="J390" t="s">
        <v>1149</v>
      </c>
    </row>
    <row r="391" spans="1:10" x14ac:dyDescent="0.15">
      <c r="A391">
        <v>77456467</v>
      </c>
      <c r="B391" s="3" t="str">
        <f>HYPERLINK("https://github.com/olebedev/when", "https://github.com/olebedev/when")</f>
        <v>https://github.com/olebedev/when</v>
      </c>
      <c r="D391">
        <v>915</v>
      </c>
      <c r="E391" t="s">
        <v>1150</v>
      </c>
      <c r="F391" t="s">
        <v>1151</v>
      </c>
      <c r="G391">
        <v>42</v>
      </c>
      <c r="H391" s="2">
        <v>42731.549837962957</v>
      </c>
      <c r="I391" s="2">
        <v>43576.37158564815</v>
      </c>
      <c r="J391" t="s">
        <v>1152</v>
      </c>
    </row>
    <row r="392" spans="1:10" x14ac:dyDescent="0.15">
      <c r="A392">
        <v>25555486</v>
      </c>
      <c r="B392" s="3" t="str">
        <f>HYPERLINK("https://github.com/pkg/profile", "https://github.com/pkg/profile")</f>
        <v>https://github.com/pkg/profile</v>
      </c>
      <c r="D392">
        <v>913</v>
      </c>
      <c r="E392" t="s">
        <v>1153</v>
      </c>
      <c r="F392" t="s">
        <v>1154</v>
      </c>
      <c r="G392">
        <v>62</v>
      </c>
      <c r="H392" s="2">
        <v>41934.066180555557</v>
      </c>
      <c r="I392" s="2">
        <v>43579.181157407409</v>
      </c>
      <c r="J392" t="s">
        <v>1155</v>
      </c>
    </row>
    <row r="393" spans="1:10" x14ac:dyDescent="0.15">
      <c r="A393">
        <v>7926533</v>
      </c>
      <c r="B393" s="3" t="str">
        <f>HYPERLINK("https://github.com/dominikh/go-mode.el", "https://github.com/dominikh/go-mode.el")</f>
        <v>https://github.com/dominikh/go-mode.el</v>
      </c>
      <c r="D393">
        <v>908</v>
      </c>
      <c r="E393" t="s">
        <v>1156</v>
      </c>
      <c r="F393" t="s">
        <v>1157</v>
      </c>
      <c r="G393">
        <v>162</v>
      </c>
      <c r="H393" s="2">
        <v>41304.991006944438</v>
      </c>
      <c r="I393" s="2">
        <v>43579.750277777777</v>
      </c>
      <c r="J393" t="s">
        <v>1158</v>
      </c>
    </row>
    <row r="394" spans="1:10" x14ac:dyDescent="0.15">
      <c r="A394">
        <v>51696777</v>
      </c>
      <c r="B394" s="3" t="str">
        <f>HYPERLINK("https://github.com/atemerev/skynet", "https://github.com/atemerev/skynet")</f>
        <v>https://github.com/atemerev/skynet</v>
      </c>
      <c r="D394">
        <v>894</v>
      </c>
      <c r="E394" t="s">
        <v>1159</v>
      </c>
      <c r="F394" t="s">
        <v>1160</v>
      </c>
      <c r="G394">
        <v>127</v>
      </c>
      <c r="H394" s="2">
        <v>42414.582858796297</v>
      </c>
      <c r="I394" s="2">
        <v>43579.399571759262</v>
      </c>
      <c r="J394" t="s">
        <v>1161</v>
      </c>
    </row>
    <row r="395" spans="1:10" x14ac:dyDescent="0.15">
      <c r="A395">
        <v>21693512</v>
      </c>
      <c r="B395" s="3" t="str">
        <f>HYPERLINK("https://github.com/davecheney/gcvis", "https://github.com/davecheney/gcvis")</f>
        <v>https://github.com/davecheney/gcvis</v>
      </c>
      <c r="D395">
        <v>889</v>
      </c>
      <c r="E395" t="s">
        <v>1162</v>
      </c>
      <c r="F395" t="s">
        <v>1163</v>
      </c>
      <c r="G395">
        <v>54</v>
      </c>
      <c r="H395" s="2">
        <v>41830.523692129631</v>
      </c>
      <c r="I395" s="2">
        <v>43579.364872685182</v>
      </c>
      <c r="J395" t="s">
        <v>1164</v>
      </c>
    </row>
    <row r="396" spans="1:10" x14ac:dyDescent="0.15">
      <c r="A396">
        <v>99078544</v>
      </c>
      <c r="B396" s="3" t="str">
        <f>HYPERLINK("https://github.com/lonng/nano", "https://github.com/lonng/nano")</f>
        <v>https://github.com/lonng/nano</v>
      </c>
      <c r="D396">
        <v>884</v>
      </c>
      <c r="E396" t="s">
        <v>1165</v>
      </c>
      <c r="F396" t="s">
        <v>1166</v>
      </c>
      <c r="G396">
        <v>130</v>
      </c>
      <c r="H396" s="2">
        <v>42949.253634259258</v>
      </c>
      <c r="I396" s="2">
        <v>43579.203506944446</v>
      </c>
      <c r="J396" t="s">
        <v>1167</v>
      </c>
    </row>
    <row r="397" spans="1:10" x14ac:dyDescent="0.15">
      <c r="A397">
        <v>43056808</v>
      </c>
      <c r="B397" s="3" t="str">
        <f>HYPERLINK("https://github.com/h2non/filetype", "https://github.com/h2non/filetype")</f>
        <v>https://github.com/h2non/filetype</v>
      </c>
      <c r="D397">
        <v>881</v>
      </c>
      <c r="E397" t="s">
        <v>1168</v>
      </c>
      <c r="F397" t="s">
        <v>1169</v>
      </c>
      <c r="G397">
        <v>70</v>
      </c>
      <c r="H397" s="2">
        <v>42271.386006944442</v>
      </c>
      <c r="I397" s="2">
        <v>43579.589745370373</v>
      </c>
      <c r="J397" t="s">
        <v>1170</v>
      </c>
    </row>
    <row r="398" spans="1:10" x14ac:dyDescent="0.15">
      <c r="A398">
        <v>16196540</v>
      </c>
      <c r="B398" s="3" t="str">
        <f>HYPERLINK("https://github.com/shurcooL/Go-Package-Store", "https://github.com/shurcooL/Go-Package-Store")</f>
        <v>https://github.com/shurcooL/Go-Package-Store</v>
      </c>
      <c r="D398">
        <v>880</v>
      </c>
      <c r="E398" t="s">
        <v>1171</v>
      </c>
      <c r="F398" t="s">
        <v>1172</v>
      </c>
      <c r="G398">
        <v>30</v>
      </c>
      <c r="H398" s="2">
        <v>41663.251493055563</v>
      </c>
      <c r="I398" s="2">
        <v>43571.514282407406</v>
      </c>
      <c r="J398" t="s">
        <v>1173</v>
      </c>
    </row>
    <row r="399" spans="1:10" x14ac:dyDescent="0.15">
      <c r="A399">
        <v>20545279</v>
      </c>
      <c r="B399" s="3" t="str">
        <f>HYPERLINK("https://github.com/stripe/stripe-go", "https://github.com/stripe/stripe-go")</f>
        <v>https://github.com/stripe/stripe-go</v>
      </c>
      <c r="D399">
        <v>877</v>
      </c>
      <c r="E399" t="s">
        <v>1174</v>
      </c>
      <c r="F399" t="s">
        <v>1175</v>
      </c>
      <c r="G399">
        <v>248</v>
      </c>
      <c r="H399" s="2">
        <v>41795.984884259262</v>
      </c>
      <c r="I399" s="2">
        <v>43580.028217592589</v>
      </c>
      <c r="J399" t="s">
        <v>1176</v>
      </c>
    </row>
    <row r="400" spans="1:10" x14ac:dyDescent="0.15">
      <c r="A400">
        <v>48290019</v>
      </c>
      <c r="B400" s="3" t="str">
        <f>HYPERLINK("https://github.com/tmrts/boilr", "https://github.com/tmrts/boilr")</f>
        <v>https://github.com/tmrts/boilr</v>
      </c>
      <c r="D400">
        <v>877</v>
      </c>
      <c r="E400" t="s">
        <v>1177</v>
      </c>
      <c r="F400" t="s">
        <v>1178</v>
      </c>
      <c r="G400">
        <v>61</v>
      </c>
      <c r="H400" s="2">
        <v>42357.706550925926</v>
      </c>
      <c r="I400" s="2">
        <v>43576.908935185187</v>
      </c>
      <c r="J400" t="s">
        <v>1179</v>
      </c>
    </row>
    <row r="401" spans="1:10" x14ac:dyDescent="0.15">
      <c r="A401">
        <v>25841316</v>
      </c>
      <c r="B401" s="3" t="str">
        <f>HYPERLINK("https://github.com/cheekybits/genny", "https://github.com/cheekybits/genny")</f>
        <v>https://github.com/cheekybits/genny</v>
      </c>
      <c r="D401">
        <v>873</v>
      </c>
      <c r="E401" t="s">
        <v>1180</v>
      </c>
      <c r="F401" t="s">
        <v>1181</v>
      </c>
      <c r="G401">
        <v>73</v>
      </c>
      <c r="H401" s="2">
        <v>41939.919270833343</v>
      </c>
      <c r="I401" s="2">
        <v>43580.304606481477</v>
      </c>
      <c r="J401" t="s">
        <v>1182</v>
      </c>
    </row>
    <row r="402" spans="1:10" x14ac:dyDescent="0.15">
      <c r="A402">
        <v>14290813</v>
      </c>
      <c r="B402" s="3" t="str">
        <f>HYPERLINK("https://github.com/muesli/cache2go", "https://github.com/muesli/cache2go")</f>
        <v>https://github.com/muesli/cache2go</v>
      </c>
      <c r="D402">
        <v>869</v>
      </c>
      <c r="E402" t="s">
        <v>1183</v>
      </c>
      <c r="F402" t="s">
        <v>1184</v>
      </c>
      <c r="G402">
        <v>316</v>
      </c>
      <c r="H402" s="2">
        <v>41589.156273148154</v>
      </c>
      <c r="I402" s="2">
        <v>43579.310671296298</v>
      </c>
      <c r="J402" t="s">
        <v>1185</v>
      </c>
    </row>
    <row r="403" spans="1:10" x14ac:dyDescent="0.15">
      <c r="A403">
        <v>38069477</v>
      </c>
      <c r="B403" s="3" t="str">
        <f>HYPERLINK("https://github.com/tucnak/telebot", "https://github.com/tucnak/telebot")</f>
        <v>https://github.com/tucnak/telebot</v>
      </c>
      <c r="D403">
        <v>866</v>
      </c>
      <c r="E403" t="s">
        <v>1186</v>
      </c>
      <c r="F403" t="s">
        <v>1187</v>
      </c>
      <c r="G403">
        <v>132</v>
      </c>
      <c r="H403" s="2">
        <v>42180.810995370368</v>
      </c>
      <c r="I403" s="2">
        <v>43579.853032407409</v>
      </c>
      <c r="J403" t="s">
        <v>1188</v>
      </c>
    </row>
    <row r="404" spans="1:10" x14ac:dyDescent="0.15">
      <c r="A404">
        <v>96570421</v>
      </c>
      <c r="B404" s="3" t="str">
        <f>HYPERLINK("https://github.com/google/go-cmp", "https://github.com/google/go-cmp")</f>
        <v>https://github.com/google/go-cmp</v>
      </c>
      <c r="D404">
        <v>866</v>
      </c>
      <c r="E404" t="s">
        <v>1189</v>
      </c>
      <c r="F404" t="s">
        <v>1190</v>
      </c>
      <c r="G404">
        <v>59</v>
      </c>
      <c r="H404" s="2">
        <v>42923.811365740738</v>
      </c>
      <c r="I404" s="2">
        <v>43580.067743055559</v>
      </c>
      <c r="J404" t="s">
        <v>1191</v>
      </c>
    </row>
    <row r="405" spans="1:10" x14ac:dyDescent="0.15">
      <c r="A405">
        <v>19961931</v>
      </c>
      <c r="B405" s="3" t="str">
        <f>HYPERLINK("https://github.com/inconshreveable/log15", "https://github.com/inconshreveable/log15")</f>
        <v>https://github.com/inconshreveable/log15</v>
      </c>
      <c r="D405">
        <v>863</v>
      </c>
      <c r="E405" t="s">
        <v>1192</v>
      </c>
      <c r="F405" t="s">
        <v>1193</v>
      </c>
      <c r="G405">
        <v>105</v>
      </c>
      <c r="H405" s="2">
        <v>41779.008240740739</v>
      </c>
      <c r="I405" s="2">
        <v>43579.585034722222</v>
      </c>
      <c r="J405" t="s">
        <v>1194</v>
      </c>
    </row>
    <row r="406" spans="1:10" x14ac:dyDescent="0.15">
      <c r="A406">
        <v>35560411</v>
      </c>
      <c r="B406" s="3" t="str">
        <f>HYPERLINK("https://github.com/rakyll/go-hardware", "https://github.com/rakyll/go-hardware")</f>
        <v>https://github.com/rakyll/go-hardware</v>
      </c>
      <c r="D406">
        <v>862</v>
      </c>
      <c r="E406" t="s">
        <v>1195</v>
      </c>
      <c r="F406" t="s">
        <v>1196</v>
      </c>
      <c r="G406">
        <v>62</v>
      </c>
      <c r="H406" s="2">
        <v>42137.68414351852</v>
      </c>
      <c r="I406" s="2">
        <v>43574.304479166669</v>
      </c>
      <c r="J406" t="s">
        <v>1197</v>
      </c>
    </row>
    <row r="407" spans="1:10" x14ac:dyDescent="0.15">
      <c r="A407">
        <v>20994449</v>
      </c>
      <c r="B407" s="3" t="str">
        <f>HYPERLINK("https://github.com/tcnksm/gcli", "https://github.com/tcnksm/gcli")</f>
        <v>https://github.com/tcnksm/gcli</v>
      </c>
      <c r="D407">
        <v>861</v>
      </c>
      <c r="E407" t="s">
        <v>1198</v>
      </c>
      <c r="F407" t="s">
        <v>1199</v>
      </c>
      <c r="G407">
        <v>72</v>
      </c>
      <c r="H407" s="2">
        <v>41809.382118055553</v>
      </c>
      <c r="I407" s="2">
        <v>43575.602812500001</v>
      </c>
      <c r="J407" t="s">
        <v>1200</v>
      </c>
    </row>
    <row r="408" spans="1:10" x14ac:dyDescent="0.15">
      <c r="A408">
        <v>18204375</v>
      </c>
      <c r="B408" s="3" t="str">
        <f>HYPERLINK("https://github.com/mattn/anko", "https://github.com/mattn/anko")</f>
        <v>https://github.com/mattn/anko</v>
      </c>
      <c r="D408">
        <v>861</v>
      </c>
      <c r="E408" t="s">
        <v>1201</v>
      </c>
      <c r="F408" t="s">
        <v>1202</v>
      </c>
      <c r="G408">
        <v>75</v>
      </c>
      <c r="H408" s="2">
        <v>41726.312268518523</v>
      </c>
      <c r="I408" s="2">
        <v>43580.545289351852</v>
      </c>
      <c r="J408" t="s">
        <v>1203</v>
      </c>
    </row>
    <row r="409" spans="1:10" x14ac:dyDescent="0.15">
      <c r="A409">
        <v>15450288</v>
      </c>
      <c r="B409" s="3" t="str">
        <f>HYPERLINK("https://github.com/mikespook/gorbac", "https://github.com/mikespook/gorbac")</f>
        <v>https://github.com/mikespook/gorbac</v>
      </c>
      <c r="D409">
        <v>855</v>
      </c>
      <c r="E409" t="s">
        <v>1204</v>
      </c>
      <c r="F409" t="s">
        <v>1205</v>
      </c>
      <c r="G409">
        <v>120</v>
      </c>
      <c r="H409" s="2">
        <v>41634.417141203703</v>
      </c>
      <c r="I409" s="2">
        <v>43576.472002314818</v>
      </c>
      <c r="J409" t="s">
        <v>1206</v>
      </c>
    </row>
    <row r="410" spans="1:10" x14ac:dyDescent="0.15">
      <c r="A410">
        <v>45356931</v>
      </c>
      <c r="B410" s="3" t="str">
        <f>HYPERLINK("https://github.com/bwmarrin/discordgo", "https://github.com/bwmarrin/discordgo")</f>
        <v>https://github.com/bwmarrin/discordgo</v>
      </c>
      <c r="D410">
        <v>848</v>
      </c>
      <c r="E410" t="s">
        <v>1207</v>
      </c>
      <c r="F410" t="s">
        <v>1208</v>
      </c>
      <c r="G410">
        <v>192</v>
      </c>
      <c r="H410" s="2">
        <v>42309.868761574071</v>
      </c>
      <c r="I410" s="2">
        <v>43578.727210648147</v>
      </c>
      <c r="J410" t="s">
        <v>1209</v>
      </c>
    </row>
    <row r="411" spans="1:10" x14ac:dyDescent="0.15">
      <c r="A411">
        <v>18980240</v>
      </c>
      <c r="B411" s="3" t="str">
        <f>HYPERLINK("https://github.com/araddon/dateparse", "https://github.com/araddon/dateparse")</f>
        <v>https://github.com/araddon/dateparse</v>
      </c>
      <c r="D411">
        <v>848</v>
      </c>
      <c r="E411" t="s">
        <v>1210</v>
      </c>
      <c r="F411" t="s">
        <v>1211</v>
      </c>
      <c r="G411">
        <v>45</v>
      </c>
      <c r="H411" s="2">
        <v>41750.122083333343</v>
      </c>
      <c r="I411" s="2">
        <v>43580.237916666672</v>
      </c>
      <c r="J411" t="s">
        <v>1212</v>
      </c>
    </row>
    <row r="412" spans="1:10" x14ac:dyDescent="0.15">
      <c r="A412">
        <v>4960374</v>
      </c>
      <c r="B412" s="3" t="str">
        <f>HYPERLINK("https://github.com/sbinet/go-python", "https://github.com/sbinet/go-python")</f>
        <v>https://github.com/sbinet/go-python</v>
      </c>
      <c r="D412">
        <v>844</v>
      </c>
      <c r="E412" t="s">
        <v>1213</v>
      </c>
      <c r="F412" t="s">
        <v>1214</v>
      </c>
      <c r="G412">
        <v>92</v>
      </c>
      <c r="H412" s="2">
        <v>41099.655219907407</v>
      </c>
      <c r="I412" s="2">
        <v>43580.210636574076</v>
      </c>
      <c r="J412" t="s">
        <v>1215</v>
      </c>
    </row>
    <row r="413" spans="1:10" x14ac:dyDescent="0.15">
      <c r="A413">
        <v>94702367</v>
      </c>
      <c r="B413" s="3" t="str">
        <f>HYPERLINK("https://github.com/hhrutter/pdfcpu", "https://github.com/hhrutter/pdfcpu")</f>
        <v>https://github.com/hhrutter/pdfcpu</v>
      </c>
      <c r="D413">
        <v>839</v>
      </c>
      <c r="E413" t="s">
        <v>1216</v>
      </c>
      <c r="F413" t="s">
        <v>1217</v>
      </c>
      <c r="G413">
        <v>57</v>
      </c>
      <c r="H413" s="2">
        <v>42904.727523148147</v>
      </c>
      <c r="I413" s="2">
        <v>43576.825995370367</v>
      </c>
      <c r="J413" t="s">
        <v>1218</v>
      </c>
    </row>
    <row r="414" spans="1:10" x14ac:dyDescent="0.15">
      <c r="A414">
        <v>27512134</v>
      </c>
      <c r="B414" s="3" t="str">
        <f>HYPERLINK("https://github.com/golang/geo", "https://github.com/golang/geo")</f>
        <v>https://github.com/golang/geo</v>
      </c>
      <c r="D414">
        <v>831</v>
      </c>
      <c r="E414" t="s">
        <v>1219</v>
      </c>
      <c r="F414" t="s">
        <v>1220</v>
      </c>
      <c r="G414">
        <v>89</v>
      </c>
      <c r="H414" s="2">
        <v>41976.95989583333</v>
      </c>
      <c r="I414" s="2">
        <v>43580.168888888889</v>
      </c>
      <c r="J414" t="s">
        <v>1221</v>
      </c>
    </row>
    <row r="415" spans="1:10" x14ac:dyDescent="0.15">
      <c r="A415">
        <v>77689140</v>
      </c>
      <c r="B415" s="3" t="str">
        <f>HYPERLINK("https://github.com/thoas/go-funk", "https://github.com/thoas/go-funk")</f>
        <v>https://github.com/thoas/go-funk</v>
      </c>
      <c r="D415">
        <v>829</v>
      </c>
      <c r="E415" t="s">
        <v>1222</v>
      </c>
      <c r="F415" t="s">
        <v>1223</v>
      </c>
      <c r="G415">
        <v>57</v>
      </c>
      <c r="H415" s="2">
        <v>42734.580034722218</v>
      </c>
      <c r="I415" s="2">
        <v>43580.474652777782</v>
      </c>
      <c r="J415" t="s">
        <v>1224</v>
      </c>
    </row>
    <row r="416" spans="1:10" x14ac:dyDescent="0.15">
      <c r="A416">
        <v>33298728</v>
      </c>
      <c r="B416" s="3" t="str">
        <f>HYPERLINK("https://github.com/dghubble/sling", "https://github.com/dghubble/sling")</f>
        <v>https://github.com/dghubble/sling</v>
      </c>
      <c r="D416">
        <v>820</v>
      </c>
      <c r="E416" t="s">
        <v>1225</v>
      </c>
      <c r="F416" t="s">
        <v>1226</v>
      </c>
      <c r="G416">
        <v>75</v>
      </c>
      <c r="H416" s="2">
        <v>42096.36310185185</v>
      </c>
      <c r="I416" s="2">
        <v>43580.449675925927</v>
      </c>
      <c r="J416" t="s">
        <v>1227</v>
      </c>
    </row>
    <row r="417" spans="1:10" x14ac:dyDescent="0.15">
      <c r="A417">
        <v>6480193</v>
      </c>
      <c r="B417" s="3" t="str">
        <f>HYPERLINK("https://github.com/eknkc/amber", "https://github.com/eknkc/amber")</f>
        <v>https://github.com/eknkc/amber</v>
      </c>
      <c r="D417">
        <v>819</v>
      </c>
      <c r="E417" t="s">
        <v>1228</v>
      </c>
      <c r="F417" t="s">
        <v>1229</v>
      </c>
      <c r="G417">
        <v>52</v>
      </c>
      <c r="H417" s="2">
        <v>41213.852361111109</v>
      </c>
      <c r="I417" s="2">
        <v>43572.538564814808</v>
      </c>
      <c r="J417" t="s">
        <v>1230</v>
      </c>
    </row>
    <row r="418" spans="1:10" x14ac:dyDescent="0.15">
      <c r="A418">
        <v>14513291</v>
      </c>
      <c r="B418" s="3" t="str">
        <f>HYPERLINK("https://github.com/GoClipse/goclipse", "https://github.com/GoClipse/goclipse")</f>
        <v>https://github.com/GoClipse/goclipse</v>
      </c>
      <c r="D418">
        <v>810</v>
      </c>
      <c r="E418" t="s">
        <v>1231</v>
      </c>
      <c r="F418" t="s">
        <v>1232</v>
      </c>
      <c r="G418">
        <v>263</v>
      </c>
      <c r="H418" s="2">
        <v>41597.153622685182</v>
      </c>
      <c r="I418" s="2">
        <v>43579.591817129629</v>
      </c>
      <c r="J418" t="s">
        <v>1233</v>
      </c>
    </row>
    <row r="419" spans="1:10" x14ac:dyDescent="0.15">
      <c r="A419">
        <v>7689517</v>
      </c>
      <c r="B419" s="3" t="str">
        <f>HYPERLINK("https://github.com/alecthomas/go_serialization_benchmarks", "https://github.com/alecthomas/go_serialization_benchmarks")</f>
        <v>https://github.com/alecthomas/go_serialization_benchmarks</v>
      </c>
      <c r="D419">
        <v>802</v>
      </c>
      <c r="E419" t="s">
        <v>1234</v>
      </c>
      <c r="F419" t="s">
        <v>1235</v>
      </c>
      <c r="G419">
        <v>73</v>
      </c>
      <c r="H419" s="2">
        <v>41292.669421296298</v>
      </c>
      <c r="I419" s="2">
        <v>43578.243136574078</v>
      </c>
      <c r="J419" t="s">
        <v>1236</v>
      </c>
    </row>
    <row r="420" spans="1:10" x14ac:dyDescent="0.15">
      <c r="A420">
        <v>160784930</v>
      </c>
      <c r="B420" s="3" t="str">
        <f>HYPERLINK("https://github.com/xujiajun/nutsdb", "https://github.com/xujiajun/nutsdb")</f>
        <v>https://github.com/xujiajun/nutsdb</v>
      </c>
      <c r="D420">
        <v>800</v>
      </c>
      <c r="E420" t="s">
        <v>1237</v>
      </c>
      <c r="F420" t="s">
        <v>1238</v>
      </c>
      <c r="G420">
        <v>54</v>
      </c>
      <c r="H420" s="2">
        <v>43441.294189814813</v>
      </c>
      <c r="I420" s="2">
        <v>43579.594259259262</v>
      </c>
      <c r="J420" t="s">
        <v>1239</v>
      </c>
    </row>
    <row r="421" spans="1:10" x14ac:dyDescent="0.15">
      <c r="A421">
        <v>28118640</v>
      </c>
      <c r="B421" s="3" t="str">
        <f>HYPERLINK("https://github.com/lunny/tango", "https://github.com/lunny/tango")</f>
        <v>https://github.com/lunny/tango</v>
      </c>
      <c r="D421">
        <v>800</v>
      </c>
      <c r="E421" t="s">
        <v>1240</v>
      </c>
      <c r="F421" t="s">
        <v>1241</v>
      </c>
      <c r="G421">
        <v>103</v>
      </c>
      <c r="H421" s="2">
        <v>41990.129965277767</v>
      </c>
      <c r="I421" s="2">
        <v>43578.481793981482</v>
      </c>
      <c r="J421" t="s">
        <v>1242</v>
      </c>
    </row>
    <row r="422" spans="1:10" x14ac:dyDescent="0.15">
      <c r="A422">
        <v>13492546</v>
      </c>
      <c r="B422" s="3" t="str">
        <f>HYPERLINK("https://github.com/otiai10/gosseract", "https://github.com/otiai10/gosseract")</f>
        <v>https://github.com/otiai10/gosseract</v>
      </c>
      <c r="D422">
        <v>798</v>
      </c>
      <c r="E422" t="s">
        <v>1243</v>
      </c>
      <c r="F422" t="s">
        <v>1244</v>
      </c>
      <c r="G422">
        <v>102</v>
      </c>
      <c r="H422" s="2">
        <v>41558.311030092591</v>
      </c>
      <c r="I422" s="2">
        <v>43580.258287037039</v>
      </c>
      <c r="J422" t="s">
        <v>1245</v>
      </c>
    </row>
    <row r="423" spans="1:10" x14ac:dyDescent="0.15">
      <c r="A423">
        <v>51212673</v>
      </c>
      <c r="B423" s="3" t="str">
        <f>HYPERLINK("https://github.com/go-gota/gota", "https://github.com/go-gota/gota")</f>
        <v>https://github.com/go-gota/gota</v>
      </c>
      <c r="D423">
        <v>790</v>
      </c>
      <c r="E423" t="s">
        <v>1246</v>
      </c>
      <c r="F423" t="s">
        <v>1247</v>
      </c>
      <c r="G423">
        <v>87</v>
      </c>
      <c r="H423" s="2">
        <v>42406.724594907413</v>
      </c>
      <c r="I423" s="2">
        <v>43579.313402777778</v>
      </c>
      <c r="J423" t="s">
        <v>1248</v>
      </c>
    </row>
    <row r="424" spans="1:10" x14ac:dyDescent="0.15">
      <c r="A424">
        <v>9014825</v>
      </c>
      <c r="B424" s="3" t="str">
        <f>HYPERLINK("https://github.com/songgao/water", "https://github.com/songgao/water")</f>
        <v>https://github.com/songgao/water</v>
      </c>
      <c r="D424">
        <v>787</v>
      </c>
      <c r="E424" t="s">
        <v>1249</v>
      </c>
      <c r="F424" t="s">
        <v>1250</v>
      </c>
      <c r="G424">
        <v>125</v>
      </c>
      <c r="H424" s="2">
        <v>41358.838101851848</v>
      </c>
      <c r="I424" s="2">
        <v>43580.539849537039</v>
      </c>
      <c r="J424" t="s">
        <v>1251</v>
      </c>
    </row>
    <row r="425" spans="1:10" x14ac:dyDescent="0.15">
      <c r="A425">
        <v>27290924</v>
      </c>
      <c r="B425" s="3" t="str">
        <f>HYPERLINK("https://github.com/eapache/go-resiliency", "https://github.com/eapache/go-resiliency")</f>
        <v>https://github.com/eapache/go-resiliency</v>
      </c>
      <c r="D425">
        <v>784</v>
      </c>
      <c r="E425" t="s">
        <v>1252</v>
      </c>
      <c r="F425" t="s">
        <v>1253</v>
      </c>
      <c r="G425">
        <v>66</v>
      </c>
      <c r="H425" s="2">
        <v>41972.174675925933</v>
      </c>
      <c r="I425" s="2">
        <v>43577.295023148137</v>
      </c>
      <c r="J425" t="s">
        <v>1254</v>
      </c>
    </row>
    <row r="426" spans="1:10" x14ac:dyDescent="0.15">
      <c r="A426">
        <v>19071172</v>
      </c>
      <c r="B426" s="3" t="str">
        <f>HYPERLINK("https://github.com/paypal/gatt", "https://github.com/paypal/gatt")</f>
        <v>https://github.com/paypal/gatt</v>
      </c>
      <c r="D426">
        <v>779</v>
      </c>
      <c r="E426" t="s">
        <v>1255</v>
      </c>
      <c r="F426" t="s">
        <v>1256</v>
      </c>
      <c r="G426">
        <v>199</v>
      </c>
      <c r="H426" s="2">
        <v>41752.573229166657</v>
      </c>
      <c r="I426" s="2">
        <v>43580.361620370371</v>
      </c>
      <c r="J426" t="s">
        <v>1257</v>
      </c>
    </row>
    <row r="427" spans="1:10" x14ac:dyDescent="0.15">
      <c r="A427">
        <v>134077971</v>
      </c>
      <c r="B427" s="3" t="str">
        <f>HYPERLINK("https://github.com/thedevsaddam/gojsonq", "https://github.com/thedevsaddam/gojsonq")</f>
        <v>https://github.com/thedevsaddam/gojsonq</v>
      </c>
      <c r="D427">
        <v>778</v>
      </c>
      <c r="E427" t="s">
        <v>1258</v>
      </c>
      <c r="F427" t="s">
        <v>1259</v>
      </c>
      <c r="G427">
        <v>46</v>
      </c>
      <c r="H427" s="2">
        <v>43239.677291666667</v>
      </c>
      <c r="I427" s="2">
        <v>43575.705243055563</v>
      </c>
      <c r="J427" t="s">
        <v>1260</v>
      </c>
    </row>
    <row r="428" spans="1:10" x14ac:dyDescent="0.15">
      <c r="A428">
        <v>20945862</v>
      </c>
      <c r="B428" s="3" t="str">
        <f>HYPERLINK("https://github.com/petejkim/goop", "https://github.com/petejkim/goop")</f>
        <v>https://github.com/petejkim/goop</v>
      </c>
      <c r="D428">
        <v>777</v>
      </c>
      <c r="E428" t="s">
        <v>1261</v>
      </c>
      <c r="F428" t="s">
        <v>1262</v>
      </c>
      <c r="G428">
        <v>45</v>
      </c>
      <c r="H428" s="2">
        <v>41808.080138888887</v>
      </c>
      <c r="I428" s="2">
        <v>43571.514340277783</v>
      </c>
      <c r="J428" t="s">
        <v>1263</v>
      </c>
    </row>
    <row r="429" spans="1:10" x14ac:dyDescent="0.15">
      <c r="A429">
        <v>39808208</v>
      </c>
      <c r="B429" s="3" t="str">
        <f>HYPERLINK("https://github.com/caarlos0/env", "https://github.com/caarlos0/env")</f>
        <v>https://github.com/caarlos0/env</v>
      </c>
      <c r="D429">
        <v>776</v>
      </c>
      <c r="E429" t="s">
        <v>1264</v>
      </c>
      <c r="F429" t="s">
        <v>1265</v>
      </c>
      <c r="G429">
        <v>68</v>
      </c>
      <c r="H429" s="2">
        <v>42213.0934837963</v>
      </c>
      <c r="I429" s="2">
        <v>43580.45380787037</v>
      </c>
      <c r="J429" t="s">
        <v>1266</v>
      </c>
    </row>
    <row r="430" spans="1:10" x14ac:dyDescent="0.15">
      <c r="A430">
        <v>46255681</v>
      </c>
      <c r="B430" s="3" t="str">
        <f>HYPERLINK("https://github.com/gosuri/uilive", "https://github.com/gosuri/uilive")</f>
        <v>https://github.com/gosuri/uilive</v>
      </c>
      <c r="D430">
        <v>767</v>
      </c>
      <c r="E430" t="s">
        <v>1267</v>
      </c>
      <c r="F430" t="s">
        <v>1268</v>
      </c>
      <c r="G430">
        <v>40</v>
      </c>
      <c r="H430" s="2">
        <v>42324.259143518517</v>
      </c>
      <c r="I430" s="2">
        <v>43579.311608796299</v>
      </c>
      <c r="J430" t="s">
        <v>1269</v>
      </c>
    </row>
    <row r="431" spans="1:10" x14ac:dyDescent="0.15">
      <c r="A431">
        <v>52513524</v>
      </c>
      <c r="B431" s="3" t="str">
        <f>HYPERLINK("https://github.com/go-reform/reform", "https://github.com/go-reform/reform")</f>
        <v>https://github.com/go-reform/reform</v>
      </c>
      <c r="D431">
        <v>767</v>
      </c>
      <c r="E431" t="s">
        <v>1270</v>
      </c>
      <c r="F431" t="s">
        <v>1271</v>
      </c>
      <c r="G431">
        <v>43</v>
      </c>
      <c r="H431" s="2">
        <v>42425.40357638889</v>
      </c>
      <c r="I431" s="2">
        <v>43579.559664351851</v>
      </c>
      <c r="J431" t="s">
        <v>1272</v>
      </c>
    </row>
    <row r="432" spans="1:10" x14ac:dyDescent="0.15">
      <c r="A432">
        <v>29786463</v>
      </c>
      <c r="B432" s="3" t="str">
        <f>HYPERLINK("https://github.com/bluele/gcache", "https://github.com/bluele/gcache")</f>
        <v>https://github.com/bluele/gcache</v>
      </c>
      <c r="D432">
        <v>764</v>
      </c>
      <c r="E432" t="s">
        <v>1273</v>
      </c>
      <c r="F432" t="s">
        <v>1274</v>
      </c>
      <c r="G432">
        <v>96</v>
      </c>
      <c r="H432" s="2">
        <v>42028.761886574073</v>
      </c>
      <c r="I432" s="2">
        <v>43580.513136574067</v>
      </c>
      <c r="J432" t="s">
        <v>1275</v>
      </c>
    </row>
    <row r="433" spans="1:10" x14ac:dyDescent="0.15">
      <c r="A433">
        <v>73474882</v>
      </c>
      <c r="B433" s="3" t="str">
        <f>HYPERLINK("https://github.com/tarent/loginsrv", "https://github.com/tarent/loginsrv")</f>
        <v>https://github.com/tarent/loginsrv</v>
      </c>
      <c r="D433">
        <v>761</v>
      </c>
      <c r="E433" t="s">
        <v>1276</v>
      </c>
      <c r="F433" t="s">
        <v>1277</v>
      </c>
      <c r="G433">
        <v>79</v>
      </c>
      <c r="H433" s="2">
        <v>42685.507881944453</v>
      </c>
      <c r="I433" s="2">
        <v>43580.390381944453</v>
      </c>
      <c r="J433" t="s">
        <v>1278</v>
      </c>
    </row>
    <row r="434" spans="1:10" x14ac:dyDescent="0.15">
      <c r="A434">
        <v>21791270</v>
      </c>
      <c r="B434" s="3" t="str">
        <f>HYPERLINK("https://github.com/yosssi/ace", "https://github.com/yosssi/ace")</f>
        <v>https://github.com/yosssi/ace</v>
      </c>
      <c r="D434">
        <v>755</v>
      </c>
      <c r="E434" t="s">
        <v>1279</v>
      </c>
      <c r="F434" t="s">
        <v>1280</v>
      </c>
      <c r="G434">
        <v>35</v>
      </c>
      <c r="H434" s="2">
        <v>41833.568969907406</v>
      </c>
      <c r="I434" s="2">
        <v>43580.128055555557</v>
      </c>
      <c r="J434" t="s">
        <v>1281</v>
      </c>
    </row>
    <row r="435" spans="1:10" x14ac:dyDescent="0.15">
      <c r="A435">
        <v>41945291</v>
      </c>
      <c r="B435" s="3" t="str">
        <f>HYPERLINK("https://github.com/FiloSottile/gvt", "https://github.com/FiloSottile/gvt")</f>
        <v>https://github.com/FiloSottile/gvt</v>
      </c>
      <c r="D435">
        <v>755</v>
      </c>
      <c r="E435" t="s">
        <v>1282</v>
      </c>
      <c r="F435" t="s">
        <v>1283</v>
      </c>
      <c r="G435">
        <v>80</v>
      </c>
      <c r="H435" s="2">
        <v>42252.080578703702</v>
      </c>
      <c r="I435" s="2">
        <v>43574.263298611113</v>
      </c>
      <c r="J435" t="s">
        <v>1284</v>
      </c>
    </row>
    <row r="436" spans="1:10" x14ac:dyDescent="0.15">
      <c r="A436">
        <v>42340004</v>
      </c>
      <c r="B436" s="3" t="str">
        <f>HYPERLINK("https://github.com/yanyiwu/gojieba", "https://github.com/yanyiwu/gojieba")</f>
        <v>https://github.com/yanyiwu/gojieba</v>
      </c>
      <c r="D436">
        <v>752</v>
      </c>
      <c r="E436" t="s">
        <v>1285</v>
      </c>
      <c r="F436" t="s">
        <v>1286</v>
      </c>
      <c r="G436">
        <v>130</v>
      </c>
      <c r="H436" s="2">
        <v>42259.063009259262</v>
      </c>
      <c r="I436" s="2">
        <v>43580.26053240741</v>
      </c>
      <c r="J436" t="s">
        <v>1287</v>
      </c>
    </row>
    <row r="437" spans="1:10" x14ac:dyDescent="0.15">
      <c r="A437">
        <v>8715072</v>
      </c>
      <c r="B437" s="3" t="str">
        <f>HYPERLINK("https://github.com/imdario/mergo", "https://github.com/imdario/mergo")</f>
        <v>https://github.com/imdario/mergo</v>
      </c>
      <c r="D437">
        <v>751</v>
      </c>
      <c r="E437" t="s">
        <v>1288</v>
      </c>
      <c r="F437" t="s">
        <v>1289</v>
      </c>
      <c r="G437">
        <v>123</v>
      </c>
      <c r="H437" s="2">
        <v>41344.952210648153</v>
      </c>
      <c r="I437" s="2">
        <v>43578.336180555547</v>
      </c>
      <c r="J437" t="s">
        <v>1290</v>
      </c>
    </row>
    <row r="438" spans="1:10" x14ac:dyDescent="0.15">
      <c r="A438">
        <v>13676683</v>
      </c>
      <c r="B438" s="3" t="str">
        <f>HYPERLINK("https://github.com/pebbe/zmq4", "https://github.com/pebbe/zmq4")</f>
        <v>https://github.com/pebbe/zmq4</v>
      </c>
      <c r="D438">
        <v>750</v>
      </c>
      <c r="E438" t="s">
        <v>1291</v>
      </c>
      <c r="F438" t="s">
        <v>1292</v>
      </c>
      <c r="G438">
        <v>112</v>
      </c>
      <c r="H438" s="2">
        <v>41565.492256944453</v>
      </c>
      <c r="I438" s="2">
        <v>43580.135034722232</v>
      </c>
      <c r="J438" t="s">
        <v>1293</v>
      </c>
    </row>
    <row r="439" spans="1:10" x14ac:dyDescent="0.15">
      <c r="A439">
        <v>21960219</v>
      </c>
      <c r="B439" s="3" t="str">
        <f>HYPERLINK("https://github.com/rubyist/circuitbreaker", "https://github.com/rubyist/circuitbreaker")</f>
        <v>https://github.com/rubyist/circuitbreaker</v>
      </c>
      <c r="D439">
        <v>750</v>
      </c>
      <c r="E439" t="s">
        <v>1294</v>
      </c>
      <c r="F439" t="s">
        <v>1295</v>
      </c>
      <c r="G439">
        <v>79</v>
      </c>
      <c r="H439" s="2">
        <v>41837.945520833331</v>
      </c>
      <c r="I439" s="2">
        <v>43579.717743055553</v>
      </c>
      <c r="J439" t="s">
        <v>1296</v>
      </c>
    </row>
    <row r="440" spans="1:10" x14ac:dyDescent="0.15">
      <c r="A440">
        <v>37787279</v>
      </c>
      <c r="B440" s="3" t="str">
        <f>HYPERLINK("https://github.com/trivago/gollum", "https://github.com/trivago/gollum")</f>
        <v>https://github.com/trivago/gollum</v>
      </c>
      <c r="D440">
        <v>745</v>
      </c>
      <c r="E440" t="s">
        <v>1297</v>
      </c>
      <c r="F440" t="s">
        <v>1298</v>
      </c>
      <c r="G440">
        <v>58</v>
      </c>
      <c r="H440" s="2">
        <v>42175.91064814815</v>
      </c>
      <c r="I440" s="2">
        <v>43578.07099537037</v>
      </c>
      <c r="J440" t="s">
        <v>1299</v>
      </c>
    </row>
    <row r="441" spans="1:10" x14ac:dyDescent="0.15">
      <c r="A441">
        <v>20001290</v>
      </c>
      <c r="B441" s="3" t="str">
        <f>HYPERLINK("https://github.com/mholt/binding", "https://github.com/mholt/binding")</f>
        <v>https://github.com/mholt/binding</v>
      </c>
      <c r="D441">
        <v>743</v>
      </c>
      <c r="E441" t="s">
        <v>1300</v>
      </c>
      <c r="F441" t="s">
        <v>1301</v>
      </c>
      <c r="G441">
        <v>66</v>
      </c>
      <c r="H441" s="2">
        <v>41779.982800925929</v>
      </c>
      <c r="I441" s="2">
        <v>43577.554618055547</v>
      </c>
      <c r="J441" t="s">
        <v>1302</v>
      </c>
    </row>
    <row r="442" spans="1:10" x14ac:dyDescent="0.15">
      <c r="A442">
        <v>5216913</v>
      </c>
      <c r="B442" s="3" t="str">
        <f>HYPERLINK("https://github.com/huandu/facebook", "https://github.com/huandu/facebook")</f>
        <v>https://github.com/huandu/facebook</v>
      </c>
      <c r="D442">
        <v>741</v>
      </c>
      <c r="E442" t="s">
        <v>1303</v>
      </c>
      <c r="F442" t="s">
        <v>1304</v>
      </c>
      <c r="G442">
        <v>244</v>
      </c>
      <c r="H442" s="2">
        <v>41118.795787037037</v>
      </c>
      <c r="I442" s="2">
        <v>43578.636296296303</v>
      </c>
      <c r="J442" t="s">
        <v>1305</v>
      </c>
    </row>
    <row r="443" spans="1:10" x14ac:dyDescent="0.15">
      <c r="A443">
        <v>129072319</v>
      </c>
      <c r="B443" s="3" t="str">
        <f>HYPERLINK("https://github.com/CovenantSQL/CovenantSQL", "https://github.com/CovenantSQL/CovenantSQL")</f>
        <v>https://github.com/CovenantSQL/CovenantSQL</v>
      </c>
      <c r="D443">
        <v>740</v>
      </c>
      <c r="E443" t="s">
        <v>1306</v>
      </c>
      <c r="F443" t="s">
        <v>1307</v>
      </c>
      <c r="G443">
        <v>72</v>
      </c>
      <c r="H443" s="2">
        <v>43201.411782407413</v>
      </c>
      <c r="I443" s="2">
        <v>43580.497384259259</v>
      </c>
      <c r="J443" t="s">
        <v>1308</v>
      </c>
    </row>
    <row r="444" spans="1:10" x14ac:dyDescent="0.15">
      <c r="A444">
        <v>46243346</v>
      </c>
      <c r="B444" s="3" t="str">
        <f>HYPERLINK("https://github.com/goji/goji", "https://github.com/goji/goji")</f>
        <v>https://github.com/goji/goji</v>
      </c>
      <c r="D444">
        <v>740</v>
      </c>
      <c r="E444" t="s">
        <v>1309</v>
      </c>
      <c r="F444" t="s">
        <v>1310</v>
      </c>
      <c r="G444">
        <v>60</v>
      </c>
      <c r="H444" s="2">
        <v>42324.036585648151</v>
      </c>
      <c r="I444" s="2">
        <v>43579.859467592592</v>
      </c>
      <c r="J444" t="s">
        <v>1311</v>
      </c>
    </row>
    <row r="445" spans="1:10" x14ac:dyDescent="0.15">
      <c r="A445">
        <v>121197542</v>
      </c>
      <c r="B445" s="3" t="str">
        <f>HYPERLINK("https://github.com/mitchellh/go-server-timing", "https://github.com/mitchellh/go-server-timing")</f>
        <v>https://github.com/mitchellh/go-server-timing</v>
      </c>
      <c r="D445">
        <v>738</v>
      </c>
      <c r="E445" t="s">
        <v>1312</v>
      </c>
      <c r="F445" t="s">
        <v>1313</v>
      </c>
      <c r="G445">
        <v>20</v>
      </c>
      <c r="H445" s="2">
        <v>43143.163912037038</v>
      </c>
      <c r="I445" s="2">
        <v>43577.50508101852</v>
      </c>
      <c r="J445" t="s">
        <v>1314</v>
      </c>
    </row>
    <row r="446" spans="1:10" x14ac:dyDescent="0.15">
      <c r="A446">
        <v>85765458</v>
      </c>
      <c r="B446" s="3" t="str">
        <f>HYPERLINK("https://github.com/uber-go/dig", "https://github.com/uber-go/dig")</f>
        <v>https://github.com/uber-go/dig</v>
      </c>
      <c r="D446">
        <v>736</v>
      </c>
      <c r="E446" t="s">
        <v>1315</v>
      </c>
      <c r="F446" t="s">
        <v>1316</v>
      </c>
      <c r="G446">
        <v>50</v>
      </c>
      <c r="H446" s="2">
        <v>42815.997106481482</v>
      </c>
      <c r="I446" s="2">
        <v>43579.605509259258</v>
      </c>
      <c r="J446" t="s">
        <v>1317</v>
      </c>
    </row>
    <row r="447" spans="1:10" x14ac:dyDescent="0.15">
      <c r="A447">
        <v>19074246</v>
      </c>
      <c r="B447" s="3" t="str">
        <f>HYPERLINK("https://github.com/zachlatta/postman", "https://github.com/zachlatta/postman")</f>
        <v>https://github.com/zachlatta/postman</v>
      </c>
      <c r="D447">
        <v>730</v>
      </c>
      <c r="E447" t="s">
        <v>1318</v>
      </c>
      <c r="F447" t="s">
        <v>1319</v>
      </c>
      <c r="G447">
        <v>47</v>
      </c>
      <c r="H447" s="2">
        <v>41752.632523148153</v>
      </c>
      <c r="I447" s="2">
        <v>43580.035381944443</v>
      </c>
      <c r="J447" t="s">
        <v>1320</v>
      </c>
    </row>
    <row r="448" spans="1:10" x14ac:dyDescent="0.15">
      <c r="A448">
        <v>32397463</v>
      </c>
      <c r="B448" s="3" t="str">
        <f>HYPERLINK("https://github.com/h2non/bimg", "https://github.com/h2non/bimg")</f>
        <v>https://github.com/h2non/bimg</v>
      </c>
      <c r="D448">
        <v>727</v>
      </c>
      <c r="E448" t="s">
        <v>1321</v>
      </c>
      <c r="F448" t="s">
        <v>1322</v>
      </c>
      <c r="G448">
        <v>154</v>
      </c>
      <c r="H448" s="2">
        <v>42080.593078703707</v>
      </c>
      <c r="I448" s="2">
        <v>43579.007141203707</v>
      </c>
      <c r="J448" t="s">
        <v>1323</v>
      </c>
    </row>
    <row r="449" spans="1:10" x14ac:dyDescent="0.15">
      <c r="A449">
        <v>123394155</v>
      </c>
      <c r="B449" s="3" t="str">
        <f>HYPERLINK("https://github.com/boyter/scc", "https://github.com/boyter/scc")</f>
        <v>https://github.com/boyter/scc</v>
      </c>
      <c r="D449">
        <v>726</v>
      </c>
      <c r="E449" t="s">
        <v>1324</v>
      </c>
      <c r="F449" t="s">
        <v>1325</v>
      </c>
      <c r="G449">
        <v>35</v>
      </c>
      <c r="H449" s="2">
        <v>43160.280844907407</v>
      </c>
      <c r="I449" s="2">
        <v>43580.35528935185</v>
      </c>
      <c r="J449" t="s">
        <v>1326</v>
      </c>
    </row>
    <row r="450" spans="1:10" x14ac:dyDescent="0.15">
      <c r="A450">
        <v>47480820</v>
      </c>
      <c r="B450" s="3" t="str">
        <f>HYPERLINK("https://github.com/mvdan/interfacer", "https://github.com/mvdan/interfacer")</f>
        <v>https://github.com/mvdan/interfacer</v>
      </c>
      <c r="D450">
        <v>717</v>
      </c>
      <c r="E450" t="s">
        <v>1327</v>
      </c>
      <c r="F450" t="s">
        <v>1328</v>
      </c>
      <c r="G450">
        <v>16</v>
      </c>
      <c r="H450" s="2">
        <v>42344.102743055562</v>
      </c>
      <c r="I450" s="2">
        <v>43576.522337962961</v>
      </c>
      <c r="J450" t="s">
        <v>1329</v>
      </c>
    </row>
    <row r="451" spans="1:10" x14ac:dyDescent="0.15">
      <c r="A451">
        <v>3788841</v>
      </c>
      <c r="B451" s="3" t="str">
        <f>HYPERLINK("https://github.com/peterbourgon/diskv", "https://github.com/peterbourgon/diskv")</f>
        <v>https://github.com/peterbourgon/diskv</v>
      </c>
      <c r="D451">
        <v>712</v>
      </c>
      <c r="E451" t="s">
        <v>1330</v>
      </c>
      <c r="F451" t="s">
        <v>1331</v>
      </c>
      <c r="G451">
        <v>66</v>
      </c>
      <c r="H451" s="2">
        <v>40989.697592592587</v>
      </c>
      <c r="I451" s="2">
        <v>43580.336967592593</v>
      </c>
      <c r="J451" t="s">
        <v>1332</v>
      </c>
    </row>
    <row r="452" spans="1:10" x14ac:dyDescent="0.15">
      <c r="A452">
        <v>79280946</v>
      </c>
      <c r="B452" s="3" t="str">
        <f>HYPERLINK("https://github.com/getfider/fider", "https://github.com/getfider/fider")</f>
        <v>https://github.com/getfider/fider</v>
      </c>
      <c r="D452">
        <v>712</v>
      </c>
      <c r="E452" t="s">
        <v>1333</v>
      </c>
      <c r="F452" t="s">
        <v>1334</v>
      </c>
      <c r="G452">
        <v>84</v>
      </c>
      <c r="H452" s="2">
        <v>42752.955081018517</v>
      </c>
      <c r="I452" s="2">
        <v>43580.475613425922</v>
      </c>
      <c r="J452" t="s">
        <v>1335</v>
      </c>
    </row>
    <row r="453" spans="1:10" x14ac:dyDescent="0.15">
      <c r="A453">
        <v>27943989</v>
      </c>
      <c r="B453" s="3" t="str">
        <f>HYPERLINK("https://github.com/briandowns/spinner", "https://github.com/briandowns/spinner")</f>
        <v>https://github.com/briandowns/spinner</v>
      </c>
      <c r="D453">
        <v>709</v>
      </c>
      <c r="E453" t="s">
        <v>1336</v>
      </c>
      <c r="F453" t="s">
        <v>1337</v>
      </c>
      <c r="G453">
        <v>49</v>
      </c>
      <c r="H453" s="2">
        <v>41986.025219907409</v>
      </c>
      <c r="I453" s="2">
        <v>43580.371261574073</v>
      </c>
      <c r="J453" t="s">
        <v>1338</v>
      </c>
    </row>
    <row r="454" spans="1:10" x14ac:dyDescent="0.15">
      <c r="A454">
        <v>52977552</v>
      </c>
      <c r="B454" s="3" t="str">
        <f>HYPERLINK("https://github.com/h2non/gock", "https://github.com/h2non/gock")</f>
        <v>https://github.com/h2non/gock</v>
      </c>
      <c r="D454">
        <v>708</v>
      </c>
      <c r="E454" t="s">
        <v>1339</v>
      </c>
      <c r="F454" t="s">
        <v>1340</v>
      </c>
      <c r="G454">
        <v>37</v>
      </c>
      <c r="H454" s="2">
        <v>42431.680856481478</v>
      </c>
      <c r="I454" s="2">
        <v>43578.289236111108</v>
      </c>
      <c r="J454" t="s">
        <v>1341</v>
      </c>
    </row>
    <row r="455" spans="1:10" x14ac:dyDescent="0.15">
      <c r="A455">
        <v>106351459</v>
      </c>
      <c r="B455" s="3" t="str">
        <f>HYPERLINK("https://github.com/fortio/fortio", "https://github.com/fortio/fortio")</f>
        <v>https://github.com/fortio/fortio</v>
      </c>
      <c r="D455">
        <v>706</v>
      </c>
      <c r="E455" t="s">
        <v>1342</v>
      </c>
      <c r="F455" t="s">
        <v>1343</v>
      </c>
      <c r="G455">
        <v>53</v>
      </c>
      <c r="H455" s="2">
        <v>43018.042812500003</v>
      </c>
      <c r="I455" s="2">
        <v>43580.26734953704</v>
      </c>
      <c r="J455" t="s">
        <v>1344</v>
      </c>
    </row>
    <row r="456" spans="1:10" x14ac:dyDescent="0.15">
      <c r="A456">
        <v>51220375</v>
      </c>
      <c r="B456" s="3" t="str">
        <f>HYPERLINK("https://github.com/couchbase/moss", "https://github.com/couchbase/moss")</f>
        <v>https://github.com/couchbase/moss</v>
      </c>
      <c r="D456">
        <v>702</v>
      </c>
      <c r="E456" t="s">
        <v>1345</v>
      </c>
      <c r="F456" t="s">
        <v>1346</v>
      </c>
      <c r="G456">
        <v>34</v>
      </c>
      <c r="H456" s="2">
        <v>42406.852337962962</v>
      </c>
      <c r="I456" s="2">
        <v>43579.34443287037</v>
      </c>
      <c r="J456" t="s">
        <v>1347</v>
      </c>
    </row>
    <row r="457" spans="1:10" x14ac:dyDescent="0.15">
      <c r="A457">
        <v>57418962</v>
      </c>
      <c r="B457" s="3" t="str">
        <f>HYPERLINK("https://github.com/documize/community", "https://github.com/documize/community")</f>
        <v>https://github.com/documize/community</v>
      </c>
      <c r="D457">
        <v>701</v>
      </c>
      <c r="E457" t="s">
        <v>1348</v>
      </c>
      <c r="F457" t="s">
        <v>1349</v>
      </c>
      <c r="G457">
        <v>75</v>
      </c>
      <c r="H457" s="2">
        <v>42489.982719907413</v>
      </c>
      <c r="I457" s="2">
        <v>43580.494155092587</v>
      </c>
      <c r="J457" t="s">
        <v>1350</v>
      </c>
    </row>
    <row r="458" spans="1:10" x14ac:dyDescent="0.15">
      <c r="A458">
        <v>13754073</v>
      </c>
      <c r="B458" s="3" t="str">
        <f>HYPERLINK("https://github.com/franela/goreq", "https://github.com/franela/goreq")</f>
        <v>https://github.com/franela/goreq</v>
      </c>
      <c r="D458">
        <v>700</v>
      </c>
      <c r="E458" t="s">
        <v>1351</v>
      </c>
      <c r="F458" t="s">
        <v>1352</v>
      </c>
      <c r="G458">
        <v>99</v>
      </c>
      <c r="H458" s="2">
        <v>41568.84951388889</v>
      </c>
      <c r="I458" s="2">
        <v>43580.326909722222</v>
      </c>
      <c r="J458" t="s">
        <v>1353</v>
      </c>
    </row>
    <row r="459" spans="1:10" x14ac:dyDescent="0.15">
      <c r="A459">
        <v>48392478</v>
      </c>
      <c r="B459" s="3" t="str">
        <f>HYPERLINK("https://github.com/apex/log", "https://github.com/apex/log")</f>
        <v>https://github.com/apex/log</v>
      </c>
      <c r="D459">
        <v>696</v>
      </c>
      <c r="E459" t="s">
        <v>1354</v>
      </c>
      <c r="F459" t="s">
        <v>1355</v>
      </c>
      <c r="G459">
        <v>62</v>
      </c>
      <c r="H459" s="2">
        <v>42359.852638888893</v>
      </c>
      <c r="I459" s="2">
        <v>43578.889594907407</v>
      </c>
      <c r="J459" t="s">
        <v>1356</v>
      </c>
    </row>
    <row r="460" spans="1:10" x14ac:dyDescent="0.15">
      <c r="A460">
        <v>61500798</v>
      </c>
      <c r="B460" s="3" t="str">
        <f>HYPERLINK("https://github.com/git-time-metric/gtm", "https://github.com/git-time-metric/gtm")</f>
        <v>https://github.com/git-time-metric/gtm</v>
      </c>
      <c r="D460">
        <v>694</v>
      </c>
      <c r="E460" t="s">
        <v>1357</v>
      </c>
      <c r="F460" t="s">
        <v>1358</v>
      </c>
      <c r="G460">
        <v>38</v>
      </c>
      <c r="H460" s="2">
        <v>42540.88685185185</v>
      </c>
      <c r="I460" s="2">
        <v>43578.906180555547</v>
      </c>
      <c r="J460" t="s">
        <v>1359</v>
      </c>
    </row>
    <row r="461" spans="1:10" x14ac:dyDescent="0.15">
      <c r="A461">
        <v>47913213</v>
      </c>
      <c r="B461" s="3" t="str">
        <f>HYPERLINK("https://github.com/buaazp/fasthttprouter", "https://github.com/buaazp/fasthttprouter")</f>
        <v>https://github.com/buaazp/fasthttprouter</v>
      </c>
      <c r="D461">
        <v>693</v>
      </c>
      <c r="E461" t="s">
        <v>1360</v>
      </c>
      <c r="F461" t="s">
        <v>1361</v>
      </c>
      <c r="G461">
        <v>91</v>
      </c>
      <c r="H461" s="2">
        <v>42351.397569444453</v>
      </c>
      <c r="I461" s="2">
        <v>43579.902314814812</v>
      </c>
      <c r="J461" t="s">
        <v>1362</v>
      </c>
    </row>
    <row r="462" spans="1:10" x14ac:dyDescent="0.15">
      <c r="A462">
        <v>110584282</v>
      </c>
      <c r="B462" s="3" t="str">
        <f>HYPERLINK("https://github.com/ortuman/jackal", "https://github.com/ortuman/jackal")</f>
        <v>https://github.com/ortuman/jackal</v>
      </c>
      <c r="D462">
        <v>691</v>
      </c>
      <c r="E462" t="s">
        <v>1363</v>
      </c>
      <c r="F462" t="s">
        <v>1364</v>
      </c>
      <c r="G462">
        <v>46</v>
      </c>
      <c r="H462" s="2">
        <v>43052.762361111112</v>
      </c>
      <c r="I462" s="2">
        <v>43580.437916666669</v>
      </c>
      <c r="J462" t="s">
        <v>1365</v>
      </c>
    </row>
    <row r="463" spans="1:10" x14ac:dyDescent="0.15">
      <c r="A463">
        <v>81609715</v>
      </c>
      <c r="B463" s="3" t="str">
        <f>HYPERLINK("https://github.com/awalterschulze/goderive", "https://github.com/awalterschulze/goderive")</f>
        <v>https://github.com/awalterschulze/goderive</v>
      </c>
      <c r="D463">
        <v>687</v>
      </c>
      <c r="E463" t="s">
        <v>1366</v>
      </c>
      <c r="F463" t="s">
        <v>1367</v>
      </c>
      <c r="G463">
        <v>21</v>
      </c>
      <c r="H463" s="2">
        <v>42776.907511574071</v>
      </c>
      <c r="I463" s="2">
        <v>43572.81417824074</v>
      </c>
      <c r="J463" t="s">
        <v>1368</v>
      </c>
    </row>
    <row r="464" spans="1:10" x14ac:dyDescent="0.15">
      <c r="A464">
        <v>26517837</v>
      </c>
      <c r="B464" s="3" t="str">
        <f>HYPERLINK("https://github.com/getlantern/systray", "https://github.com/getlantern/systray")</f>
        <v>https://github.com/getlantern/systray</v>
      </c>
      <c r="D464">
        <v>684</v>
      </c>
      <c r="E464" t="s">
        <v>1369</v>
      </c>
      <c r="F464" t="s">
        <v>1370</v>
      </c>
      <c r="G464">
        <v>98</v>
      </c>
      <c r="H464" s="2">
        <v>41955.154131944437</v>
      </c>
      <c r="I464" s="2">
        <v>43579.350011574083</v>
      </c>
      <c r="J464" t="s">
        <v>1371</v>
      </c>
    </row>
    <row r="465" spans="1:10" x14ac:dyDescent="0.15">
      <c r="A465">
        <v>9989712</v>
      </c>
      <c r="B465" s="3" t="str">
        <f>HYPERLINK("https://github.com/mitchellh/goamz", "https://github.com/mitchellh/goamz")</f>
        <v>https://github.com/mitchellh/goamz</v>
      </c>
      <c r="D465">
        <v>682</v>
      </c>
      <c r="E465" t="s">
        <v>1372</v>
      </c>
      <c r="F465" t="s">
        <v>1373</v>
      </c>
      <c r="G465">
        <v>233</v>
      </c>
      <c r="H465" s="2">
        <v>41404.851585648154</v>
      </c>
      <c r="I465" s="2">
        <v>43549.271319444437</v>
      </c>
      <c r="J465" t="s">
        <v>1374</v>
      </c>
    </row>
    <row r="466" spans="1:10" x14ac:dyDescent="0.15">
      <c r="A466">
        <v>153948655</v>
      </c>
      <c r="B466" s="3" t="str">
        <f>HYPERLINK("https://github.com/Clivern/Beaver", "https://github.com/Clivern/Beaver")</f>
        <v>https://github.com/Clivern/Beaver</v>
      </c>
      <c r="D466">
        <v>676</v>
      </c>
      <c r="E466" t="s">
        <v>1375</v>
      </c>
      <c r="F466" t="s">
        <v>1376</v>
      </c>
      <c r="G466">
        <v>25</v>
      </c>
      <c r="H466" s="2">
        <v>43393.88244212963</v>
      </c>
      <c r="I466" s="2">
        <v>43579.273935185192</v>
      </c>
      <c r="J466" t="s">
        <v>1377</v>
      </c>
    </row>
    <row r="467" spans="1:10" x14ac:dyDescent="0.15">
      <c r="A467">
        <v>28054085</v>
      </c>
      <c r="B467" s="3" t="str">
        <f>HYPERLINK("https://github.com/hashicorp/go-multierror", "https://github.com/hashicorp/go-multierror")</f>
        <v>https://github.com/hashicorp/go-multierror</v>
      </c>
      <c r="D467">
        <v>672</v>
      </c>
      <c r="E467" t="s">
        <v>1378</v>
      </c>
      <c r="F467" t="s">
        <v>1379</v>
      </c>
      <c r="G467">
        <v>44</v>
      </c>
      <c r="H467" s="2">
        <v>41988.841967592591</v>
      </c>
      <c r="I467" s="2">
        <v>43579.740717592591</v>
      </c>
      <c r="J467" t="s">
        <v>1380</v>
      </c>
    </row>
    <row r="468" spans="1:10" x14ac:dyDescent="0.15">
      <c r="A468">
        <v>40659385</v>
      </c>
      <c r="B468" s="3" t="str">
        <f>HYPERLINK("https://github.com/gotk3/gotk3", "https://github.com/gotk3/gotk3")</f>
        <v>https://github.com/gotk3/gotk3</v>
      </c>
      <c r="D468">
        <v>672</v>
      </c>
      <c r="E468" t="s">
        <v>1381</v>
      </c>
      <c r="F468" t="s">
        <v>1382</v>
      </c>
      <c r="G468">
        <v>111</v>
      </c>
      <c r="H468" s="2">
        <v>42229.548449074071</v>
      </c>
      <c r="I468" s="2">
        <v>43580.055381944447</v>
      </c>
      <c r="J468" t="s">
        <v>1383</v>
      </c>
    </row>
    <row r="469" spans="1:10" x14ac:dyDescent="0.15">
      <c r="A469">
        <v>14132192</v>
      </c>
      <c r="B469" s="3" t="str">
        <f>HYPERLINK("https://github.com/pkg/sftp", "https://github.com/pkg/sftp")</f>
        <v>https://github.com/pkg/sftp</v>
      </c>
      <c r="D469">
        <v>672</v>
      </c>
      <c r="E469" t="s">
        <v>1384</v>
      </c>
      <c r="F469" t="s">
        <v>1385</v>
      </c>
      <c r="G469">
        <v>207</v>
      </c>
      <c r="H469" s="2">
        <v>41583.191666666673</v>
      </c>
      <c r="I469" s="2">
        <v>43579.063587962963</v>
      </c>
      <c r="J469" t="s">
        <v>1386</v>
      </c>
    </row>
    <row r="470" spans="1:10" x14ac:dyDescent="0.15">
      <c r="A470">
        <v>35992974</v>
      </c>
      <c r="B470" s="3" t="str">
        <f>HYPERLINK("https://github.com/giorgisio/goav", "https://github.com/giorgisio/goav")</f>
        <v>https://github.com/giorgisio/goav</v>
      </c>
      <c r="D470">
        <v>672</v>
      </c>
      <c r="E470" t="s">
        <v>1387</v>
      </c>
      <c r="F470" t="s">
        <v>1388</v>
      </c>
      <c r="G470">
        <v>136</v>
      </c>
      <c r="H470" s="2">
        <v>42145.230023148149</v>
      </c>
      <c r="I470" s="2">
        <v>43580.306527777779</v>
      </c>
      <c r="J470" t="s">
        <v>1389</v>
      </c>
    </row>
    <row r="471" spans="1:10" x14ac:dyDescent="0.15">
      <c r="A471">
        <v>10151943</v>
      </c>
      <c r="B471" s="3" t="str">
        <f>HYPERLINK("https://github.com/go-gl/glfw", "https://github.com/go-gl/glfw")</f>
        <v>https://github.com/go-gl/glfw</v>
      </c>
      <c r="D471">
        <v>667</v>
      </c>
      <c r="E471" t="s">
        <v>1390</v>
      </c>
      <c r="F471" t="s">
        <v>1391</v>
      </c>
      <c r="G471">
        <v>86</v>
      </c>
      <c r="H471" s="2">
        <v>41413.276909722219</v>
      </c>
      <c r="I471" s="2">
        <v>43580.265752314823</v>
      </c>
      <c r="J471" t="s">
        <v>1392</v>
      </c>
    </row>
    <row r="472" spans="1:10" x14ac:dyDescent="0.15">
      <c r="A472">
        <v>12488845</v>
      </c>
      <c r="B472" s="3" t="str">
        <f>HYPERLINK("https://github.com/spf13/pflag", "https://github.com/spf13/pflag")</f>
        <v>https://github.com/spf13/pflag</v>
      </c>
      <c r="D472">
        <v>666</v>
      </c>
      <c r="E472" t="s">
        <v>1393</v>
      </c>
      <c r="F472" t="s">
        <v>1394</v>
      </c>
      <c r="G472">
        <v>155</v>
      </c>
      <c r="H472" s="2">
        <v>41516.620497685188</v>
      </c>
      <c r="I472" s="2">
        <v>43580.302523148152</v>
      </c>
      <c r="J472" t="s">
        <v>1395</v>
      </c>
    </row>
    <row r="473" spans="1:10" x14ac:dyDescent="0.15">
      <c r="A473">
        <v>84232188</v>
      </c>
      <c r="B473" s="3" t="str">
        <f>HYPERLINK("https://github.com/g3n/engine", "https://github.com/g3n/engine")</f>
        <v>https://github.com/g3n/engine</v>
      </c>
      <c r="D473">
        <v>661</v>
      </c>
      <c r="E473" t="s">
        <v>1396</v>
      </c>
      <c r="F473" t="s">
        <v>1397</v>
      </c>
      <c r="G473">
        <v>63</v>
      </c>
      <c r="H473" s="2">
        <v>42801.767465277779</v>
      </c>
      <c r="I473" s="2">
        <v>43580.383206018523</v>
      </c>
      <c r="J473" t="s">
        <v>1398</v>
      </c>
    </row>
    <row r="474" spans="1:10" x14ac:dyDescent="0.15">
      <c r="A474">
        <v>19336908</v>
      </c>
      <c r="B474" s="3" t="str">
        <f>HYPERLINK("https://github.com/sipin/gorazor", "https://github.com/sipin/gorazor")</f>
        <v>https://github.com/sipin/gorazor</v>
      </c>
      <c r="D474">
        <v>660</v>
      </c>
      <c r="E474" t="s">
        <v>1399</v>
      </c>
      <c r="F474" t="s">
        <v>1400</v>
      </c>
      <c r="G474">
        <v>78</v>
      </c>
      <c r="H474" s="2">
        <v>41760.229525462957</v>
      </c>
      <c r="I474" s="2">
        <v>43577.326435185183</v>
      </c>
      <c r="J474" t="s">
        <v>1401</v>
      </c>
    </row>
    <row r="475" spans="1:10" x14ac:dyDescent="0.15">
      <c r="A475">
        <v>34933072</v>
      </c>
      <c r="B475" s="3" t="str">
        <f>HYPERLINK("https://github.com/minio/minio-go", "https://github.com/minio/minio-go")</f>
        <v>https://github.com/minio/minio-go</v>
      </c>
      <c r="D475">
        <v>659</v>
      </c>
      <c r="E475" t="s">
        <v>1402</v>
      </c>
      <c r="F475" t="s">
        <v>1403</v>
      </c>
      <c r="G475">
        <v>217</v>
      </c>
      <c r="H475" s="2">
        <v>42126.108865740738</v>
      </c>
      <c r="I475" s="2">
        <v>43579.623043981483</v>
      </c>
      <c r="J475" t="s">
        <v>1404</v>
      </c>
    </row>
    <row r="476" spans="1:10" x14ac:dyDescent="0.15">
      <c r="A476">
        <v>44139350</v>
      </c>
      <c r="B476" s="3" t="str">
        <f>HYPERLINK("https://github.com/hashicorp/go-getter", "https://github.com/hashicorp/go-getter")</f>
        <v>https://github.com/hashicorp/go-getter</v>
      </c>
      <c r="D476">
        <v>654</v>
      </c>
      <c r="E476" t="s">
        <v>1405</v>
      </c>
      <c r="F476" t="s">
        <v>1406</v>
      </c>
      <c r="G476">
        <v>74</v>
      </c>
      <c r="H476" s="2">
        <v>42289.970219907409</v>
      </c>
      <c r="I476" s="2">
        <v>43577.606493055559</v>
      </c>
      <c r="J476" t="s">
        <v>1407</v>
      </c>
    </row>
    <row r="477" spans="1:10" x14ac:dyDescent="0.15">
      <c r="A477">
        <v>57150400</v>
      </c>
      <c r="B477" s="3" t="str">
        <f>HYPERLINK("https://github.com/emersion/go-imap", "https://github.com/emersion/go-imap")</f>
        <v>https://github.com/emersion/go-imap</v>
      </c>
      <c r="D477">
        <v>649</v>
      </c>
      <c r="E477" t="s">
        <v>1408</v>
      </c>
      <c r="F477" t="s">
        <v>1409</v>
      </c>
      <c r="G477">
        <v>96</v>
      </c>
      <c r="H477" s="2">
        <v>42486.749513888892</v>
      </c>
      <c r="I477" s="2">
        <v>43579.623101851852</v>
      </c>
      <c r="J477" t="s">
        <v>1410</v>
      </c>
    </row>
    <row r="478" spans="1:10" x14ac:dyDescent="0.15">
      <c r="A478">
        <v>33796218</v>
      </c>
      <c r="B478" s="3" t="str">
        <f>HYPERLINK("https://github.com/dghubble/go-twitter", "https://github.com/dghubble/go-twitter")</f>
        <v>https://github.com/dghubble/go-twitter</v>
      </c>
      <c r="D478">
        <v>648</v>
      </c>
      <c r="E478" t="s">
        <v>1411</v>
      </c>
      <c r="F478" t="s">
        <v>1412</v>
      </c>
      <c r="G478">
        <v>131</v>
      </c>
      <c r="H478" s="2">
        <v>42105.976469907408</v>
      </c>
      <c r="I478" s="2">
        <v>43578.514131944437</v>
      </c>
      <c r="J478" t="s">
        <v>1413</v>
      </c>
    </row>
    <row r="479" spans="1:10" x14ac:dyDescent="0.15">
      <c r="A479">
        <v>37198116</v>
      </c>
      <c r="B479" s="3" t="str">
        <f>HYPERLINK("https://github.com/DATA-DOG/godog", "https://github.com/DATA-DOG/godog")</f>
        <v>https://github.com/DATA-DOG/godog</v>
      </c>
      <c r="D479">
        <v>646</v>
      </c>
      <c r="E479" t="s">
        <v>1414</v>
      </c>
      <c r="F479" t="s">
        <v>1415</v>
      </c>
      <c r="G479">
        <v>63</v>
      </c>
      <c r="H479" s="2">
        <v>42165.553136574083</v>
      </c>
      <c r="I479" s="2">
        <v>43580.436342592591</v>
      </c>
      <c r="J479" t="s">
        <v>1416</v>
      </c>
    </row>
    <row r="480" spans="1:10" x14ac:dyDescent="0.15">
      <c r="A480">
        <v>94682429</v>
      </c>
      <c r="B480" s="3" t="str">
        <f>HYPERLINK("https://github.com/axiomhq/hyperloglog", "https://github.com/axiomhq/hyperloglog")</f>
        <v>https://github.com/axiomhq/hyperloglog</v>
      </c>
      <c r="D480">
        <v>645</v>
      </c>
      <c r="E480" t="s">
        <v>1417</v>
      </c>
      <c r="F480" t="s">
        <v>1418</v>
      </c>
      <c r="G480">
        <v>39</v>
      </c>
      <c r="H480" s="2">
        <v>42904.470972222232</v>
      </c>
      <c r="I480" s="2">
        <v>43580.117511574077</v>
      </c>
      <c r="J480" t="s">
        <v>1419</v>
      </c>
    </row>
    <row r="481" spans="1:10" x14ac:dyDescent="0.15">
      <c r="A481">
        <v>28949956</v>
      </c>
      <c r="B481" s="3" t="str">
        <f>HYPERLINK("https://github.com/olebedev/go-duktape", "https://github.com/olebedev/go-duktape")</f>
        <v>https://github.com/olebedev/go-duktape</v>
      </c>
      <c r="D481">
        <v>644</v>
      </c>
      <c r="E481" t="s">
        <v>1420</v>
      </c>
      <c r="F481" t="s">
        <v>1421</v>
      </c>
      <c r="G481">
        <v>71</v>
      </c>
      <c r="H481" s="2">
        <v>42012.214641203696</v>
      </c>
      <c r="I481" s="2">
        <v>43580.548842592587</v>
      </c>
      <c r="J481" t="s">
        <v>1422</v>
      </c>
    </row>
    <row r="482" spans="1:10" x14ac:dyDescent="0.15">
      <c r="A482">
        <v>28949956</v>
      </c>
      <c r="B482" s="3" t="str">
        <f>HYPERLINK("https://github.com/olebedev/go-duktape", "https://github.com/olebedev/go-duktape")</f>
        <v>https://github.com/olebedev/go-duktape</v>
      </c>
      <c r="D482">
        <v>643</v>
      </c>
      <c r="E482" t="s">
        <v>1420</v>
      </c>
      <c r="F482" t="s">
        <v>1421</v>
      </c>
      <c r="G482">
        <v>71</v>
      </c>
      <c r="H482" s="2">
        <v>42012.214641203696</v>
      </c>
      <c r="I482" s="2">
        <v>43579.801817129628</v>
      </c>
      <c r="J482" t="s">
        <v>1422</v>
      </c>
    </row>
    <row r="483" spans="1:10" x14ac:dyDescent="0.15">
      <c r="A483">
        <v>14355761</v>
      </c>
      <c r="B483" s="3" t="str">
        <f>HYPERLINK("https://github.com/sanbornm/go-selfupdate", "https://github.com/sanbornm/go-selfupdate")</f>
        <v>https://github.com/sanbornm/go-selfupdate</v>
      </c>
      <c r="D483">
        <v>640</v>
      </c>
      <c r="E483" t="s">
        <v>1423</v>
      </c>
      <c r="F483" t="s">
        <v>1424</v>
      </c>
      <c r="G483">
        <v>65</v>
      </c>
      <c r="H483" s="2">
        <v>41591.262303240743</v>
      </c>
      <c r="I483" s="2">
        <v>43574.149756944447</v>
      </c>
      <c r="J483" t="s">
        <v>1425</v>
      </c>
    </row>
    <row r="484" spans="1:10" x14ac:dyDescent="0.15">
      <c r="A484">
        <v>52232784</v>
      </c>
      <c r="B484" s="3" t="str">
        <f>HYPERLINK("https://github.com/h2non/gentleman", "https://github.com/h2non/gentleman")</f>
        <v>https://github.com/h2non/gentleman</v>
      </c>
      <c r="D484">
        <v>640</v>
      </c>
      <c r="E484" t="s">
        <v>1426</v>
      </c>
      <c r="F484" t="s">
        <v>1427</v>
      </c>
      <c r="G484">
        <v>27</v>
      </c>
      <c r="H484" s="2">
        <v>42421.958611111113</v>
      </c>
      <c r="I484" s="2">
        <v>43580.233194444438</v>
      </c>
      <c r="J484" t="s">
        <v>1428</v>
      </c>
    </row>
    <row r="485" spans="1:10" x14ac:dyDescent="0.15">
      <c r="A485">
        <v>105691816</v>
      </c>
      <c r="B485" s="3" t="str">
        <f>HYPERLINK("https://github.com/checkr/flagr", "https://github.com/checkr/flagr")</f>
        <v>https://github.com/checkr/flagr</v>
      </c>
      <c r="D485">
        <v>638</v>
      </c>
      <c r="E485" t="s">
        <v>1429</v>
      </c>
      <c r="F485" t="s">
        <v>1430</v>
      </c>
      <c r="G485">
        <v>56</v>
      </c>
      <c r="H485" s="2">
        <v>43011.796898148154</v>
      </c>
      <c r="I485" s="2">
        <v>43580.487754629627</v>
      </c>
      <c r="J485" t="s">
        <v>1431</v>
      </c>
    </row>
    <row r="486" spans="1:10" x14ac:dyDescent="0.15">
      <c r="A486">
        <v>21014672</v>
      </c>
      <c r="B486" s="3" t="str">
        <f>HYPERLINK("https://github.com/Jeffail/leaps", "https://github.com/Jeffail/leaps")</f>
        <v>https://github.com/Jeffail/leaps</v>
      </c>
      <c r="D486">
        <v>638</v>
      </c>
      <c r="E486" t="s">
        <v>1432</v>
      </c>
      <c r="F486" t="s">
        <v>1433</v>
      </c>
      <c r="G486">
        <v>43</v>
      </c>
      <c r="H486" s="2">
        <v>41809.856307870366</v>
      </c>
      <c r="I486" s="2">
        <v>43580.029479166667</v>
      </c>
      <c r="J486" t="s">
        <v>1434</v>
      </c>
    </row>
    <row r="487" spans="1:10" x14ac:dyDescent="0.15">
      <c r="A487">
        <v>42682742</v>
      </c>
      <c r="B487" s="3" t="str">
        <f>HYPERLINK("https://github.com/deuill/go-php", "https://github.com/deuill/go-php")</f>
        <v>https://github.com/deuill/go-php</v>
      </c>
      <c r="D487">
        <v>633</v>
      </c>
      <c r="E487" t="s">
        <v>1435</v>
      </c>
      <c r="F487" t="s">
        <v>1436</v>
      </c>
      <c r="G487">
        <v>83</v>
      </c>
      <c r="H487" s="2">
        <v>42264.891574074078</v>
      </c>
      <c r="I487" s="2">
        <v>43580.433148148149</v>
      </c>
      <c r="J487" t="s">
        <v>1437</v>
      </c>
    </row>
    <row r="488" spans="1:10" x14ac:dyDescent="0.15">
      <c r="A488">
        <v>6339453</v>
      </c>
      <c r="B488" s="3" t="str">
        <f>HYPERLINK("https://github.com/ryanbressler/CloudForest", "https://github.com/ryanbressler/CloudForest")</f>
        <v>https://github.com/ryanbressler/CloudForest</v>
      </c>
      <c r="D488">
        <v>630</v>
      </c>
      <c r="E488" t="s">
        <v>1438</v>
      </c>
      <c r="F488" t="s">
        <v>1439</v>
      </c>
      <c r="G488">
        <v>79</v>
      </c>
      <c r="H488" s="2">
        <v>41204.734907407408</v>
      </c>
      <c r="I488" s="2">
        <v>43572.352337962962</v>
      </c>
      <c r="J488" t="s">
        <v>1440</v>
      </c>
    </row>
    <row r="489" spans="1:10" x14ac:dyDescent="0.15">
      <c r="A489">
        <v>112713415</v>
      </c>
      <c r="B489" s="3" t="str">
        <f>HYPERLINK("https://github.com/didi/gendry", "https://github.com/didi/gendry")</f>
        <v>https://github.com/didi/gendry</v>
      </c>
      <c r="D489">
        <v>626</v>
      </c>
      <c r="E489" t="s">
        <v>1441</v>
      </c>
      <c r="F489" t="s">
        <v>1442</v>
      </c>
      <c r="G489">
        <v>79</v>
      </c>
      <c r="H489" s="2">
        <v>43070.344247685192</v>
      </c>
      <c r="I489" s="2">
        <v>43580.428368055553</v>
      </c>
      <c r="J489" t="s">
        <v>1443</v>
      </c>
    </row>
    <row r="490" spans="1:10" x14ac:dyDescent="0.15">
      <c r="A490">
        <v>59965014</v>
      </c>
      <c r="B490" s="3" t="str">
        <f>HYPERLINK("https://github.com/h2non/baloo", "https://github.com/h2non/baloo")</f>
        <v>https://github.com/h2non/baloo</v>
      </c>
      <c r="D490">
        <v>623</v>
      </c>
      <c r="E490" t="s">
        <v>1444</v>
      </c>
      <c r="F490" t="s">
        <v>1445</v>
      </c>
      <c r="G490">
        <v>22</v>
      </c>
      <c r="H490" s="2">
        <v>42519.903449074067</v>
      </c>
      <c r="I490" s="2">
        <v>43578.313263888893</v>
      </c>
      <c r="J490" t="s">
        <v>1446</v>
      </c>
    </row>
    <row r="491" spans="1:10" x14ac:dyDescent="0.15">
      <c r="A491">
        <v>45324348</v>
      </c>
      <c r="B491" s="3" t="str">
        <f>HYPERLINK("https://github.com/alexflint/go-arg", "https://github.com/alexflint/go-arg")</f>
        <v>https://github.com/alexflint/go-arg</v>
      </c>
      <c r="D491">
        <v>620</v>
      </c>
      <c r="E491" t="s">
        <v>1447</v>
      </c>
      <c r="F491" t="s">
        <v>1448</v>
      </c>
      <c r="G491">
        <v>37</v>
      </c>
      <c r="H491" s="2">
        <v>42309.062569444453</v>
      </c>
      <c r="I491" s="2">
        <v>43578.876458333332</v>
      </c>
      <c r="J491" t="s">
        <v>1449</v>
      </c>
    </row>
    <row r="492" spans="1:10" x14ac:dyDescent="0.15">
      <c r="A492">
        <v>120672428</v>
      </c>
      <c r="B492" s="3" t="str">
        <f>HYPERLINK("https://github.com/gobuffalo/pop", "https://github.com/gobuffalo/pop")</f>
        <v>https://github.com/gobuffalo/pop</v>
      </c>
      <c r="D492">
        <v>618</v>
      </c>
      <c r="E492" t="s">
        <v>1450</v>
      </c>
      <c r="F492" t="s">
        <v>1451</v>
      </c>
      <c r="G492">
        <v>150</v>
      </c>
      <c r="H492" s="2">
        <v>43138.884560185194</v>
      </c>
      <c r="I492" s="2">
        <v>43576.664930555547</v>
      </c>
      <c r="J492" t="s">
        <v>1452</v>
      </c>
    </row>
    <row r="493" spans="1:10" x14ac:dyDescent="0.15">
      <c r="A493">
        <v>48696240</v>
      </c>
      <c r="B493" s="3" t="str">
        <f>HYPERLINK("https://github.com/jolestar/go-commons-pool", "https://github.com/jolestar/go-commons-pool")</f>
        <v>https://github.com/jolestar/go-commons-pool</v>
      </c>
      <c r="D493">
        <v>617</v>
      </c>
      <c r="E493" t="s">
        <v>1453</v>
      </c>
      <c r="F493" t="s">
        <v>1454</v>
      </c>
      <c r="G493">
        <v>89</v>
      </c>
      <c r="H493" s="2">
        <v>42366.601655092592</v>
      </c>
      <c r="I493" s="2">
        <v>43580.403182870366</v>
      </c>
      <c r="J493" t="s">
        <v>1455</v>
      </c>
    </row>
    <row r="494" spans="1:10" x14ac:dyDescent="0.15">
      <c r="A494">
        <v>2693333</v>
      </c>
      <c r="B494" s="3" t="str">
        <f>HYPERLINK("https://github.com/mjibson/go-dsp", "https://github.com/mjibson/go-dsp")</f>
        <v>https://github.com/mjibson/go-dsp</v>
      </c>
      <c r="D494">
        <v>616</v>
      </c>
      <c r="E494" t="s">
        <v>1456</v>
      </c>
      <c r="F494" t="s">
        <v>1457</v>
      </c>
      <c r="G494">
        <v>56</v>
      </c>
      <c r="H494" s="2">
        <v>40849.269918981481</v>
      </c>
      <c r="I494" s="2">
        <v>43580.433935185189</v>
      </c>
      <c r="J494" t="s">
        <v>1458</v>
      </c>
    </row>
    <row r="495" spans="1:10" x14ac:dyDescent="0.15">
      <c r="A495">
        <v>40844023</v>
      </c>
      <c r="B495" s="3" t="str">
        <f>HYPERLINK("https://github.com/gsamokovarov/jump", "https://github.com/gsamokovarov/jump")</f>
        <v>https://github.com/gsamokovarov/jump</v>
      </c>
      <c r="D495">
        <v>616</v>
      </c>
      <c r="E495" t="s">
        <v>1459</v>
      </c>
      <c r="F495" t="s">
        <v>1460</v>
      </c>
      <c r="G495">
        <v>27</v>
      </c>
      <c r="H495" s="2">
        <v>42232.921724537038</v>
      </c>
      <c r="I495" s="2">
        <v>43578.055300925917</v>
      </c>
      <c r="J495" t="s">
        <v>1461</v>
      </c>
    </row>
    <row r="496" spans="1:10" x14ac:dyDescent="0.15">
      <c r="A496">
        <v>2833211</v>
      </c>
      <c r="B496" s="3" t="str">
        <f>HYPERLINK("https://github.com/jbrukh/bayesian", "https://github.com/jbrukh/bayesian")</f>
        <v>https://github.com/jbrukh/bayesian</v>
      </c>
      <c r="D496">
        <v>614</v>
      </c>
      <c r="E496" t="s">
        <v>1462</v>
      </c>
      <c r="F496" t="s">
        <v>1463</v>
      </c>
      <c r="G496">
        <v>105</v>
      </c>
      <c r="H496" s="2">
        <v>40870.178472222222</v>
      </c>
      <c r="I496" s="2">
        <v>43577.512361111112</v>
      </c>
      <c r="J496" t="s">
        <v>1464</v>
      </c>
    </row>
    <row r="497" spans="1:10" x14ac:dyDescent="0.15">
      <c r="A497">
        <v>1780633</v>
      </c>
      <c r="B497" s="3" t="str">
        <f>HYPERLINK("https://github.com/willf/bloom", "https://github.com/willf/bloom")</f>
        <v>https://github.com/willf/bloom</v>
      </c>
      <c r="D497">
        <v>609</v>
      </c>
      <c r="E497" t="s">
        <v>1465</v>
      </c>
      <c r="F497" t="s">
        <v>1466</v>
      </c>
      <c r="G497">
        <v>94</v>
      </c>
      <c r="H497" s="2">
        <v>40684.596307870372</v>
      </c>
      <c r="I497" s="2">
        <v>43580.37195601852</v>
      </c>
      <c r="J497" t="s">
        <v>1467</v>
      </c>
    </row>
    <row r="498" spans="1:10" x14ac:dyDescent="0.15">
      <c r="A498">
        <v>31151120</v>
      </c>
      <c r="B498" s="3" t="str">
        <f>HYPERLINK("https://github.com/go-gl/gl", "https://github.com/go-gl/gl")</f>
        <v>https://github.com/go-gl/gl</v>
      </c>
      <c r="D498">
        <v>609</v>
      </c>
      <c r="E498" t="s">
        <v>1468</v>
      </c>
      <c r="F498" t="s">
        <v>1469</v>
      </c>
      <c r="G498">
        <v>43</v>
      </c>
      <c r="H498" s="2">
        <v>42057.14565972222</v>
      </c>
      <c r="I498" s="2">
        <v>43576.8596875</v>
      </c>
      <c r="J498" t="s">
        <v>1470</v>
      </c>
    </row>
    <row r="499" spans="1:10" x14ac:dyDescent="0.15">
      <c r="A499">
        <v>28198414</v>
      </c>
      <c r="B499" s="3" t="str">
        <f>HYPERLINK("https://github.com/jawher/mow.cli", "https://github.com/jawher/mow.cli")</f>
        <v>https://github.com/jawher/mow.cli</v>
      </c>
      <c r="D499">
        <v>605</v>
      </c>
      <c r="E499" t="s">
        <v>1471</v>
      </c>
      <c r="F499" t="s">
        <v>1472</v>
      </c>
      <c r="G499">
        <v>45</v>
      </c>
      <c r="H499" s="2">
        <v>41991.815509259257</v>
      </c>
      <c r="I499" s="2">
        <v>43578.105370370373</v>
      </c>
      <c r="J499" t="s">
        <v>1473</v>
      </c>
    </row>
    <row r="500" spans="1:10" x14ac:dyDescent="0.15">
      <c r="A500">
        <v>86608646</v>
      </c>
      <c r="B500" s="3" t="str">
        <f>HYPERLINK("https://github.com/intel-go/nff-go", "https://github.com/intel-go/nff-go")</f>
        <v>https://github.com/intel-go/nff-go</v>
      </c>
      <c r="D500">
        <v>604</v>
      </c>
      <c r="E500" t="s">
        <v>1474</v>
      </c>
      <c r="F500" t="s">
        <v>1475</v>
      </c>
      <c r="G500">
        <v>68</v>
      </c>
      <c r="H500" s="2">
        <v>42823.713530092587</v>
      </c>
      <c r="I500" s="2">
        <v>43579.651608796303</v>
      </c>
      <c r="J500" t="s">
        <v>1476</v>
      </c>
    </row>
    <row r="501" spans="1:10" x14ac:dyDescent="0.15">
      <c r="A501">
        <v>97327962</v>
      </c>
      <c r="B501" s="3" t="str">
        <f>HYPERLINK("https://github.com/oakmound/oak", "https://github.com/oakmound/oak")</f>
        <v>https://github.com/oakmound/oak</v>
      </c>
      <c r="D501">
        <v>599</v>
      </c>
      <c r="E501" t="s">
        <v>1477</v>
      </c>
      <c r="F501" t="s">
        <v>1478</v>
      </c>
      <c r="G501">
        <v>29</v>
      </c>
      <c r="H501" s="2">
        <v>42931.683645833327</v>
      </c>
      <c r="I501" s="2">
        <v>43580.382002314807</v>
      </c>
      <c r="J501" t="s">
        <v>1479</v>
      </c>
    </row>
    <row r="502" spans="1:10" x14ac:dyDescent="0.15">
      <c r="A502">
        <v>12939346</v>
      </c>
      <c r="B502" s="3" t="str">
        <f>HYPERLINK("https://github.com/franela/goblin", "https://github.com/franela/goblin")</f>
        <v>https://github.com/franela/goblin</v>
      </c>
      <c r="D502">
        <v>599</v>
      </c>
      <c r="E502" t="s">
        <v>1480</v>
      </c>
      <c r="F502" t="s">
        <v>1481</v>
      </c>
      <c r="G502">
        <v>50</v>
      </c>
      <c r="H502" s="2">
        <v>41536.107222222221</v>
      </c>
      <c r="I502" s="2">
        <v>43570.454074074078</v>
      </c>
      <c r="J502" t="s">
        <v>1482</v>
      </c>
    </row>
    <row r="503" spans="1:10" x14ac:dyDescent="0.15">
      <c r="A503">
        <v>109795136</v>
      </c>
      <c r="B503" s="3" t="str">
        <f>HYPERLINK("https://github.com/z7zmey/php-parser", "https://github.com/z7zmey/php-parser")</f>
        <v>https://github.com/z7zmey/php-parser</v>
      </c>
      <c r="D503">
        <v>597</v>
      </c>
      <c r="E503" t="s">
        <v>1483</v>
      </c>
      <c r="F503" t="s">
        <v>1484</v>
      </c>
      <c r="G503">
        <v>28</v>
      </c>
      <c r="H503" s="2">
        <v>43046.264421296299</v>
      </c>
      <c r="I503" s="2">
        <v>43577.3594212963</v>
      </c>
      <c r="J503" t="s">
        <v>1485</v>
      </c>
    </row>
    <row r="504" spans="1:10" x14ac:dyDescent="0.15">
      <c r="A504">
        <v>103425053</v>
      </c>
      <c r="B504" s="3" t="str">
        <f>HYPERLINK("https://github.com/thedevsaddam/govalidator", "https://github.com/thedevsaddam/govalidator")</f>
        <v>https://github.com/thedevsaddam/govalidator</v>
      </c>
      <c r="D504">
        <v>595</v>
      </c>
      <c r="E504" t="s">
        <v>422</v>
      </c>
      <c r="F504" t="s">
        <v>1486</v>
      </c>
      <c r="G504">
        <v>52</v>
      </c>
      <c r="H504" s="2">
        <v>42991.696064814823</v>
      </c>
      <c r="I504" s="2">
        <v>43580.261967592603</v>
      </c>
      <c r="J504" t="s">
        <v>1487</v>
      </c>
    </row>
    <row r="505" spans="1:10" x14ac:dyDescent="0.15">
      <c r="A505">
        <v>50751224</v>
      </c>
      <c r="B505" s="3" t="str">
        <f>HYPERLINK("https://github.com/MaxHalford/eaopt", "https://github.com/MaxHalford/eaopt")</f>
        <v>https://github.com/MaxHalford/eaopt</v>
      </c>
      <c r="D505">
        <v>594</v>
      </c>
      <c r="E505" t="s">
        <v>1488</v>
      </c>
      <c r="F505" t="s">
        <v>1489</v>
      </c>
      <c r="G505">
        <v>51</v>
      </c>
      <c r="H505" s="2">
        <v>42400.003379629627</v>
      </c>
      <c r="I505" s="2">
        <v>43578.92083333333</v>
      </c>
      <c r="J505" t="s">
        <v>1490</v>
      </c>
    </row>
    <row r="506" spans="1:10" x14ac:dyDescent="0.15">
      <c r="A506">
        <v>62328342</v>
      </c>
      <c r="B506" s="3" t="str">
        <f>HYPERLINK("https://github.com/immortal/immortal", "https://github.com/immortal/immortal")</f>
        <v>https://github.com/immortal/immortal</v>
      </c>
      <c r="D506">
        <v>593</v>
      </c>
      <c r="E506" t="s">
        <v>1491</v>
      </c>
      <c r="F506" t="s">
        <v>1492</v>
      </c>
      <c r="G506">
        <v>30</v>
      </c>
      <c r="H506" s="2">
        <v>42551.710034722222</v>
      </c>
      <c r="I506" s="2">
        <v>43580.404872685183</v>
      </c>
      <c r="J506" t="s">
        <v>1493</v>
      </c>
    </row>
    <row r="507" spans="1:10" x14ac:dyDescent="0.15">
      <c r="A507">
        <v>21708754</v>
      </c>
      <c r="B507" s="3" t="str">
        <f>HYPERLINK("https://github.com/RoaringBitmap/roaring", "https://github.com/RoaringBitmap/roaring")</f>
        <v>https://github.com/RoaringBitmap/roaring</v>
      </c>
      <c r="D507">
        <v>591</v>
      </c>
      <c r="E507" t="s">
        <v>1494</v>
      </c>
      <c r="F507" t="s">
        <v>1495</v>
      </c>
      <c r="G507">
        <v>61</v>
      </c>
      <c r="H507" s="2">
        <v>41830.843449074076</v>
      </c>
      <c r="I507" s="2">
        <v>43578.199374999997</v>
      </c>
      <c r="J507" t="s">
        <v>1496</v>
      </c>
    </row>
    <row r="508" spans="1:10" x14ac:dyDescent="0.15">
      <c r="A508">
        <v>17234808</v>
      </c>
      <c r="B508" s="3" t="str">
        <f>HYPERLINK("https://github.com/gyuho/goraph", "https://github.com/gyuho/goraph")</f>
        <v>https://github.com/gyuho/goraph</v>
      </c>
      <c r="D508">
        <v>585</v>
      </c>
      <c r="E508" t="s">
        <v>1497</v>
      </c>
      <c r="F508" t="s">
        <v>1498</v>
      </c>
      <c r="G508">
        <v>72</v>
      </c>
      <c r="H508" s="2">
        <v>41697.136053240742</v>
      </c>
      <c r="I508" s="2">
        <v>43578.302951388891</v>
      </c>
      <c r="J508" t="s">
        <v>1499</v>
      </c>
    </row>
    <row r="509" spans="1:10" x14ac:dyDescent="0.15">
      <c r="A509">
        <v>60399899</v>
      </c>
      <c r="B509" s="3" t="str">
        <f>HYPERLINK("https://github.com/roylee0704/gron", "https://github.com/roylee0704/gron")</f>
        <v>https://github.com/roylee0704/gron</v>
      </c>
      <c r="D509">
        <v>581</v>
      </c>
      <c r="E509" t="s">
        <v>1500</v>
      </c>
      <c r="F509" t="s">
        <v>1501</v>
      </c>
      <c r="G509">
        <v>28</v>
      </c>
      <c r="H509" s="2">
        <v>42525.334976851853</v>
      </c>
      <c r="I509" s="2">
        <v>43580.110983796287</v>
      </c>
      <c r="J509" t="s">
        <v>1502</v>
      </c>
    </row>
    <row r="510" spans="1:10" x14ac:dyDescent="0.15">
      <c r="A510">
        <v>481767</v>
      </c>
      <c r="B510" s="3" t="str">
        <f>HYPERLINK("https://github.com/hoisie/redis", "https://github.com/hoisie/redis")</f>
        <v>https://github.com/hoisie/redis</v>
      </c>
      <c r="D510">
        <v>577</v>
      </c>
      <c r="E510" t="s">
        <v>240</v>
      </c>
      <c r="F510" t="s">
        <v>1503</v>
      </c>
      <c r="G510">
        <v>218</v>
      </c>
      <c r="H510" s="2">
        <v>40199.248865740738</v>
      </c>
      <c r="I510" s="2">
        <v>43536.298576388886</v>
      </c>
      <c r="J510" t="s">
        <v>1504</v>
      </c>
    </row>
    <row r="511" spans="1:10" x14ac:dyDescent="0.15">
      <c r="A511">
        <v>90418143</v>
      </c>
      <c r="B511" s="3" t="str">
        <f>HYPERLINK("https://github.com/posener/complete", "https://github.com/posener/complete")</f>
        <v>https://github.com/posener/complete</v>
      </c>
      <c r="D511">
        <v>572</v>
      </c>
      <c r="E511" t="s">
        <v>1505</v>
      </c>
      <c r="F511" t="s">
        <v>1506</v>
      </c>
      <c r="G511">
        <v>34</v>
      </c>
      <c r="H511" s="2">
        <v>42860.898692129631</v>
      </c>
      <c r="I511" s="2">
        <v>43578.332962962973</v>
      </c>
      <c r="J511" t="s">
        <v>1507</v>
      </c>
    </row>
    <row r="512" spans="1:10" x14ac:dyDescent="0.15">
      <c r="A512">
        <v>85599716</v>
      </c>
      <c r="B512" s="3" t="str">
        <f>HYPERLINK("https://github.com/Rhymond/go-money", "https://github.com/Rhymond/go-money")</f>
        <v>https://github.com/Rhymond/go-money</v>
      </c>
      <c r="D512">
        <v>571</v>
      </c>
      <c r="E512" t="s">
        <v>1508</v>
      </c>
      <c r="F512" t="s">
        <v>1509</v>
      </c>
      <c r="G512">
        <v>36</v>
      </c>
      <c r="H512" s="2">
        <v>42814.683263888888</v>
      </c>
      <c r="I512" s="2">
        <v>43580.49082175926</v>
      </c>
      <c r="J512" t="s">
        <v>1510</v>
      </c>
    </row>
    <row r="513" spans="1:10" x14ac:dyDescent="0.15">
      <c r="A513">
        <v>28851913</v>
      </c>
      <c r="B513" s="3" t="str">
        <f>HYPERLINK("https://github.com/huandu/xstrings", "https://github.com/huandu/xstrings")</f>
        <v>https://github.com/huandu/xstrings</v>
      </c>
      <c r="D513">
        <v>571</v>
      </c>
      <c r="E513" t="s">
        <v>1511</v>
      </c>
      <c r="F513" t="s">
        <v>1512</v>
      </c>
      <c r="G513">
        <v>38</v>
      </c>
      <c r="H513" s="2">
        <v>42010.309328703697</v>
      </c>
      <c r="I513" s="2">
        <v>43573.649155092593</v>
      </c>
      <c r="J513" t="s">
        <v>1513</v>
      </c>
    </row>
    <row r="514" spans="1:10" x14ac:dyDescent="0.15">
      <c r="A514">
        <v>628618</v>
      </c>
      <c r="B514" s="3" t="str">
        <f>HYPERLINK("https://github.com/pointlander/peg", "https://github.com/pointlander/peg")</f>
        <v>https://github.com/pointlander/peg</v>
      </c>
      <c r="D514">
        <v>569</v>
      </c>
      <c r="E514" t="s">
        <v>1514</v>
      </c>
      <c r="F514" t="s">
        <v>1515</v>
      </c>
      <c r="G514">
        <v>74</v>
      </c>
      <c r="H514" s="2">
        <v>40293.889421296299</v>
      </c>
      <c r="I514" s="2">
        <v>43580.346388888887</v>
      </c>
      <c r="J514" t="s">
        <v>1516</v>
      </c>
    </row>
    <row r="515" spans="1:10" x14ac:dyDescent="0.15">
      <c r="A515">
        <v>72056048</v>
      </c>
      <c r="B515" s="3" t="str">
        <f>HYPERLINK("https://github.com/uber-go/fx", "https://github.com/uber-go/fx")</f>
        <v>https://github.com/uber-go/fx</v>
      </c>
      <c r="D515">
        <v>568</v>
      </c>
      <c r="E515" t="s">
        <v>1517</v>
      </c>
      <c r="F515" t="s">
        <v>1518</v>
      </c>
      <c r="G515">
        <v>62</v>
      </c>
      <c r="H515" s="2">
        <v>42670.017361111109</v>
      </c>
      <c r="I515" s="2">
        <v>43578.379340277781</v>
      </c>
      <c r="J515" t="s">
        <v>1519</v>
      </c>
    </row>
    <row r="516" spans="1:10" x14ac:dyDescent="0.15">
      <c r="A516">
        <v>55167435</v>
      </c>
      <c r="B516" s="3" t="str">
        <f>HYPERLINK("https://github.com/CloudyKit/jet", "https://github.com/CloudyKit/jet")</f>
        <v>https://github.com/CloudyKit/jet</v>
      </c>
      <c r="D516">
        <v>562</v>
      </c>
      <c r="E516" t="s">
        <v>1520</v>
      </c>
      <c r="F516" t="s">
        <v>1521</v>
      </c>
      <c r="G516">
        <v>46</v>
      </c>
      <c r="H516" s="2">
        <v>42460.703888888893</v>
      </c>
      <c r="I516" s="2">
        <v>43580.500289351847</v>
      </c>
      <c r="J516" t="s">
        <v>1522</v>
      </c>
    </row>
    <row r="517" spans="1:10" x14ac:dyDescent="0.15">
      <c r="A517">
        <v>30951279</v>
      </c>
      <c r="B517" s="3" t="str">
        <f>HYPERLINK("https://github.com/mgutz/dat", "https://github.com/mgutz/dat")</f>
        <v>https://github.com/mgutz/dat</v>
      </c>
      <c r="D517">
        <v>560</v>
      </c>
      <c r="E517" t="s">
        <v>1523</v>
      </c>
      <c r="F517" t="s">
        <v>1524</v>
      </c>
      <c r="G517">
        <v>53</v>
      </c>
      <c r="H517" s="2">
        <v>42053.165636574071</v>
      </c>
      <c r="I517" s="2">
        <v>43579.837083333332</v>
      </c>
      <c r="J517" t="s">
        <v>1525</v>
      </c>
    </row>
    <row r="518" spans="1:10" x14ac:dyDescent="0.15">
      <c r="A518">
        <v>8393979</v>
      </c>
      <c r="B518" s="3" t="str">
        <f>HYPERLINK("https://github.com/pelletier/go-toml", "https://github.com/pelletier/go-toml")</f>
        <v>https://github.com/pelletier/go-toml</v>
      </c>
      <c r="D518">
        <v>558</v>
      </c>
      <c r="E518" t="s">
        <v>1526</v>
      </c>
      <c r="F518" t="s">
        <v>1527</v>
      </c>
      <c r="G518">
        <v>93</v>
      </c>
      <c r="H518" s="2">
        <v>41329.740173611113</v>
      </c>
      <c r="I518" s="2">
        <v>43580.260914351849</v>
      </c>
      <c r="J518" t="s">
        <v>1528</v>
      </c>
    </row>
    <row r="519" spans="1:10" x14ac:dyDescent="0.15">
      <c r="A519">
        <v>83084202</v>
      </c>
      <c r="B519" s="3" t="str">
        <f>HYPERLINK("https://github.com/VerizonDigital/vflow", "https://github.com/VerizonDigital/vflow")</f>
        <v>https://github.com/VerizonDigital/vflow</v>
      </c>
      <c r="D519">
        <v>557</v>
      </c>
      <c r="E519" t="s">
        <v>1529</v>
      </c>
      <c r="F519" t="s">
        <v>1530</v>
      </c>
      <c r="G519">
        <v>118</v>
      </c>
      <c r="H519" s="2">
        <v>42790.894687499997</v>
      </c>
      <c r="I519" s="2">
        <v>43576.480486111112</v>
      </c>
      <c r="J519" t="s">
        <v>1531</v>
      </c>
    </row>
    <row r="520" spans="1:10" x14ac:dyDescent="0.15">
      <c r="A520">
        <v>1959999</v>
      </c>
      <c r="B520" s="3" t="str">
        <f>HYPERLINK("https://github.com/vdobler/chart", "https://github.com/vdobler/chart")</f>
        <v>https://github.com/vdobler/chart</v>
      </c>
      <c r="D520">
        <v>556</v>
      </c>
      <c r="E520" t="s">
        <v>1532</v>
      </c>
      <c r="F520" t="s">
        <v>1533</v>
      </c>
      <c r="G520">
        <v>87</v>
      </c>
      <c r="H520" s="2">
        <v>40721.513680555552</v>
      </c>
      <c r="I520" s="2">
        <v>43578.343888888892</v>
      </c>
      <c r="J520" t="s">
        <v>1534</v>
      </c>
    </row>
    <row r="521" spans="1:10" x14ac:dyDescent="0.15">
      <c r="A521">
        <v>41211358</v>
      </c>
      <c r="B521" s="3" t="str">
        <f>HYPERLINK("https://github.com/shalakhin/gophericons", "https://github.com/shalakhin/gophericons")</f>
        <v>https://github.com/shalakhin/gophericons</v>
      </c>
      <c r="D521">
        <v>556</v>
      </c>
      <c r="E521" t="s">
        <v>1535</v>
      </c>
      <c r="F521" t="s">
        <v>1536</v>
      </c>
      <c r="G521">
        <v>22</v>
      </c>
      <c r="H521" s="2">
        <v>42238.612199074072</v>
      </c>
      <c r="I521" s="2">
        <v>43572.324837962973</v>
      </c>
      <c r="J521" t="s">
        <v>1537</v>
      </c>
    </row>
    <row r="522" spans="1:10" x14ac:dyDescent="0.15">
      <c r="A522">
        <v>43774955</v>
      </c>
      <c r="B522" s="3" t="str">
        <f>HYPERLINK("https://github.com/markbates/pop", "https://github.com/markbates/pop")</f>
        <v>https://github.com/markbates/pop</v>
      </c>
      <c r="D522">
        <v>554</v>
      </c>
      <c r="E522" t="s">
        <v>1450</v>
      </c>
      <c r="F522" t="s">
        <v>1538</v>
      </c>
      <c r="G522">
        <v>1</v>
      </c>
      <c r="H522" s="2">
        <v>42283.831736111111</v>
      </c>
      <c r="I522" s="2">
        <v>43571.927685185183</v>
      </c>
      <c r="J522" t="s">
        <v>1539</v>
      </c>
    </row>
    <row r="523" spans="1:10" x14ac:dyDescent="0.15">
      <c r="A523">
        <v>5428536</v>
      </c>
      <c r="B523" s="3" t="str">
        <f>HYPERLINK("https://github.com/peterh/liner", "https://github.com/peterh/liner")</f>
        <v>https://github.com/peterh/liner</v>
      </c>
      <c r="D523">
        <v>554</v>
      </c>
      <c r="E523" t="s">
        <v>1540</v>
      </c>
      <c r="F523" t="s">
        <v>1541</v>
      </c>
      <c r="G523">
        <v>73</v>
      </c>
      <c r="H523" s="2">
        <v>41136.69091435185</v>
      </c>
      <c r="I523" s="2">
        <v>43579.292743055557</v>
      </c>
      <c r="J523" t="s">
        <v>1542</v>
      </c>
    </row>
    <row r="524" spans="1:10" x14ac:dyDescent="0.15">
      <c r="A524">
        <v>163927392</v>
      </c>
      <c r="B524" s="3" t="str">
        <f>HYPERLINK("https://github.com/miguelmota/golang-for-nodejs-developers", "https://github.com/miguelmota/golang-for-nodejs-developers")</f>
        <v>https://github.com/miguelmota/golang-for-nodejs-developers</v>
      </c>
      <c r="D524">
        <v>549</v>
      </c>
      <c r="E524" t="s">
        <v>1543</v>
      </c>
      <c r="F524" t="s">
        <v>1544</v>
      </c>
      <c r="G524">
        <v>32</v>
      </c>
      <c r="H524" s="2">
        <v>43468.229675925933</v>
      </c>
      <c r="I524" s="2">
        <v>43579.973391203697</v>
      </c>
      <c r="J524" t="s">
        <v>1545</v>
      </c>
    </row>
    <row r="525" spans="1:10" x14ac:dyDescent="0.15">
      <c r="A525">
        <v>9495505</v>
      </c>
      <c r="B525" s="3" t="str">
        <f>HYPERLINK("https://github.com/mattn/goveralls", "https://github.com/mattn/goveralls")</f>
        <v>https://github.com/mattn/goveralls</v>
      </c>
      <c r="D525">
        <v>547</v>
      </c>
      <c r="E525" t="s">
        <v>1546</v>
      </c>
      <c r="G525">
        <v>96</v>
      </c>
      <c r="H525" s="2">
        <v>41381.457407407397</v>
      </c>
      <c r="I525" s="2">
        <v>43579.16028935185</v>
      </c>
      <c r="J525" t="s">
        <v>1547</v>
      </c>
    </row>
    <row r="526" spans="1:10" x14ac:dyDescent="0.15">
      <c r="A526">
        <v>36959143</v>
      </c>
      <c r="B526" s="3" t="str">
        <f>HYPERLINK("https://github.com/uber/ringpop-go", "https://github.com/uber/ringpop-go")</f>
        <v>https://github.com/uber/ringpop-go</v>
      </c>
      <c r="D526">
        <v>541</v>
      </c>
      <c r="E526" t="s">
        <v>1548</v>
      </c>
      <c r="F526" t="s">
        <v>1549</v>
      </c>
      <c r="G526">
        <v>42</v>
      </c>
      <c r="H526" s="2">
        <v>42160.950613425928</v>
      </c>
      <c r="I526" s="2">
        <v>43580.487037037034</v>
      </c>
      <c r="J526" t="s">
        <v>1550</v>
      </c>
    </row>
    <row r="527" spans="1:10" x14ac:dyDescent="0.15">
      <c r="A527">
        <v>52696227</v>
      </c>
      <c r="B527" s="3" t="str">
        <f>HYPERLINK("https://github.com/FlashBoys/go-finance", "https://github.com/FlashBoys/go-finance")</f>
        <v>https://github.com/FlashBoys/go-finance</v>
      </c>
      <c r="D527">
        <v>539</v>
      </c>
      <c r="E527" t="s">
        <v>1551</v>
      </c>
      <c r="F527" t="s">
        <v>1552</v>
      </c>
      <c r="G527">
        <v>48</v>
      </c>
      <c r="H527" s="2">
        <v>42428.026226851849</v>
      </c>
      <c r="I527" s="2">
        <v>43576.522106481483</v>
      </c>
      <c r="J527" t="s">
        <v>1553</v>
      </c>
    </row>
    <row r="528" spans="1:10" x14ac:dyDescent="0.15">
      <c r="A528">
        <v>44652241</v>
      </c>
      <c r="B528" s="3" t="str">
        <f>HYPERLINK("https://github.com/bamzi/jobrunner", "https://github.com/bamzi/jobrunner")</f>
        <v>https://github.com/bamzi/jobrunner</v>
      </c>
      <c r="D528">
        <v>537</v>
      </c>
      <c r="E528" t="s">
        <v>1554</v>
      </c>
      <c r="F528" t="s">
        <v>1555</v>
      </c>
      <c r="G528">
        <v>37</v>
      </c>
      <c r="H528" s="2">
        <v>42298.178483796299</v>
      </c>
      <c r="I528" s="2">
        <v>43580.11105324074</v>
      </c>
      <c r="J528" t="s">
        <v>1556</v>
      </c>
    </row>
    <row r="529" spans="1:10" x14ac:dyDescent="0.15">
      <c r="A529">
        <v>113986555</v>
      </c>
      <c r="B529" s="3" t="str">
        <f>HYPERLINK("https://github.com/mojocn/base64Captcha", "https://github.com/mojocn/base64Captcha")</f>
        <v>https://github.com/mojocn/base64Captcha</v>
      </c>
      <c r="D529">
        <v>535</v>
      </c>
      <c r="E529" t="s">
        <v>1557</v>
      </c>
      <c r="F529" t="s">
        <v>1558</v>
      </c>
      <c r="G529">
        <v>107</v>
      </c>
      <c r="H529" s="2">
        <v>43081.511886574073</v>
      </c>
      <c r="I529" s="2">
        <v>43580.472569444442</v>
      </c>
      <c r="J529" t="s">
        <v>1559</v>
      </c>
    </row>
    <row r="530" spans="1:10" x14ac:dyDescent="0.15">
      <c r="A530">
        <v>73023534</v>
      </c>
      <c r="B530" s="3" t="str">
        <f>HYPERLINK("https://github.com/logrusorgru/aurora", "https://github.com/logrusorgru/aurora")</f>
        <v>https://github.com/logrusorgru/aurora</v>
      </c>
      <c r="D530">
        <v>534</v>
      </c>
      <c r="E530" t="s">
        <v>1560</v>
      </c>
      <c r="F530" t="s">
        <v>1561</v>
      </c>
      <c r="G530">
        <v>20</v>
      </c>
      <c r="H530" s="2">
        <v>42680.942499999997</v>
      </c>
      <c r="I530" s="2">
        <v>43579.481932870367</v>
      </c>
      <c r="J530" t="s">
        <v>1562</v>
      </c>
    </row>
    <row r="531" spans="1:10" x14ac:dyDescent="0.15">
      <c r="A531">
        <v>85959870</v>
      </c>
      <c r="B531" s="3" t="str">
        <f>HYPERLINK("https://github.com/mingrammer/commonregex", "https://github.com/mingrammer/commonregex")</f>
        <v>https://github.com/mingrammer/commonregex</v>
      </c>
      <c r="D531">
        <v>533</v>
      </c>
      <c r="E531" t="s">
        <v>1563</v>
      </c>
      <c r="F531" t="s">
        <v>1564</v>
      </c>
      <c r="G531">
        <v>33</v>
      </c>
      <c r="H531" s="2">
        <v>42817.606458333343</v>
      </c>
      <c r="I531" s="2">
        <v>43572.875590277778</v>
      </c>
      <c r="J531" t="s">
        <v>1565</v>
      </c>
    </row>
    <row r="532" spans="1:10" x14ac:dyDescent="0.15">
      <c r="A532">
        <v>26922547</v>
      </c>
      <c r="B532" s="3" t="str">
        <f>HYPERLINK("https://github.com/valyala/gorpc", "https://github.com/valyala/gorpc")</f>
        <v>https://github.com/valyala/gorpc</v>
      </c>
      <c r="D532">
        <v>532</v>
      </c>
      <c r="E532" t="s">
        <v>1566</v>
      </c>
      <c r="F532" t="s">
        <v>1567</v>
      </c>
      <c r="G532">
        <v>68</v>
      </c>
      <c r="H532" s="2">
        <v>41963.710150462961</v>
      </c>
      <c r="I532" s="2">
        <v>43574.30909722222</v>
      </c>
      <c r="J532" t="s">
        <v>1568</v>
      </c>
    </row>
    <row r="533" spans="1:10" x14ac:dyDescent="0.15">
      <c r="A533">
        <v>31727930</v>
      </c>
      <c r="B533" s="3" t="str">
        <f>HYPERLINK("https://github.com/thoas/stats", "https://github.com/thoas/stats")</f>
        <v>https://github.com/thoas/stats</v>
      </c>
      <c r="D533">
        <v>530</v>
      </c>
      <c r="E533" t="s">
        <v>928</v>
      </c>
      <c r="F533" t="s">
        <v>1569</v>
      </c>
      <c r="G533">
        <v>44</v>
      </c>
      <c r="H533" s="2">
        <v>42068.751967592587</v>
      </c>
      <c r="I533" s="2">
        <v>43579.420590277783</v>
      </c>
      <c r="J533" t="s">
        <v>1570</v>
      </c>
    </row>
    <row r="534" spans="1:10" x14ac:dyDescent="0.15">
      <c r="A534">
        <v>7972241</v>
      </c>
      <c r="B534" s="3" t="str">
        <f>HYPERLINK("https://github.com/coocood/qbs", "https://github.com/coocood/qbs")</f>
        <v>https://github.com/coocood/qbs</v>
      </c>
      <c r="D534">
        <v>530</v>
      </c>
      <c r="E534" t="s">
        <v>1571</v>
      </c>
      <c r="F534" t="s">
        <v>1572</v>
      </c>
      <c r="G534">
        <v>103</v>
      </c>
      <c r="H534" s="2">
        <v>41307.236793981479</v>
      </c>
      <c r="I534" s="2">
        <v>43573.128981481481</v>
      </c>
      <c r="J534" t="s">
        <v>1573</v>
      </c>
    </row>
    <row r="535" spans="1:10" x14ac:dyDescent="0.15">
      <c r="A535">
        <v>35818222</v>
      </c>
      <c r="B535" s="3" t="str">
        <f>HYPERLINK("https://github.com/shurcooL/vfsgen", "https://github.com/shurcooL/vfsgen")</f>
        <v>https://github.com/shurcooL/vfsgen</v>
      </c>
      <c r="D535">
        <v>527</v>
      </c>
      <c r="E535" t="s">
        <v>1574</v>
      </c>
      <c r="F535" t="s">
        <v>1575</v>
      </c>
      <c r="G535">
        <v>48</v>
      </c>
      <c r="H535" s="2">
        <v>42142.543773148151</v>
      </c>
      <c r="I535" s="2">
        <v>43577.142835648148</v>
      </c>
      <c r="J535" t="s">
        <v>1576</v>
      </c>
    </row>
    <row r="536" spans="1:10" x14ac:dyDescent="0.15">
      <c r="A536">
        <v>106516564</v>
      </c>
      <c r="B536" s="3" t="str">
        <f>HYPERLINK("https://github.com/TimothyYe/skm", "https://github.com/TimothyYe/skm")</f>
        <v>https://github.com/TimothyYe/skm</v>
      </c>
      <c r="D536">
        <v>527</v>
      </c>
      <c r="E536" t="s">
        <v>1577</v>
      </c>
      <c r="F536" t="s">
        <v>1578</v>
      </c>
      <c r="G536">
        <v>29</v>
      </c>
      <c r="H536" s="2">
        <v>43019.286747685182</v>
      </c>
      <c r="I536" s="2">
        <v>43579.348113425927</v>
      </c>
      <c r="J536" t="s">
        <v>1579</v>
      </c>
    </row>
    <row r="537" spans="1:10" x14ac:dyDescent="0.15">
      <c r="A537">
        <v>65619619</v>
      </c>
      <c r="B537" s="3" t="str">
        <f>HYPERLINK("https://github.com/krotik/eliasdb", "https://github.com/krotik/eliasdb")</f>
        <v>https://github.com/krotik/eliasdb</v>
      </c>
      <c r="D537">
        <v>526</v>
      </c>
      <c r="E537" t="s">
        <v>1580</v>
      </c>
      <c r="F537" t="s">
        <v>1581</v>
      </c>
      <c r="G537">
        <v>22</v>
      </c>
      <c r="H537" s="2">
        <v>42595.578796296293</v>
      </c>
      <c r="I537" s="2">
        <v>43572.818414351852</v>
      </c>
      <c r="J537" t="s">
        <v>1582</v>
      </c>
    </row>
    <row r="538" spans="1:10" x14ac:dyDescent="0.15">
      <c r="A538">
        <v>108450241</v>
      </c>
      <c r="B538" s="3" t="str">
        <f>HYPERLINK("https://github.com/schollz/progressbar", "https://github.com/schollz/progressbar")</f>
        <v>https://github.com/schollz/progressbar</v>
      </c>
      <c r="D538">
        <v>522</v>
      </c>
      <c r="E538" t="s">
        <v>1583</v>
      </c>
      <c r="F538" t="s">
        <v>1584</v>
      </c>
      <c r="G538">
        <v>25</v>
      </c>
      <c r="H538" s="2">
        <v>43034.769560185188</v>
      </c>
      <c r="I538" s="2">
        <v>43578.681203703702</v>
      </c>
      <c r="J538" t="s">
        <v>1585</v>
      </c>
    </row>
    <row r="539" spans="1:10" x14ac:dyDescent="0.15">
      <c r="A539">
        <v>145090975</v>
      </c>
      <c r="B539" s="3" t="str">
        <f>HYPERLINK("https://github.com/joomcode/errorx", "https://github.com/joomcode/errorx")</f>
        <v>https://github.com/joomcode/errorx</v>
      </c>
      <c r="D539">
        <v>521</v>
      </c>
      <c r="E539" t="s">
        <v>1586</v>
      </c>
      <c r="F539" t="s">
        <v>1587</v>
      </c>
      <c r="G539">
        <v>9</v>
      </c>
      <c r="H539" s="2">
        <v>43329.334837962961</v>
      </c>
      <c r="I539" s="2">
        <v>43579.320821759262</v>
      </c>
      <c r="J539" t="s">
        <v>1588</v>
      </c>
    </row>
    <row r="540" spans="1:10" x14ac:dyDescent="0.15">
      <c r="A540">
        <v>16356100</v>
      </c>
      <c r="B540" s="3" t="str">
        <f>HYPERLINK("https://github.com/hashicorp/mdns", "https://github.com/hashicorp/mdns")</f>
        <v>https://github.com/hashicorp/mdns</v>
      </c>
      <c r="D540">
        <v>518</v>
      </c>
      <c r="E540" t="s">
        <v>1589</v>
      </c>
      <c r="F540" t="s">
        <v>1590</v>
      </c>
      <c r="G540">
        <v>106</v>
      </c>
      <c r="H540" s="2">
        <v>41668.818958333337</v>
      </c>
      <c r="I540" s="2">
        <v>43580.228692129633</v>
      </c>
      <c r="J540" t="s">
        <v>1591</v>
      </c>
    </row>
    <row r="541" spans="1:10" x14ac:dyDescent="0.15">
      <c r="A541">
        <v>132232698</v>
      </c>
      <c r="B541" s="3" t="str">
        <f>HYPERLINK("https://github.com/go-critic/go-critic", "https://github.com/go-critic/go-critic")</f>
        <v>https://github.com/go-critic/go-critic</v>
      </c>
      <c r="D541">
        <v>518</v>
      </c>
      <c r="E541" t="s">
        <v>1592</v>
      </c>
      <c r="F541" t="s">
        <v>1593</v>
      </c>
      <c r="G541">
        <v>45</v>
      </c>
      <c r="H541" s="2">
        <v>43225.387106481481</v>
      </c>
      <c r="I541" s="2">
        <v>43580.298981481479</v>
      </c>
      <c r="J541" t="s">
        <v>1594</v>
      </c>
    </row>
    <row r="542" spans="1:10" x14ac:dyDescent="0.15">
      <c r="A542">
        <v>12004328</v>
      </c>
      <c r="B542" s="3" t="str">
        <f>HYPERLINK("https://github.com/gravityblast/traffic", "https://github.com/gravityblast/traffic")</f>
        <v>https://github.com/gravityblast/traffic</v>
      </c>
      <c r="D542">
        <v>516</v>
      </c>
      <c r="E542" t="s">
        <v>1595</v>
      </c>
      <c r="F542" t="s">
        <v>1596</v>
      </c>
      <c r="G542">
        <v>28</v>
      </c>
      <c r="H542" s="2">
        <v>41495.652592592603</v>
      </c>
      <c r="I542" s="2">
        <v>43574.961539351847</v>
      </c>
      <c r="J542" t="s">
        <v>1597</v>
      </c>
    </row>
    <row r="543" spans="1:10" x14ac:dyDescent="0.15">
      <c r="A543">
        <v>43542144</v>
      </c>
      <c r="B543" s="3" t="str">
        <f>HYPERLINK("https://github.com/ulule/limiter", "https://github.com/ulule/limiter")</f>
        <v>https://github.com/ulule/limiter</v>
      </c>
      <c r="D543">
        <v>516</v>
      </c>
      <c r="E543" t="s">
        <v>1598</v>
      </c>
      <c r="F543" t="s">
        <v>1599</v>
      </c>
      <c r="G543">
        <v>59</v>
      </c>
      <c r="H543" s="2">
        <v>42279.342106481483</v>
      </c>
      <c r="I543" s="2">
        <v>43576.430578703701</v>
      </c>
      <c r="J543" t="s">
        <v>1600</v>
      </c>
    </row>
    <row r="544" spans="1:10" x14ac:dyDescent="0.15">
      <c r="A544">
        <v>1278292</v>
      </c>
      <c r="B544" s="3" t="str">
        <f>HYPERLINK("https://github.com/go-ole/go-ole", "https://github.com/go-ole/go-ole")</f>
        <v>https://github.com/go-ole/go-ole</v>
      </c>
      <c r="D544">
        <v>510</v>
      </c>
      <c r="E544" t="s">
        <v>1601</v>
      </c>
      <c r="F544" t="s">
        <v>1602</v>
      </c>
      <c r="G544">
        <v>94</v>
      </c>
      <c r="H544" s="2">
        <v>40564.531481481477</v>
      </c>
      <c r="I544" s="2">
        <v>43580.123784722222</v>
      </c>
      <c r="J544" t="s">
        <v>1603</v>
      </c>
    </row>
    <row r="545" spans="1:10" x14ac:dyDescent="0.15">
      <c r="A545">
        <v>32575663</v>
      </c>
      <c r="B545" s="3" t="str">
        <f>HYPERLINK("https://github.com/scaleway/scaleway-cli", "https://github.com/scaleway/scaleway-cli")</f>
        <v>https://github.com/scaleway/scaleway-cli</v>
      </c>
      <c r="D545">
        <v>508</v>
      </c>
      <c r="E545" t="s">
        <v>1604</v>
      </c>
      <c r="F545" t="s">
        <v>1605</v>
      </c>
      <c r="G545">
        <v>75</v>
      </c>
      <c r="H545" s="2">
        <v>42083.406828703701</v>
      </c>
      <c r="I545" s="2">
        <v>43579.491064814807</v>
      </c>
      <c r="J545" t="s">
        <v>1606</v>
      </c>
    </row>
    <row r="546" spans="1:10" x14ac:dyDescent="0.15">
      <c r="A546">
        <v>31097246</v>
      </c>
      <c r="B546" s="3" t="str">
        <f>HYPERLINK("https://github.com/doug-martin/goqu", "https://github.com/doug-martin/goqu")</f>
        <v>https://github.com/doug-martin/goqu</v>
      </c>
      <c r="D546">
        <v>506</v>
      </c>
      <c r="E546" t="s">
        <v>1607</v>
      </c>
      <c r="F546" t="s">
        <v>1608</v>
      </c>
      <c r="G546">
        <v>56</v>
      </c>
      <c r="H546" s="2">
        <v>42056.04583333333</v>
      </c>
      <c r="I546" s="2">
        <v>43579.588738425933</v>
      </c>
      <c r="J546" t="s">
        <v>1609</v>
      </c>
    </row>
    <row r="547" spans="1:10" x14ac:dyDescent="0.15">
      <c r="A547">
        <v>28237271</v>
      </c>
      <c r="B547" s="3" t="str">
        <f>HYPERLINK("https://github.com/asaskevich/EventBus", "https://github.com/asaskevich/EventBus")</f>
        <v>https://github.com/asaskevich/EventBus</v>
      </c>
      <c r="D547">
        <v>503</v>
      </c>
      <c r="E547" t="s">
        <v>1610</v>
      </c>
      <c r="F547" t="s">
        <v>1611</v>
      </c>
      <c r="G547">
        <v>61</v>
      </c>
      <c r="H547" s="2">
        <v>41992.693506944437</v>
      </c>
      <c r="I547" s="2">
        <v>43577.538877314822</v>
      </c>
      <c r="J547" t="s">
        <v>1612</v>
      </c>
    </row>
    <row r="548" spans="1:10" x14ac:dyDescent="0.15">
      <c r="A548">
        <v>49065333</v>
      </c>
      <c r="B548" s="3" t="str">
        <f>HYPERLINK("https://github.com/cavaliercoder/grab", "https://github.com/cavaliercoder/grab")</f>
        <v>https://github.com/cavaliercoder/grab</v>
      </c>
      <c r="D548">
        <v>500</v>
      </c>
      <c r="E548" t="s">
        <v>1613</v>
      </c>
      <c r="F548" t="s">
        <v>1614</v>
      </c>
      <c r="G548">
        <v>62</v>
      </c>
      <c r="H548" s="2">
        <v>42374.532349537039</v>
      </c>
      <c r="I548" s="2">
        <v>43580.458541666667</v>
      </c>
      <c r="J548" t="s">
        <v>1615</v>
      </c>
    </row>
    <row r="549" spans="1:10" x14ac:dyDescent="0.15">
      <c r="A549">
        <v>130362273</v>
      </c>
      <c r="B549" s="3" t="str">
        <f>HYPERLINK("https://github.com/bilibili/discovery", "https://github.com/bilibili/discovery")</f>
        <v>https://github.com/bilibili/discovery</v>
      </c>
      <c r="D549">
        <v>499</v>
      </c>
      <c r="E549" t="s">
        <v>1616</v>
      </c>
      <c r="F549" t="s">
        <v>1617</v>
      </c>
      <c r="G549">
        <v>99</v>
      </c>
      <c r="H549" s="2">
        <v>43210.540162037039</v>
      </c>
      <c r="I549" s="2">
        <v>43580.369432870371</v>
      </c>
      <c r="J549" t="s">
        <v>1618</v>
      </c>
    </row>
    <row r="550" spans="1:10" x14ac:dyDescent="0.15">
      <c r="A550">
        <v>140785428</v>
      </c>
      <c r="B550" s="3" t="str">
        <f>HYPERLINK("https://github.com/gofrs/uuid", "https://github.com/gofrs/uuid")</f>
        <v>https://github.com/gofrs/uuid</v>
      </c>
      <c r="D550">
        <v>489</v>
      </c>
      <c r="E550" t="s">
        <v>1619</v>
      </c>
      <c r="F550" t="s">
        <v>1620</v>
      </c>
      <c r="G550">
        <v>36</v>
      </c>
      <c r="H550" s="2">
        <v>43294.092685185176</v>
      </c>
      <c r="I550" s="2">
        <v>43578.841354166667</v>
      </c>
      <c r="J550" t="s">
        <v>1621</v>
      </c>
    </row>
    <row r="551" spans="1:10" x14ac:dyDescent="0.15">
      <c r="A551">
        <v>12774055</v>
      </c>
      <c r="B551" s="3" t="str">
        <f>HYPERLINK("https://github.com/sendgrid/sendgrid-go", "https://github.com/sendgrid/sendgrid-go")</f>
        <v>https://github.com/sendgrid/sendgrid-go</v>
      </c>
      <c r="D551">
        <v>487</v>
      </c>
      <c r="E551" t="s">
        <v>1622</v>
      </c>
      <c r="F551" t="s">
        <v>1623</v>
      </c>
      <c r="G551">
        <v>193</v>
      </c>
      <c r="H551" s="2">
        <v>41529.146678240737</v>
      </c>
      <c r="I551" s="2">
        <v>43578.801249999997</v>
      </c>
      <c r="J551" t="s">
        <v>1624</v>
      </c>
    </row>
    <row r="552" spans="1:10" x14ac:dyDescent="0.15">
      <c r="A552">
        <v>22476286</v>
      </c>
      <c r="B552" s="3" t="str">
        <f>HYPERLINK("https://github.com/google/gofuzz", "https://github.com/google/gofuzz")</f>
        <v>https://github.com/google/gofuzz</v>
      </c>
      <c r="D552">
        <v>487</v>
      </c>
      <c r="E552" t="s">
        <v>1625</v>
      </c>
      <c r="F552" t="s">
        <v>1626</v>
      </c>
      <c r="G552">
        <v>48</v>
      </c>
      <c r="H552" s="2">
        <v>41851.681585648148</v>
      </c>
      <c r="I552" s="2">
        <v>43579.096967592603</v>
      </c>
      <c r="J552" t="s">
        <v>1627</v>
      </c>
    </row>
    <row r="553" spans="1:10" x14ac:dyDescent="0.15">
      <c r="A553">
        <v>9190862</v>
      </c>
      <c r="B553" s="3" t="str">
        <f>HYPERLINK("https://github.com/3d0c/gmf", "https://github.com/3d0c/gmf")</f>
        <v>https://github.com/3d0c/gmf</v>
      </c>
      <c r="D553">
        <v>487</v>
      </c>
      <c r="E553" t="s">
        <v>1628</v>
      </c>
      <c r="F553" t="s">
        <v>1629</v>
      </c>
      <c r="G553">
        <v>107</v>
      </c>
      <c r="H553" s="2">
        <v>41367.38040509259</v>
      </c>
      <c r="I553" s="2">
        <v>43574.817291666674</v>
      </c>
      <c r="J553" t="s">
        <v>1630</v>
      </c>
    </row>
    <row r="554" spans="1:10" x14ac:dyDescent="0.15">
      <c r="A554">
        <v>14678125</v>
      </c>
      <c r="B554" s="3" t="str">
        <f>HYPERLINK("https://github.com/deckarep/gosx-notifier", "https://github.com/deckarep/gosx-notifier")</f>
        <v>https://github.com/deckarep/gosx-notifier</v>
      </c>
      <c r="D554">
        <v>484</v>
      </c>
      <c r="E554" t="s">
        <v>1631</v>
      </c>
      <c r="F554" t="s">
        <v>1632</v>
      </c>
      <c r="G554">
        <v>34</v>
      </c>
      <c r="H554" s="2">
        <v>41603.27449074074</v>
      </c>
      <c r="I554" s="2">
        <v>43579.877013888887</v>
      </c>
      <c r="J554" t="s">
        <v>1633</v>
      </c>
    </row>
    <row r="555" spans="1:10" x14ac:dyDescent="0.15">
      <c r="A555">
        <v>26397419</v>
      </c>
      <c r="B555" s="3" t="str">
        <f>HYPERLINK("https://github.com/mozillazg/go-pinyin", "https://github.com/mozillazg/go-pinyin")</f>
        <v>https://github.com/mozillazg/go-pinyin</v>
      </c>
      <c r="D555">
        <v>482</v>
      </c>
      <c r="E555" t="s">
        <v>1634</v>
      </c>
      <c r="F555" t="s">
        <v>1635</v>
      </c>
      <c r="G555">
        <v>90</v>
      </c>
      <c r="H555" s="2">
        <v>41952.586493055547</v>
      </c>
      <c r="I555" s="2">
        <v>43578.417881944442</v>
      </c>
      <c r="J555" t="s">
        <v>1636</v>
      </c>
    </row>
    <row r="556" spans="1:10" x14ac:dyDescent="0.15">
      <c r="A556">
        <v>48720086</v>
      </c>
      <c r="B556" s="3" t="str">
        <f>HYPERLINK("https://github.com/fanux/lhttp", "https://github.com/fanux/lhttp")</f>
        <v>https://github.com/fanux/lhttp</v>
      </c>
      <c r="D556">
        <v>482</v>
      </c>
      <c r="E556" t="s">
        <v>1637</v>
      </c>
      <c r="F556" t="s">
        <v>1638</v>
      </c>
      <c r="G556">
        <v>98</v>
      </c>
      <c r="H556" s="2">
        <v>42367.051111111112</v>
      </c>
      <c r="I556" s="2">
        <v>43579.442361111112</v>
      </c>
      <c r="J556" t="s">
        <v>1639</v>
      </c>
    </row>
    <row r="557" spans="1:10" x14ac:dyDescent="0.15">
      <c r="A557">
        <v>4813756</v>
      </c>
      <c r="B557" s="3" t="str">
        <f>HYPERLINK("https://github.com/facebookarchive/httpcontrol", "https://github.com/facebookarchive/httpcontrol")</f>
        <v>https://github.com/facebookarchive/httpcontrol</v>
      </c>
      <c r="D557">
        <v>480</v>
      </c>
      <c r="E557" t="s">
        <v>1640</v>
      </c>
      <c r="F557" t="s">
        <v>1641</v>
      </c>
      <c r="G557">
        <v>28</v>
      </c>
      <c r="H557" s="2">
        <v>41087.892152777778</v>
      </c>
      <c r="I557" s="2">
        <v>43571.514189814807</v>
      </c>
      <c r="J557" t="s">
        <v>1642</v>
      </c>
    </row>
    <row r="558" spans="1:10" x14ac:dyDescent="0.15">
      <c r="A558">
        <v>38644318</v>
      </c>
      <c r="B558" s="3" t="str">
        <f>HYPERLINK("https://github.com/mainflux/mainflux", "https://github.com/mainflux/mainflux")</f>
        <v>https://github.com/mainflux/mainflux</v>
      </c>
      <c r="D558">
        <v>477</v>
      </c>
      <c r="E558" t="s">
        <v>1643</v>
      </c>
      <c r="F558" t="s">
        <v>1644</v>
      </c>
      <c r="G558">
        <v>163</v>
      </c>
      <c r="H558" s="2">
        <v>42191.855439814812</v>
      </c>
      <c r="I558" s="2">
        <v>43580.526331018518</v>
      </c>
      <c r="J558" t="s">
        <v>1645</v>
      </c>
    </row>
    <row r="559" spans="1:10" x14ac:dyDescent="0.15">
      <c r="A559">
        <v>39476279</v>
      </c>
      <c r="B559" s="3" t="str">
        <f>HYPERLINK("https://github.com/ivpusic/grpool", "https://github.com/ivpusic/grpool")</f>
        <v>https://github.com/ivpusic/grpool</v>
      </c>
      <c r="D559">
        <v>476</v>
      </c>
      <c r="E559" t="s">
        <v>1646</v>
      </c>
      <c r="F559" t="s">
        <v>1647</v>
      </c>
      <c r="G559">
        <v>67</v>
      </c>
      <c r="H559" s="2">
        <v>42207.010462962957</v>
      </c>
      <c r="I559" s="2">
        <v>43579.232557870368</v>
      </c>
      <c r="J559" t="s">
        <v>1648</v>
      </c>
    </row>
    <row r="560" spans="1:10" x14ac:dyDescent="0.15">
      <c r="A560">
        <v>11896487</v>
      </c>
      <c r="B560" s="3" t="str">
        <f>HYPERLINK("https://github.com/htcat/htcat", "https://github.com/htcat/htcat")</f>
        <v>https://github.com/htcat/htcat</v>
      </c>
      <c r="D560">
        <v>476</v>
      </c>
      <c r="E560" t="s">
        <v>1649</v>
      </c>
      <c r="F560" t="s">
        <v>1650</v>
      </c>
      <c r="G560">
        <v>25</v>
      </c>
      <c r="H560" s="2">
        <v>41491.470150462963</v>
      </c>
      <c r="I560" s="2">
        <v>43571.377245370371</v>
      </c>
      <c r="J560" t="s">
        <v>1651</v>
      </c>
    </row>
    <row r="561" spans="1:10" x14ac:dyDescent="0.15">
      <c r="A561">
        <v>46149597</v>
      </c>
      <c r="B561" s="3" t="str">
        <f>HYPERLINK("https://github.com/gosuri/uitable", "https://github.com/gosuri/uitable")</f>
        <v>https://github.com/gosuri/uitable</v>
      </c>
      <c r="D561">
        <v>473</v>
      </c>
      <c r="E561" t="s">
        <v>1652</v>
      </c>
      <c r="F561" t="s">
        <v>1653</v>
      </c>
      <c r="G561">
        <v>19</v>
      </c>
      <c r="H561" s="2">
        <v>42321.916215277779</v>
      </c>
      <c r="I561" s="2">
        <v>43577.406817129631</v>
      </c>
      <c r="J561" t="s">
        <v>1654</v>
      </c>
    </row>
    <row r="562" spans="1:10" x14ac:dyDescent="0.15">
      <c r="A562">
        <v>23797984</v>
      </c>
      <c r="B562" s="3" t="str">
        <f>HYPERLINK("https://github.com/rjeczalik/notify", "https://github.com/rjeczalik/notify")</f>
        <v>https://github.com/rjeczalik/notify</v>
      </c>
      <c r="D562">
        <v>471</v>
      </c>
      <c r="E562" t="s">
        <v>1655</v>
      </c>
      <c r="F562" t="s">
        <v>1656</v>
      </c>
      <c r="G562">
        <v>63</v>
      </c>
      <c r="H562" s="2">
        <v>41890.673310185193</v>
      </c>
      <c r="I562" s="2">
        <v>43577.937222222223</v>
      </c>
      <c r="J562" t="s">
        <v>1657</v>
      </c>
    </row>
    <row r="563" spans="1:10" x14ac:dyDescent="0.15">
      <c r="A563">
        <v>40483745</v>
      </c>
      <c r="B563" s="3" t="str">
        <f>HYPERLINK("https://github.com/leekchan/accounting", "https://github.com/leekchan/accounting")</f>
        <v>https://github.com/leekchan/accounting</v>
      </c>
      <c r="D563">
        <v>465</v>
      </c>
      <c r="E563" t="s">
        <v>1658</v>
      </c>
      <c r="F563" t="s">
        <v>1659</v>
      </c>
      <c r="G563">
        <v>30</v>
      </c>
      <c r="H563" s="2">
        <v>42226.558287037027</v>
      </c>
      <c r="I563" s="2">
        <v>43574.319687499999</v>
      </c>
      <c r="J563" t="s">
        <v>1660</v>
      </c>
    </row>
    <row r="564" spans="1:10" x14ac:dyDescent="0.15">
      <c r="A564">
        <v>17143026</v>
      </c>
      <c r="B564" s="3" t="str">
        <f>HYPERLINK("https://github.com/jarcoal/httpmock", "https://github.com/jarcoal/httpmock")</f>
        <v>https://github.com/jarcoal/httpmock</v>
      </c>
      <c r="D564">
        <v>463</v>
      </c>
      <c r="E564" t="s">
        <v>1661</v>
      </c>
      <c r="F564" t="s">
        <v>1662</v>
      </c>
      <c r="G564">
        <v>61</v>
      </c>
      <c r="H564" s="2">
        <v>41694.699988425928</v>
      </c>
      <c r="I564" s="2">
        <v>43576.209652777783</v>
      </c>
      <c r="J564" t="s">
        <v>1663</v>
      </c>
    </row>
    <row r="565" spans="1:10" x14ac:dyDescent="0.15">
      <c r="A565">
        <v>8569918</v>
      </c>
      <c r="B565" s="3" t="str">
        <f>HYPERLINK("https://github.com/gonum/matrix", "https://github.com/gonum/matrix")</f>
        <v>https://github.com/gonum/matrix</v>
      </c>
      <c r="D565">
        <v>463</v>
      </c>
      <c r="E565" t="s">
        <v>1664</v>
      </c>
      <c r="F565" t="s">
        <v>1665</v>
      </c>
      <c r="G565">
        <v>51</v>
      </c>
      <c r="H565" s="2">
        <v>41338.082777777781</v>
      </c>
      <c r="I565" s="2">
        <v>43569.707719907397</v>
      </c>
      <c r="J565" t="s">
        <v>1666</v>
      </c>
    </row>
    <row r="566" spans="1:10" x14ac:dyDescent="0.15">
      <c r="A566">
        <v>76455463</v>
      </c>
      <c r="B566" s="3" t="str">
        <f>HYPERLINK("https://github.com/vbauerster/mpb", "https://github.com/vbauerster/mpb")</f>
        <v>https://github.com/vbauerster/mpb</v>
      </c>
      <c r="D566">
        <v>462</v>
      </c>
      <c r="E566" t="s">
        <v>1667</v>
      </c>
      <c r="F566" t="s">
        <v>1668</v>
      </c>
      <c r="G566">
        <v>35</v>
      </c>
      <c r="H566" s="2">
        <v>42718.497557870367</v>
      </c>
      <c r="I566" s="2">
        <v>43580.347094907411</v>
      </c>
      <c r="J566" t="s">
        <v>1669</v>
      </c>
    </row>
    <row r="567" spans="1:10" x14ac:dyDescent="0.15">
      <c r="A567">
        <v>45126702</v>
      </c>
      <c r="B567" s="3" t="str">
        <f>HYPERLINK("https://github.com/go-playground/pool", "https://github.com/go-playground/pool")</f>
        <v>https://github.com/go-playground/pool</v>
      </c>
      <c r="D567">
        <v>460</v>
      </c>
      <c r="E567" t="s">
        <v>1670</v>
      </c>
      <c r="F567" t="s">
        <v>1671</v>
      </c>
      <c r="G567">
        <v>45</v>
      </c>
      <c r="H567" s="2">
        <v>42305.691759259258</v>
      </c>
      <c r="I567" s="2">
        <v>43580.154282407413</v>
      </c>
      <c r="J567" t="s">
        <v>1672</v>
      </c>
    </row>
    <row r="568" spans="1:10" x14ac:dyDescent="0.15">
      <c r="A568">
        <v>174478433</v>
      </c>
      <c r="B568" s="3" t="str">
        <f>HYPERLINK("https://github.com/Antonito/gfile", "https://github.com/Antonito/gfile")</f>
        <v>https://github.com/Antonito/gfile</v>
      </c>
      <c r="D568">
        <v>460</v>
      </c>
      <c r="E568" t="s">
        <v>1673</v>
      </c>
      <c r="F568" t="s">
        <v>1674</v>
      </c>
      <c r="G568">
        <v>17</v>
      </c>
      <c r="H568" s="2">
        <v>43532.251574074071</v>
      </c>
      <c r="I568" s="2">
        <v>43580.277430555558</v>
      </c>
      <c r="J568" t="s">
        <v>1675</v>
      </c>
    </row>
    <row r="569" spans="1:10" x14ac:dyDescent="0.15">
      <c r="A569">
        <v>1731413</v>
      </c>
      <c r="B569" s="3" t="str">
        <f>HYPERLINK("https://github.com/willf/bitset", "https://github.com/willf/bitset")</f>
        <v>https://github.com/willf/bitset</v>
      </c>
      <c r="D569">
        <v>458</v>
      </c>
      <c r="E569" t="s">
        <v>1676</v>
      </c>
      <c r="F569" t="s">
        <v>1677</v>
      </c>
      <c r="G569">
        <v>85</v>
      </c>
      <c r="H569" s="2">
        <v>40674.148425925923</v>
      </c>
      <c r="I569" s="2">
        <v>43580.333831018521</v>
      </c>
      <c r="J569" t="s">
        <v>1678</v>
      </c>
    </row>
    <row r="570" spans="1:10" x14ac:dyDescent="0.15">
      <c r="A570">
        <v>38217968</v>
      </c>
      <c r="B570" s="3" t="str">
        <f>HYPERLINK("https://github.com/seiflotfy/cuckoofilter", "https://github.com/seiflotfy/cuckoofilter")</f>
        <v>https://github.com/seiflotfy/cuckoofilter</v>
      </c>
      <c r="D570">
        <v>458</v>
      </c>
      <c r="E570" t="s">
        <v>1679</v>
      </c>
      <c r="F570" t="s">
        <v>1680</v>
      </c>
      <c r="G570">
        <v>30</v>
      </c>
      <c r="H570" s="2">
        <v>42183.973715277767</v>
      </c>
      <c r="I570" s="2">
        <v>43568.769953703697</v>
      </c>
      <c r="J570" t="s">
        <v>1681</v>
      </c>
    </row>
    <row r="571" spans="1:10" x14ac:dyDescent="0.15">
      <c r="A571">
        <v>1712708</v>
      </c>
      <c r="B571" s="3" t="str">
        <f>HYPERLINK("https://github.com/jlaffaye/ftp", "https://github.com/jlaffaye/ftp")</f>
        <v>https://github.com/jlaffaye/ftp</v>
      </c>
      <c r="D571">
        <v>457</v>
      </c>
      <c r="E571" t="s">
        <v>1682</v>
      </c>
      <c r="F571" t="s">
        <v>1683</v>
      </c>
      <c r="G571">
        <v>185</v>
      </c>
      <c r="H571" s="2">
        <v>40669.772118055553</v>
      </c>
      <c r="I571" s="2">
        <v>43578.503182870372</v>
      </c>
      <c r="J571" t="s">
        <v>1684</v>
      </c>
    </row>
    <row r="572" spans="1:10" x14ac:dyDescent="0.15">
      <c r="A572">
        <v>169459245</v>
      </c>
      <c r="B572" s="3" t="str">
        <f>HYPERLINK("https://github.com/ztrue/tracerr", "https://github.com/ztrue/tracerr")</f>
        <v>https://github.com/ztrue/tracerr</v>
      </c>
      <c r="D572">
        <v>456</v>
      </c>
      <c r="E572" t="s">
        <v>1685</v>
      </c>
      <c r="F572" t="s">
        <v>1686</v>
      </c>
      <c r="G572">
        <v>6</v>
      </c>
      <c r="H572" s="2">
        <v>43502.79011574074</v>
      </c>
      <c r="I572" s="2">
        <v>43580.440081018518</v>
      </c>
      <c r="J572" t="s">
        <v>1687</v>
      </c>
    </row>
    <row r="573" spans="1:10" x14ac:dyDescent="0.15">
      <c r="A573">
        <v>52618352</v>
      </c>
      <c r="B573" s="3" t="str">
        <f>HYPERLINK("https://github.com/mkideal/cli", "https://github.com/mkideal/cli")</f>
        <v>https://github.com/mkideal/cli</v>
      </c>
      <c r="D573">
        <v>454</v>
      </c>
      <c r="E573" t="s">
        <v>111</v>
      </c>
      <c r="F573" t="s">
        <v>1688</v>
      </c>
      <c r="G573">
        <v>35</v>
      </c>
      <c r="H573" s="2">
        <v>42426.698252314818</v>
      </c>
      <c r="I573" s="2">
        <v>43578.538518518522</v>
      </c>
      <c r="J573" t="s">
        <v>1689</v>
      </c>
    </row>
    <row r="574" spans="1:10" x14ac:dyDescent="0.15">
      <c r="A574">
        <v>112527256</v>
      </c>
      <c r="B574" s="3" t="str">
        <f>HYPERLINK("https://github.com/InVisionApp/go-health", "https://github.com/InVisionApp/go-health")</f>
        <v>https://github.com/InVisionApp/go-health</v>
      </c>
      <c r="D574">
        <v>449</v>
      </c>
      <c r="E574" t="s">
        <v>1690</v>
      </c>
      <c r="F574" t="s">
        <v>1691</v>
      </c>
      <c r="G574">
        <v>24</v>
      </c>
      <c r="H574" s="2">
        <v>43068.875081018523</v>
      </c>
      <c r="I574" s="2">
        <v>43579.765381944453</v>
      </c>
      <c r="J574" t="s">
        <v>1692</v>
      </c>
    </row>
    <row r="575" spans="1:10" x14ac:dyDescent="0.15">
      <c r="A575">
        <v>41968300</v>
      </c>
      <c r="B575" s="3" t="str">
        <f>HYPERLINK("https://github.com/pascaldekloe/colfer", "https://github.com/pascaldekloe/colfer")</f>
        <v>https://github.com/pascaldekloe/colfer</v>
      </c>
      <c r="D575">
        <v>448</v>
      </c>
      <c r="E575" t="s">
        <v>1693</v>
      </c>
      <c r="F575" t="s">
        <v>1694</v>
      </c>
      <c r="G575">
        <v>34</v>
      </c>
      <c r="H575" s="2">
        <v>42252.69630787037</v>
      </c>
      <c r="I575" s="2">
        <v>43574.354513888888</v>
      </c>
      <c r="J575" t="s">
        <v>1695</v>
      </c>
    </row>
    <row r="576" spans="1:10" x14ac:dyDescent="0.15">
      <c r="A576">
        <v>30561475</v>
      </c>
      <c r="B576" s="3" t="str">
        <f>HYPERLINK("https://github.com/albrow/jobs", "https://github.com/albrow/jobs")</f>
        <v>https://github.com/albrow/jobs</v>
      </c>
      <c r="D576">
        <v>446</v>
      </c>
      <c r="E576" t="s">
        <v>1696</v>
      </c>
      <c r="F576" t="s">
        <v>1697</v>
      </c>
      <c r="G576">
        <v>33</v>
      </c>
      <c r="H576" s="2">
        <v>42044.926030092603</v>
      </c>
      <c r="I576" s="2">
        <v>43569.454363425917</v>
      </c>
      <c r="J576" t="s">
        <v>1698</v>
      </c>
    </row>
    <row r="577" spans="1:10" x14ac:dyDescent="0.15">
      <c r="A577">
        <v>97869656</v>
      </c>
      <c r="B577" s="3" t="str">
        <f>HYPERLINK("https://github.com/kevinburke/nacl", "https://github.com/kevinburke/nacl")</f>
        <v>https://github.com/kevinburke/nacl</v>
      </c>
      <c r="D577">
        <v>445</v>
      </c>
      <c r="E577" t="s">
        <v>1699</v>
      </c>
      <c r="F577" t="s">
        <v>1700</v>
      </c>
      <c r="G577">
        <v>20</v>
      </c>
      <c r="H577" s="2">
        <v>42936.796747685177</v>
      </c>
      <c r="I577" s="2">
        <v>43572.809178240743</v>
      </c>
      <c r="J577" t="s">
        <v>1701</v>
      </c>
    </row>
    <row r="578" spans="1:10" x14ac:dyDescent="0.15">
      <c r="A578">
        <v>41102121</v>
      </c>
      <c r="B578" s="3" t="str">
        <f>HYPERLINK("https://github.com/andygrunwald/go-jira", "https://github.com/andygrunwald/go-jira")</f>
        <v>https://github.com/andygrunwald/go-jira</v>
      </c>
      <c r="D578">
        <v>445</v>
      </c>
      <c r="E578" t="s">
        <v>1702</v>
      </c>
      <c r="F578" t="s">
        <v>1703</v>
      </c>
      <c r="G578">
        <v>175</v>
      </c>
      <c r="H578" s="2">
        <v>42236.626921296287</v>
      </c>
      <c r="I578" s="2">
        <v>43579.434502314813</v>
      </c>
      <c r="J578" t="s">
        <v>1704</v>
      </c>
    </row>
    <row r="579" spans="1:10" x14ac:dyDescent="0.15">
      <c r="A579">
        <v>42946991</v>
      </c>
      <c r="B579" s="3" t="str">
        <f>HYPERLINK("https://github.com/go-chat-bot/bot", "https://github.com/go-chat-bot/bot")</f>
        <v>https://github.com/go-chat-bot/bot</v>
      </c>
      <c r="D579">
        <v>431</v>
      </c>
      <c r="E579" t="s">
        <v>1705</v>
      </c>
      <c r="F579" t="s">
        <v>1706</v>
      </c>
      <c r="G579">
        <v>115</v>
      </c>
      <c r="H579" s="2">
        <v>42269.695289351846</v>
      </c>
      <c r="I579" s="2">
        <v>43580.354629629634</v>
      </c>
      <c r="J579" t="s">
        <v>1707</v>
      </c>
    </row>
    <row r="580" spans="1:10" x14ac:dyDescent="0.15">
      <c r="A580">
        <v>29113216</v>
      </c>
      <c r="B580" s="3" t="str">
        <f>HYPERLINK("https://github.com/mvdan/xurls", "https://github.com/mvdan/xurls")</f>
        <v>https://github.com/mvdan/xurls</v>
      </c>
      <c r="D580">
        <v>431</v>
      </c>
      <c r="E580" t="s">
        <v>1708</v>
      </c>
      <c r="F580" t="s">
        <v>1709</v>
      </c>
      <c r="G580">
        <v>46</v>
      </c>
      <c r="H580" s="2">
        <v>42016.061643518522</v>
      </c>
      <c r="I580" s="2">
        <v>43577.614571759259</v>
      </c>
      <c r="J580" t="s">
        <v>1710</v>
      </c>
    </row>
    <row r="581" spans="1:10" x14ac:dyDescent="0.15">
      <c r="A581">
        <v>1144572</v>
      </c>
      <c r="B581" s="3" t="str">
        <f>HYPERLINK("https://github.com/aarzilli/golua", "https://github.com/aarzilli/golua")</f>
        <v>https://github.com/aarzilli/golua</v>
      </c>
      <c r="D581">
        <v>430</v>
      </c>
      <c r="E581" t="s">
        <v>1711</v>
      </c>
      <c r="F581" t="s">
        <v>1712</v>
      </c>
      <c r="G581">
        <v>124</v>
      </c>
      <c r="H581" s="2">
        <v>40518.902696759258</v>
      </c>
      <c r="I581" s="2">
        <v>43574.315150462957</v>
      </c>
      <c r="J581" t="s">
        <v>1713</v>
      </c>
    </row>
    <row r="582" spans="1:10" x14ac:dyDescent="0.15">
      <c r="A582">
        <v>119361250</v>
      </c>
      <c r="B582" s="3" t="str">
        <f>HYPERLINK("https://github.com/xujiajun/gorouter", "https://github.com/xujiajun/gorouter")</f>
        <v>https://github.com/xujiajun/gorouter</v>
      </c>
      <c r="D582">
        <v>428</v>
      </c>
      <c r="E582" t="s">
        <v>1714</v>
      </c>
      <c r="F582" t="s">
        <v>1715</v>
      </c>
      <c r="G582">
        <v>53</v>
      </c>
      <c r="H582" s="2">
        <v>43129.394768518519</v>
      </c>
      <c r="I582" s="2">
        <v>43579.953240740739</v>
      </c>
      <c r="J582" t="s">
        <v>1716</v>
      </c>
    </row>
    <row r="583" spans="1:10" x14ac:dyDescent="0.15">
      <c r="A583">
        <v>123871580</v>
      </c>
      <c r="B583" s="3" t="str">
        <f>HYPERLINK("https://github.com/integrii/flaggy", "https://github.com/integrii/flaggy")</f>
        <v>https://github.com/integrii/flaggy</v>
      </c>
      <c r="D583">
        <v>427</v>
      </c>
      <c r="E583" t="s">
        <v>1717</v>
      </c>
      <c r="F583" t="s">
        <v>1718</v>
      </c>
      <c r="G583">
        <v>11</v>
      </c>
      <c r="H583" s="2">
        <v>43164.24658564815</v>
      </c>
      <c r="I583" s="2">
        <v>43579.760925925933</v>
      </c>
      <c r="J583" t="s">
        <v>1719</v>
      </c>
    </row>
    <row r="584" spans="1:10" x14ac:dyDescent="0.15">
      <c r="A584">
        <v>16247062</v>
      </c>
      <c r="B584" s="3" t="str">
        <f>HYPERLINK("https://github.com/mjibson/esc", "https://github.com/mjibson/esc")</f>
        <v>https://github.com/mjibson/esc</v>
      </c>
      <c r="D584">
        <v>427</v>
      </c>
      <c r="E584" t="s">
        <v>1720</v>
      </c>
      <c r="F584" t="s">
        <v>1721</v>
      </c>
      <c r="G584">
        <v>54</v>
      </c>
      <c r="H584" s="2">
        <v>41665.213935185187</v>
      </c>
      <c r="I584" s="2">
        <v>43580.371631944443</v>
      </c>
      <c r="J584" t="s">
        <v>1722</v>
      </c>
    </row>
    <row r="585" spans="1:10" x14ac:dyDescent="0.15">
      <c r="A585">
        <v>102281899</v>
      </c>
      <c r="B585" s="3" t="str">
        <f>HYPERLINK("https://github.com/jirfag/go-queryset", "https://github.com/jirfag/go-queryset")</f>
        <v>https://github.com/jirfag/go-queryset</v>
      </c>
      <c r="D585">
        <v>425</v>
      </c>
      <c r="E585" t="s">
        <v>1723</v>
      </c>
      <c r="F585" t="s">
        <v>1724</v>
      </c>
      <c r="G585">
        <v>33</v>
      </c>
      <c r="H585" s="2">
        <v>42981.728819444441</v>
      </c>
      <c r="I585" s="2">
        <v>43580.2815162037</v>
      </c>
      <c r="J585" t="s">
        <v>1725</v>
      </c>
    </row>
    <row r="586" spans="1:10" x14ac:dyDescent="0.15">
      <c r="A586">
        <v>17287421</v>
      </c>
      <c r="B586" s="3" t="str">
        <f>HYPERLINK("https://github.com/ungerik/go-dry", "https://github.com/ungerik/go-dry")</f>
        <v>https://github.com/ungerik/go-dry</v>
      </c>
      <c r="D586">
        <v>424</v>
      </c>
      <c r="E586" t="s">
        <v>1726</v>
      </c>
      <c r="F586" t="s">
        <v>1727</v>
      </c>
      <c r="G586">
        <v>30</v>
      </c>
      <c r="H586" s="2">
        <v>41698.576053240737</v>
      </c>
      <c r="I586" s="2">
        <v>43579.41133101852</v>
      </c>
      <c r="J586" t="s">
        <v>1728</v>
      </c>
    </row>
    <row r="587" spans="1:10" x14ac:dyDescent="0.15">
      <c r="A587">
        <v>92572310</v>
      </c>
      <c r="B587" s="3" t="str">
        <f>HYPERLINK("https://github.com/shurcooL/githubv4", "https://github.com/shurcooL/githubv4")</f>
        <v>https://github.com/shurcooL/githubv4</v>
      </c>
      <c r="D587">
        <v>422</v>
      </c>
      <c r="E587" t="s">
        <v>1729</v>
      </c>
      <c r="F587" t="s">
        <v>1730</v>
      </c>
      <c r="G587">
        <v>23</v>
      </c>
      <c r="H587" s="2">
        <v>42882.212164351848</v>
      </c>
      <c r="I587" s="2">
        <v>43580.015821759262</v>
      </c>
      <c r="J587" t="s">
        <v>1731</v>
      </c>
    </row>
    <row r="588" spans="1:10" x14ac:dyDescent="0.15">
      <c r="A588">
        <v>26910867</v>
      </c>
      <c r="B588" s="3" t="str">
        <f>HYPERLINK("https://github.com/gchaincl/dotsql", "https://github.com/gchaincl/dotsql")</f>
        <v>https://github.com/gchaincl/dotsql</v>
      </c>
      <c r="D588">
        <v>421</v>
      </c>
      <c r="E588" t="s">
        <v>1732</v>
      </c>
      <c r="F588" t="s">
        <v>1733</v>
      </c>
      <c r="G588">
        <v>32</v>
      </c>
      <c r="H588" s="2">
        <v>41963.51017361111</v>
      </c>
      <c r="I588" s="2">
        <v>43576.961516203701</v>
      </c>
      <c r="J588" t="s">
        <v>1734</v>
      </c>
    </row>
    <row r="589" spans="1:10" x14ac:dyDescent="0.15">
      <c r="A589">
        <v>26401857</v>
      </c>
      <c r="B589" s="3" t="str">
        <f>HYPERLINK("https://github.com/tenntenn/gopher-stickers", "https://github.com/tenntenn/gopher-stickers")</f>
        <v>https://github.com/tenntenn/gopher-stickers</v>
      </c>
      <c r="D589">
        <v>420</v>
      </c>
      <c r="E589" t="s">
        <v>1735</v>
      </c>
      <c r="F589" t="s">
        <v>1736</v>
      </c>
      <c r="G589">
        <v>23</v>
      </c>
      <c r="H589" s="2">
        <v>41952.695173611108</v>
      </c>
      <c r="I589" s="2">
        <v>43572.351122685177</v>
      </c>
      <c r="J589" t="s">
        <v>1737</v>
      </c>
    </row>
    <row r="590" spans="1:10" x14ac:dyDescent="0.15">
      <c r="A590">
        <v>21124171</v>
      </c>
      <c r="B590" s="3" t="str">
        <f>HYPERLINK("https://github.com/bndr/gopencils", "https://github.com/bndr/gopencils")</f>
        <v>https://github.com/bndr/gopencils</v>
      </c>
      <c r="D590">
        <v>419</v>
      </c>
      <c r="E590" t="s">
        <v>1738</v>
      </c>
      <c r="F590" t="s">
        <v>1739</v>
      </c>
      <c r="G590">
        <v>33</v>
      </c>
      <c r="H590" s="2">
        <v>41813.487083333333</v>
      </c>
      <c r="I590" s="2">
        <v>43572.364293981482</v>
      </c>
      <c r="J590" t="s">
        <v>1740</v>
      </c>
    </row>
    <row r="591" spans="1:10" x14ac:dyDescent="0.15">
      <c r="A591">
        <v>47791533</v>
      </c>
      <c r="B591" s="3" t="str">
        <f>HYPERLINK("https://github.com/go-ozzo/ozzo-dbx", "https://github.com/go-ozzo/ozzo-dbx")</f>
        <v>https://github.com/go-ozzo/ozzo-dbx</v>
      </c>
      <c r="D591">
        <v>418</v>
      </c>
      <c r="E591" t="s">
        <v>1741</v>
      </c>
      <c r="F591" t="s">
        <v>1742</v>
      </c>
      <c r="G591">
        <v>43</v>
      </c>
      <c r="H591" s="2">
        <v>42348.944050925929</v>
      </c>
      <c r="I591" s="2">
        <v>43575.196435185193</v>
      </c>
      <c r="J591" t="s">
        <v>1743</v>
      </c>
    </row>
    <row r="592" spans="1:10" x14ac:dyDescent="0.15">
      <c r="A592">
        <v>15823444</v>
      </c>
      <c r="B592" s="3" t="str">
        <f>HYPERLINK("https://github.com/jcla1/gisp", "https://github.com/jcla1/gisp")</f>
        <v>https://github.com/jcla1/gisp</v>
      </c>
      <c r="D592">
        <v>418</v>
      </c>
      <c r="E592" t="s">
        <v>1744</v>
      </c>
      <c r="F592" t="s">
        <v>1745</v>
      </c>
      <c r="G592">
        <v>32</v>
      </c>
      <c r="H592" s="2">
        <v>41650.58730324074</v>
      </c>
      <c r="I592" s="2">
        <v>43561.767048611109</v>
      </c>
      <c r="J592" t="s">
        <v>1746</v>
      </c>
    </row>
    <row r="593" spans="1:10" x14ac:dyDescent="0.15">
      <c r="A593">
        <v>34741977</v>
      </c>
      <c r="B593" s="3" t="str">
        <f>HYPERLINK("https://github.com/c9s/c6", "https://github.com/c9s/c6")</f>
        <v>https://github.com/c9s/c6</v>
      </c>
      <c r="D593">
        <v>418</v>
      </c>
      <c r="E593" t="s">
        <v>1747</v>
      </c>
      <c r="F593" t="s">
        <v>1748</v>
      </c>
      <c r="G593">
        <v>26</v>
      </c>
      <c r="H593" s="2">
        <v>42122.682453703703</v>
      </c>
      <c r="I593" s="2">
        <v>43490.803564814807</v>
      </c>
      <c r="J593" t="s">
        <v>1749</v>
      </c>
    </row>
    <row r="594" spans="1:10" x14ac:dyDescent="0.15">
      <c r="A594">
        <v>23666134</v>
      </c>
      <c r="B594" s="3" t="str">
        <f>HYPERLINK("https://github.com/yosssi/gcss", "https://github.com/yosssi/gcss")</f>
        <v>https://github.com/yosssi/gcss</v>
      </c>
      <c r="D594">
        <v>417</v>
      </c>
      <c r="E594" t="s">
        <v>1750</v>
      </c>
      <c r="F594" t="s">
        <v>1751</v>
      </c>
      <c r="G594">
        <v>27</v>
      </c>
      <c r="H594" s="2">
        <v>41886.609953703701</v>
      </c>
      <c r="I594" s="2">
        <v>43572.539027777777</v>
      </c>
      <c r="J594" t="s">
        <v>1752</v>
      </c>
    </row>
    <row r="595" spans="1:10" x14ac:dyDescent="0.15">
      <c r="A595">
        <v>48967447</v>
      </c>
      <c r="B595" s="3" t="str">
        <f>HYPERLINK("https://github.com/teris-io/shortid", "https://github.com/teris-io/shortid")</f>
        <v>https://github.com/teris-io/shortid</v>
      </c>
      <c r="D595">
        <v>417</v>
      </c>
      <c r="E595" t="s">
        <v>1753</v>
      </c>
      <c r="F595" t="s">
        <v>1754</v>
      </c>
      <c r="G595">
        <v>30</v>
      </c>
      <c r="H595" s="2">
        <v>42373.053587962961</v>
      </c>
      <c r="I595" s="2">
        <v>43580.057708333326</v>
      </c>
      <c r="J595" t="s">
        <v>1755</v>
      </c>
    </row>
    <row r="596" spans="1:10" x14ac:dyDescent="0.15">
      <c r="A596">
        <v>76279648</v>
      </c>
      <c r="B596" s="3" t="str">
        <f>HYPERLINK("https://github.com/src-d/hercules", "https://github.com/src-d/hercules")</f>
        <v>https://github.com/src-d/hercules</v>
      </c>
      <c r="D596">
        <v>416</v>
      </c>
      <c r="E596" t="s">
        <v>1756</v>
      </c>
      <c r="F596" t="s">
        <v>1757</v>
      </c>
      <c r="G596">
        <v>43</v>
      </c>
      <c r="H596" s="2">
        <v>42716.729502314818</v>
      </c>
      <c r="I596" s="2">
        <v>43578.645092592589</v>
      </c>
      <c r="J596" t="s">
        <v>1758</v>
      </c>
    </row>
    <row r="597" spans="1:10" x14ac:dyDescent="0.15">
      <c r="A597">
        <v>159698099</v>
      </c>
      <c r="B597" s="3" t="str">
        <f>HYPERLINK("https://github.com/DimitarPetrov/stegify", "https://github.com/DimitarPetrov/stegify")</f>
        <v>https://github.com/DimitarPetrov/stegify</v>
      </c>
      <c r="D597">
        <v>415</v>
      </c>
      <c r="E597" t="s">
        <v>1759</v>
      </c>
      <c r="F597" t="s">
        <v>1760</v>
      </c>
      <c r="G597">
        <v>29</v>
      </c>
      <c r="H597" s="2">
        <v>43433.698587962957</v>
      </c>
      <c r="I597" s="2">
        <v>43577.280775462961</v>
      </c>
      <c r="J597" t="s">
        <v>1761</v>
      </c>
    </row>
    <row r="598" spans="1:10" x14ac:dyDescent="0.15">
      <c r="A598">
        <v>52764959</v>
      </c>
      <c r="B598" s="3" t="str">
        <f>HYPERLINK("https://github.com/azul3d/engine", "https://github.com/azul3d/engine")</f>
        <v>https://github.com/azul3d/engine</v>
      </c>
      <c r="D598">
        <v>414</v>
      </c>
      <c r="E598" t="s">
        <v>1396</v>
      </c>
      <c r="F598" t="s">
        <v>1762</v>
      </c>
      <c r="G598">
        <v>30</v>
      </c>
      <c r="H598" s="2">
        <v>42429.204675925917</v>
      </c>
      <c r="I598" s="2">
        <v>43580.426342592589</v>
      </c>
      <c r="J598" t="s">
        <v>1763</v>
      </c>
    </row>
    <row r="599" spans="1:10" x14ac:dyDescent="0.15">
      <c r="A599">
        <v>61715151</v>
      </c>
      <c r="B599" s="3" t="str">
        <f>HYPERLINK("https://github.com/mustafaakin/gongular", "https://github.com/mustafaakin/gongular")</f>
        <v>https://github.com/mustafaakin/gongular</v>
      </c>
      <c r="D599">
        <v>411</v>
      </c>
      <c r="E599" t="s">
        <v>1764</v>
      </c>
      <c r="F599" t="s">
        <v>1765</v>
      </c>
      <c r="G599">
        <v>15</v>
      </c>
      <c r="H599" s="2">
        <v>42543.494930555556</v>
      </c>
      <c r="I599" s="2">
        <v>43571.605069444442</v>
      </c>
      <c r="J599" t="s">
        <v>1766</v>
      </c>
    </row>
    <row r="600" spans="1:10" x14ac:dyDescent="0.15">
      <c r="A600">
        <v>45363664</v>
      </c>
      <c r="B600" s="3" t="str">
        <f>HYPERLINK("https://github.com/jcuga/golongpoll", "https://github.com/jcuga/golongpoll")</f>
        <v>https://github.com/jcuga/golongpoll</v>
      </c>
      <c r="D600">
        <v>408</v>
      </c>
      <c r="E600" t="s">
        <v>1767</v>
      </c>
      <c r="F600" t="s">
        <v>1768</v>
      </c>
      <c r="G600">
        <v>32</v>
      </c>
      <c r="H600" s="2">
        <v>42310.022870370369</v>
      </c>
      <c r="I600" s="2">
        <v>43578.344259259262</v>
      </c>
      <c r="J600" t="s">
        <v>1769</v>
      </c>
    </row>
    <row r="601" spans="1:10" x14ac:dyDescent="0.15">
      <c r="A601">
        <v>5567243</v>
      </c>
      <c r="B601" s="3" t="str">
        <f>HYPERLINK("https://github.com/soniah/gosnmp", "https://github.com/soniah/gosnmp")</f>
        <v>https://github.com/soniah/gosnmp</v>
      </c>
      <c r="D601">
        <v>407</v>
      </c>
      <c r="E601" t="s">
        <v>1770</v>
      </c>
      <c r="F601" t="s">
        <v>1771</v>
      </c>
      <c r="G601">
        <v>136</v>
      </c>
      <c r="H601" s="2">
        <v>41148.249583333331</v>
      </c>
      <c r="I601" s="2">
        <v>43580.388969907413</v>
      </c>
      <c r="J601" t="s">
        <v>1772</v>
      </c>
    </row>
    <row r="602" spans="1:10" x14ac:dyDescent="0.15">
      <c r="A602">
        <v>24897936</v>
      </c>
      <c r="B602" s="3" t="str">
        <f>HYPERLINK("https://github.com/sqs/goreturns", "https://github.com/sqs/goreturns")</f>
        <v>https://github.com/sqs/goreturns</v>
      </c>
      <c r="D602">
        <v>407</v>
      </c>
      <c r="E602" t="s">
        <v>1773</v>
      </c>
      <c r="F602" t="s">
        <v>1774</v>
      </c>
      <c r="G602">
        <v>38</v>
      </c>
      <c r="H602" s="2">
        <v>41919.658425925933</v>
      </c>
      <c r="I602" s="2">
        <v>43579.119768518518</v>
      </c>
      <c r="J602" t="s">
        <v>1775</v>
      </c>
    </row>
    <row r="603" spans="1:10" x14ac:dyDescent="0.15">
      <c r="A603">
        <v>73724173</v>
      </c>
      <c r="B603" s="3" t="str">
        <f>HYPERLINK("https://github.com/cossacklabs/acra", "https://github.com/cossacklabs/acra")</f>
        <v>https://github.com/cossacklabs/acra</v>
      </c>
      <c r="D603">
        <v>406</v>
      </c>
      <c r="E603" t="s">
        <v>1776</v>
      </c>
      <c r="F603" t="s">
        <v>1777</v>
      </c>
      <c r="G603">
        <v>37</v>
      </c>
      <c r="H603" s="2">
        <v>42688.682928240742</v>
      </c>
      <c r="I603" s="2">
        <v>43577.765127314808</v>
      </c>
      <c r="J603" t="s">
        <v>1778</v>
      </c>
    </row>
    <row r="604" spans="1:10" x14ac:dyDescent="0.15">
      <c r="A604">
        <v>17113616</v>
      </c>
      <c r="B604" s="3" t="str">
        <f>HYPERLINK("https://github.com/benbjohnson/ego", "https://github.com/benbjohnson/ego")</f>
        <v>https://github.com/benbjohnson/ego</v>
      </c>
      <c r="D604">
        <v>403</v>
      </c>
      <c r="E604" t="s">
        <v>1779</v>
      </c>
      <c r="F604" t="s">
        <v>1780</v>
      </c>
      <c r="G604">
        <v>30</v>
      </c>
      <c r="H604" s="2">
        <v>41693.760196759264</v>
      </c>
      <c r="I604" s="2">
        <v>43556.691932870373</v>
      </c>
      <c r="J604" t="s">
        <v>1781</v>
      </c>
    </row>
    <row r="605" spans="1:10" x14ac:dyDescent="0.15">
      <c r="A605">
        <v>50256578</v>
      </c>
      <c r="B605" s="3" t="str">
        <f>HYPERLINK("https://github.com/UnnoTed/fileb0x", "https://github.com/UnnoTed/fileb0x")</f>
        <v>https://github.com/UnnoTed/fileb0x</v>
      </c>
      <c r="D605">
        <v>401</v>
      </c>
      <c r="E605" t="s">
        <v>1782</v>
      </c>
      <c r="F605" t="s">
        <v>1783</v>
      </c>
      <c r="G605">
        <v>39</v>
      </c>
      <c r="H605" s="2">
        <v>42392.846909722219</v>
      </c>
      <c r="I605" s="2">
        <v>43580.369710648149</v>
      </c>
      <c r="J605" t="s">
        <v>1784</v>
      </c>
    </row>
    <row r="606" spans="1:10" x14ac:dyDescent="0.15">
      <c r="A606">
        <v>33417034</v>
      </c>
      <c r="B606" s="3" t="str">
        <f>HYPERLINK("https://github.com/quii/mockingjay-server", "https://github.com/quii/mockingjay-server")</f>
        <v>https://github.com/quii/mockingjay-server</v>
      </c>
      <c r="D606">
        <v>399</v>
      </c>
      <c r="E606" t="s">
        <v>1785</v>
      </c>
      <c r="F606" t="s">
        <v>1786</v>
      </c>
      <c r="G606">
        <v>48</v>
      </c>
      <c r="H606" s="2">
        <v>42098.804189814808</v>
      </c>
      <c r="I606" s="2">
        <v>43572.804363425923</v>
      </c>
      <c r="J606" t="s">
        <v>1787</v>
      </c>
    </row>
    <row r="607" spans="1:10" x14ac:dyDescent="0.15">
      <c r="A607">
        <v>158756762</v>
      </c>
      <c r="B607" s="3" t="str">
        <f>HYPERLINK("https://github.com/VictoriaMetrics/fastcache", "https://github.com/VictoriaMetrics/fastcache")</f>
        <v>https://github.com/VictoriaMetrics/fastcache</v>
      </c>
      <c r="D607">
        <v>395</v>
      </c>
      <c r="E607" t="s">
        <v>1788</v>
      </c>
      <c r="F607" t="s">
        <v>1789</v>
      </c>
      <c r="G607">
        <v>18</v>
      </c>
      <c r="H607" s="2">
        <v>43426.951539351852</v>
      </c>
      <c r="I607" s="2">
        <v>43580.535115740742</v>
      </c>
      <c r="J607" t="s">
        <v>1790</v>
      </c>
    </row>
    <row r="608" spans="1:10" x14ac:dyDescent="0.15">
      <c r="A608">
        <v>18731595</v>
      </c>
      <c r="B608" s="3" t="str">
        <f>HYPERLINK("https://github.com/gansidui/gotcp", "https://github.com/gansidui/gotcp")</f>
        <v>https://github.com/gansidui/gotcp</v>
      </c>
      <c r="D608">
        <v>394</v>
      </c>
      <c r="E608" t="s">
        <v>1791</v>
      </c>
      <c r="F608" t="s">
        <v>1792</v>
      </c>
      <c r="G608">
        <v>143</v>
      </c>
      <c r="H608" s="2">
        <v>41742.620844907397</v>
      </c>
      <c r="I608" s="2">
        <v>43580.469722222217</v>
      </c>
      <c r="J608" t="s">
        <v>1793</v>
      </c>
    </row>
    <row r="609" spans="1:10" x14ac:dyDescent="0.15">
      <c r="A609">
        <v>11822870</v>
      </c>
      <c r="B609" s="3" t="str">
        <f>HYPERLINK("https://github.com/VividCortex/godaemon", "https://github.com/VividCortex/godaemon")</f>
        <v>https://github.com/VividCortex/godaemon</v>
      </c>
      <c r="D609">
        <v>392</v>
      </c>
      <c r="E609" t="s">
        <v>1794</v>
      </c>
      <c r="F609" t="s">
        <v>1795</v>
      </c>
      <c r="G609">
        <v>37</v>
      </c>
      <c r="H609" s="2">
        <v>41487.71979166667</v>
      </c>
      <c r="I609" s="2">
        <v>43570.698564814818</v>
      </c>
      <c r="J609" t="s">
        <v>1796</v>
      </c>
    </row>
    <row r="610" spans="1:10" x14ac:dyDescent="0.15">
      <c r="A610">
        <v>133641473</v>
      </c>
      <c r="B610" s="3" t="str">
        <f>HYPERLINK("https://github.com/miguelmota/ethereum-development-with-go-book", "https://github.com/miguelmota/ethereum-development-with-go-book")</f>
        <v>https://github.com/miguelmota/ethereum-development-with-go-book</v>
      </c>
      <c r="D610">
        <v>392</v>
      </c>
      <c r="E610" t="s">
        <v>1797</v>
      </c>
      <c r="F610" t="s">
        <v>1798</v>
      </c>
      <c r="G610">
        <v>88</v>
      </c>
      <c r="H610" s="2">
        <v>43236.390925925924</v>
      </c>
      <c r="I610" s="2">
        <v>43578.688993055563</v>
      </c>
      <c r="J610" t="s">
        <v>1799</v>
      </c>
    </row>
    <row r="611" spans="1:10" x14ac:dyDescent="0.15">
      <c r="A611">
        <v>40097643</v>
      </c>
      <c r="B611" s="3" t="str">
        <f>HYPERLINK("https://github.com/gorilla/csrf", "https://github.com/gorilla/csrf")</f>
        <v>https://github.com/gorilla/csrf</v>
      </c>
      <c r="D611">
        <v>389</v>
      </c>
      <c r="E611" t="s">
        <v>1800</v>
      </c>
      <c r="F611" t="s">
        <v>1801</v>
      </c>
      <c r="G611">
        <v>61</v>
      </c>
      <c r="H611" s="2">
        <v>42219.02449074074</v>
      </c>
      <c r="I611" s="2">
        <v>43578.021574074082</v>
      </c>
      <c r="J611" t="s">
        <v>1802</v>
      </c>
    </row>
    <row r="612" spans="1:10" x14ac:dyDescent="0.15">
      <c r="A612">
        <v>30316179</v>
      </c>
      <c r="B612" s="3" t="str">
        <f>HYPERLINK("https://github.com/ivpusic/neo", "https://github.com/ivpusic/neo")</f>
        <v>https://github.com/ivpusic/neo</v>
      </c>
      <c r="D612">
        <v>388</v>
      </c>
      <c r="E612" t="s">
        <v>1803</v>
      </c>
      <c r="F612" t="s">
        <v>1804</v>
      </c>
      <c r="G612">
        <v>38</v>
      </c>
      <c r="H612" s="2">
        <v>42039.802847222221</v>
      </c>
      <c r="I612" s="2">
        <v>43546.701805555553</v>
      </c>
      <c r="J612" t="s">
        <v>1805</v>
      </c>
    </row>
    <row r="613" spans="1:10" x14ac:dyDescent="0.15">
      <c r="A613">
        <v>17494220</v>
      </c>
      <c r="B613" s="3" t="str">
        <f>HYPERLINK("https://github.com/derekparker/trie", "https://github.com/derekparker/trie")</f>
        <v>https://github.com/derekparker/trie</v>
      </c>
      <c r="D613">
        <v>386</v>
      </c>
      <c r="E613" t="s">
        <v>1806</v>
      </c>
      <c r="F613" t="s">
        <v>1807</v>
      </c>
      <c r="G613">
        <v>60</v>
      </c>
      <c r="H613" s="2">
        <v>41704.917928240742</v>
      </c>
      <c r="I613" s="2">
        <v>43578.130659722221</v>
      </c>
      <c r="J613" t="s">
        <v>1808</v>
      </c>
    </row>
    <row r="614" spans="1:10" x14ac:dyDescent="0.15">
      <c r="A614">
        <v>15733160</v>
      </c>
      <c r="B614" s="3" t="str">
        <f>HYPERLINK("https://github.com/tardisgo/tardisgo", "https://github.com/tardisgo/tardisgo")</f>
        <v>https://github.com/tardisgo/tardisgo</v>
      </c>
      <c r="D614">
        <v>386</v>
      </c>
      <c r="E614" t="s">
        <v>1809</v>
      </c>
      <c r="F614" t="s">
        <v>1810</v>
      </c>
      <c r="G614">
        <v>22</v>
      </c>
      <c r="H614" s="2">
        <v>41647.463576388887</v>
      </c>
      <c r="I614" s="2">
        <v>43571.022766203707</v>
      </c>
      <c r="J614" t="s">
        <v>1811</v>
      </c>
    </row>
    <row r="615" spans="1:10" x14ac:dyDescent="0.15">
      <c r="A615">
        <v>144708327</v>
      </c>
      <c r="B615" s="3" t="str">
        <f>HYPERLINK("https://github.com/zhenghaoz/gorse", "https://github.com/zhenghaoz/gorse")</f>
        <v>https://github.com/zhenghaoz/gorse</v>
      </c>
      <c r="D615">
        <v>384</v>
      </c>
      <c r="E615" t="s">
        <v>1812</v>
      </c>
      <c r="F615" t="s">
        <v>1813</v>
      </c>
      <c r="G615">
        <v>40</v>
      </c>
      <c r="H615" s="2">
        <v>43326.459131944437</v>
      </c>
      <c r="I615" s="2">
        <v>43580.44332175926</v>
      </c>
      <c r="J615" t="s">
        <v>1814</v>
      </c>
    </row>
    <row r="616" spans="1:10" x14ac:dyDescent="0.15">
      <c r="A616">
        <v>19664994</v>
      </c>
      <c r="B616" s="3" t="str">
        <f>HYPERLINK("https://github.com/TimothyYe/godns", "https://github.com/TimothyYe/godns")</f>
        <v>https://github.com/TimothyYe/godns</v>
      </c>
      <c r="D616">
        <v>379</v>
      </c>
      <c r="E616" t="s">
        <v>1815</v>
      </c>
      <c r="F616" t="s">
        <v>1816</v>
      </c>
      <c r="G616">
        <v>69</v>
      </c>
      <c r="H616" s="2">
        <v>41770.49255787037</v>
      </c>
      <c r="I616" s="2">
        <v>43579.700104166674</v>
      </c>
      <c r="J616" t="s">
        <v>1817</v>
      </c>
    </row>
    <row r="617" spans="1:10" x14ac:dyDescent="0.15">
      <c r="A617">
        <v>24227197</v>
      </c>
      <c r="B617" s="3" t="str">
        <f>HYPERLINK("https://github.com/llir/llvm", "https://github.com/llir/llvm")</f>
        <v>https://github.com/llir/llvm</v>
      </c>
      <c r="D617">
        <v>378</v>
      </c>
      <c r="E617" t="s">
        <v>1818</v>
      </c>
      <c r="F617" t="s">
        <v>1819</v>
      </c>
      <c r="G617">
        <v>30</v>
      </c>
      <c r="H617" s="2">
        <v>41901.471342592587</v>
      </c>
      <c r="I617" s="2">
        <v>43576.537604166668</v>
      </c>
      <c r="J617" t="s">
        <v>1820</v>
      </c>
    </row>
    <row r="618" spans="1:10" x14ac:dyDescent="0.15">
      <c r="A618">
        <v>19794492</v>
      </c>
      <c r="B618" s="3" t="str">
        <f>HYPERLINK("https://github.com/dimfeld/httptreemux", "https://github.com/dimfeld/httptreemux")</f>
        <v>https://github.com/dimfeld/httptreemux</v>
      </c>
      <c r="D618">
        <v>376</v>
      </c>
      <c r="E618" t="s">
        <v>1821</v>
      </c>
      <c r="F618" t="s">
        <v>1822</v>
      </c>
      <c r="G618">
        <v>37</v>
      </c>
      <c r="H618" s="2">
        <v>41773.840509259258</v>
      </c>
      <c r="I618" s="2">
        <v>43576.266400462962</v>
      </c>
      <c r="J618" t="s">
        <v>1823</v>
      </c>
    </row>
    <row r="619" spans="1:10" x14ac:dyDescent="0.15">
      <c r="A619">
        <v>3581394</v>
      </c>
      <c r="B619" s="3" t="str">
        <f>HYPERLINK("https://github.com/mattn/go-oci8", "https://github.com/mattn/go-oci8")</f>
        <v>https://github.com/mattn/go-oci8</v>
      </c>
      <c r="D619">
        <v>375</v>
      </c>
      <c r="E619" t="s">
        <v>1824</v>
      </c>
      <c r="F619" t="s">
        <v>1825</v>
      </c>
      <c r="G619">
        <v>173</v>
      </c>
      <c r="H619" s="2">
        <v>40968.513379629629</v>
      </c>
      <c r="I619" s="2">
        <v>43575.074976851851</v>
      </c>
      <c r="J619" t="s">
        <v>1826</v>
      </c>
    </row>
    <row r="620" spans="1:10" x14ac:dyDescent="0.15">
      <c r="A620">
        <v>48551683</v>
      </c>
      <c r="B620" s="3" t="str">
        <f>HYPERLINK("https://github.com/go-playground/lars", "https://github.com/go-playground/lars")</f>
        <v>https://github.com/go-playground/lars</v>
      </c>
      <c r="D620">
        <v>374</v>
      </c>
      <c r="E620" t="s">
        <v>1827</v>
      </c>
      <c r="F620" t="s">
        <v>1828</v>
      </c>
      <c r="G620">
        <v>19</v>
      </c>
      <c r="H620" s="2">
        <v>42362.728298611109</v>
      </c>
      <c r="I620" s="2">
        <v>43565.77207175926</v>
      </c>
      <c r="J620" t="s">
        <v>1829</v>
      </c>
    </row>
    <row r="621" spans="1:10" x14ac:dyDescent="0.15">
      <c r="A621">
        <v>70373526</v>
      </c>
      <c r="B621" s="3" t="str">
        <f>HYPERLINK("https://github.com/xuri/aurora", "https://github.com/xuri/aurora")</f>
        <v>https://github.com/xuri/aurora</v>
      </c>
      <c r="D621">
        <v>370</v>
      </c>
      <c r="E621" t="s">
        <v>1560</v>
      </c>
      <c r="F621" t="s">
        <v>1830</v>
      </c>
      <c r="G621">
        <v>55</v>
      </c>
      <c r="H621" s="2">
        <v>42652.137395833342</v>
      </c>
      <c r="I621" s="2">
        <v>43575.353518518517</v>
      </c>
      <c r="J621" t="s">
        <v>1831</v>
      </c>
    </row>
    <row r="622" spans="1:10" x14ac:dyDescent="0.15">
      <c r="A622">
        <v>120609906</v>
      </c>
      <c r="B622" s="3" t="str">
        <f>HYPERLINK("https://github.com/jteeuwen/go-bindata", "https://github.com/jteeuwen/go-bindata")</f>
        <v>https://github.com/jteeuwen/go-bindata</v>
      </c>
      <c r="D622">
        <v>368</v>
      </c>
      <c r="E622" t="s">
        <v>1832</v>
      </c>
      <c r="F622" t="s">
        <v>1833</v>
      </c>
      <c r="G622">
        <v>114</v>
      </c>
      <c r="H622" s="2">
        <v>43138.502696759257</v>
      </c>
      <c r="I622" s="2">
        <v>43580.149537037039</v>
      </c>
      <c r="J622" t="s">
        <v>1834</v>
      </c>
    </row>
    <row r="623" spans="1:10" x14ac:dyDescent="0.15">
      <c r="A623">
        <v>21228174</v>
      </c>
      <c r="B623" s="3" t="str">
        <f>HYPERLINK("https://github.com/ikawaha/kagome", "https://github.com/ikawaha/kagome")</f>
        <v>https://github.com/ikawaha/kagome</v>
      </c>
      <c r="D623">
        <v>364</v>
      </c>
      <c r="E623" t="s">
        <v>1835</v>
      </c>
      <c r="F623" t="s">
        <v>1836</v>
      </c>
      <c r="G623">
        <v>27</v>
      </c>
      <c r="H623" s="2">
        <v>41816.193206018521</v>
      </c>
      <c r="I623" s="2">
        <v>43574.611956018518</v>
      </c>
      <c r="J623" t="s">
        <v>1837</v>
      </c>
    </row>
    <row r="624" spans="1:10" x14ac:dyDescent="0.15">
      <c r="A624">
        <v>43912516</v>
      </c>
      <c r="B624" s="3" t="str">
        <f>HYPERLINK("https://github.com/Sioro-Neoku/go-peerflix", "https://github.com/Sioro-Neoku/go-peerflix")</f>
        <v>https://github.com/Sioro-Neoku/go-peerflix</v>
      </c>
      <c r="D624">
        <v>364</v>
      </c>
      <c r="E624" t="s">
        <v>1838</v>
      </c>
      <c r="F624" t="s">
        <v>1839</v>
      </c>
      <c r="G624">
        <v>58</v>
      </c>
      <c r="H624" s="2">
        <v>42285.822766203702</v>
      </c>
      <c r="I624" s="2">
        <v>43576.906956018523</v>
      </c>
      <c r="J624" t="s">
        <v>1840</v>
      </c>
    </row>
    <row r="625" spans="1:10" x14ac:dyDescent="0.15">
      <c r="A625">
        <v>32037384</v>
      </c>
      <c r="B625" s="3" t="str">
        <f>HYPERLINK("https://github.com/msoap/shell2http", "https://github.com/msoap/shell2http")</f>
        <v>https://github.com/msoap/shell2http</v>
      </c>
      <c r="D625">
        <v>364</v>
      </c>
      <c r="E625" t="s">
        <v>1841</v>
      </c>
      <c r="F625" t="s">
        <v>1842</v>
      </c>
      <c r="G625">
        <v>47</v>
      </c>
      <c r="H625" s="2">
        <v>42074.818854166668</v>
      </c>
      <c r="I625" s="2">
        <v>43580.446284722217</v>
      </c>
      <c r="J625" t="s">
        <v>1843</v>
      </c>
    </row>
    <row r="626" spans="1:10" x14ac:dyDescent="0.15">
      <c r="A626">
        <v>80191982</v>
      </c>
      <c r="B626" s="3" t="str">
        <f>HYPERLINK("https://github.com/gen2brain/raylib-go", "https://github.com/gen2brain/raylib-go")</f>
        <v>https://github.com/gen2brain/raylib-go</v>
      </c>
      <c r="D626">
        <v>361</v>
      </c>
      <c r="E626" t="s">
        <v>1844</v>
      </c>
      <c r="F626" t="s">
        <v>1845</v>
      </c>
      <c r="G626">
        <v>34</v>
      </c>
      <c r="H626" s="2">
        <v>42762.355381944442</v>
      </c>
      <c r="I626" s="2">
        <v>43579.488553240742</v>
      </c>
      <c r="J626" t="s">
        <v>1846</v>
      </c>
    </row>
    <row r="627" spans="1:10" x14ac:dyDescent="0.15">
      <c r="A627">
        <v>3197798</v>
      </c>
      <c r="B627" s="3" t="str">
        <f>HYPERLINK("https://github.com/jmhodges/levigo", "https://github.com/jmhodges/levigo")</f>
        <v>https://github.com/jmhodges/levigo</v>
      </c>
      <c r="D627">
        <v>360</v>
      </c>
      <c r="E627" t="s">
        <v>1847</v>
      </c>
      <c r="F627" t="s">
        <v>1848</v>
      </c>
      <c r="G627">
        <v>76</v>
      </c>
      <c r="H627" s="2">
        <v>40925.345763888887</v>
      </c>
      <c r="I627" s="2">
        <v>43571.837858796287</v>
      </c>
      <c r="J627" t="s">
        <v>1849</v>
      </c>
    </row>
    <row r="628" spans="1:10" x14ac:dyDescent="0.15">
      <c r="A628">
        <v>90259571</v>
      </c>
      <c r="B628" s="3" t="str">
        <f>HYPERLINK("https://github.com/hajimehoshi/oto", "https://github.com/hajimehoshi/oto")</f>
        <v>https://github.com/hajimehoshi/oto</v>
      </c>
      <c r="D628">
        <v>357</v>
      </c>
      <c r="E628" t="s">
        <v>1850</v>
      </c>
      <c r="F628" t="s">
        <v>1851</v>
      </c>
      <c r="G628">
        <v>22</v>
      </c>
      <c r="H628" s="2">
        <v>42859.511458333327</v>
      </c>
      <c r="I628" s="2">
        <v>43579.101770833331</v>
      </c>
      <c r="J628" t="s">
        <v>1852</v>
      </c>
    </row>
    <row r="629" spans="1:10" x14ac:dyDescent="0.15">
      <c r="A629">
        <v>100917065</v>
      </c>
      <c r="B629" s="3" t="str">
        <f>HYPERLINK("https://github.com/yl2chen/cidranger", "https://github.com/yl2chen/cidranger")</f>
        <v>https://github.com/yl2chen/cidranger</v>
      </c>
      <c r="D629">
        <v>357</v>
      </c>
      <c r="E629" t="s">
        <v>1853</v>
      </c>
      <c r="F629" t="s">
        <v>1854</v>
      </c>
      <c r="G629">
        <v>24</v>
      </c>
      <c r="H629" s="2">
        <v>42968.243217592593</v>
      </c>
      <c r="I629" s="2">
        <v>43579.652013888888</v>
      </c>
      <c r="J629" t="s">
        <v>1855</v>
      </c>
    </row>
    <row r="630" spans="1:10" x14ac:dyDescent="0.15">
      <c r="A630">
        <v>64796638</v>
      </c>
      <c r="B630" s="3" t="str">
        <f>HYPERLINK("https://github.com/ahmetb/govvv", "https://github.com/ahmetb/govvv")</f>
        <v>https://github.com/ahmetb/govvv</v>
      </c>
      <c r="D630">
        <v>357</v>
      </c>
      <c r="E630" t="s">
        <v>1856</v>
      </c>
      <c r="F630" t="s">
        <v>1857</v>
      </c>
      <c r="G630">
        <v>17</v>
      </c>
      <c r="H630" s="2">
        <v>42584.9377662037</v>
      </c>
      <c r="I630" s="2">
        <v>43578.59443287037</v>
      </c>
      <c r="J630" t="s">
        <v>1858</v>
      </c>
    </row>
    <row r="631" spans="1:10" x14ac:dyDescent="0.15">
      <c r="A631">
        <v>78035735</v>
      </c>
      <c r="B631" s="3" t="str">
        <f>HYPERLINK("https://github.com/kyoh86/richgo", "https://github.com/kyoh86/richgo")</f>
        <v>https://github.com/kyoh86/richgo</v>
      </c>
      <c r="D631">
        <v>354</v>
      </c>
      <c r="E631" t="s">
        <v>1859</v>
      </c>
      <c r="F631" t="s">
        <v>1860</v>
      </c>
      <c r="G631">
        <v>5</v>
      </c>
      <c r="H631" s="2">
        <v>42739.712465277778</v>
      </c>
      <c r="I631" s="2">
        <v>43580.211631944447</v>
      </c>
      <c r="J631" t="s">
        <v>1861</v>
      </c>
    </row>
    <row r="632" spans="1:10" x14ac:dyDescent="0.15">
      <c r="A632">
        <v>111298448</v>
      </c>
      <c r="B632" s="3" t="str">
        <f>HYPERLINK("https://github.com/aldor007/mort", "https://github.com/aldor007/mort")</f>
        <v>https://github.com/aldor007/mort</v>
      </c>
      <c r="D632">
        <v>354</v>
      </c>
      <c r="E632" t="s">
        <v>1862</v>
      </c>
      <c r="F632" t="s">
        <v>1863</v>
      </c>
      <c r="G632">
        <v>13</v>
      </c>
      <c r="H632" s="2">
        <v>43058.568032407413</v>
      </c>
      <c r="I632" s="2">
        <v>43578.432129629633</v>
      </c>
      <c r="J632" t="s">
        <v>1864</v>
      </c>
    </row>
    <row r="633" spans="1:10" x14ac:dyDescent="0.15">
      <c r="A633">
        <v>34498446</v>
      </c>
      <c r="B633" s="3" t="str">
        <f>HYPERLINK("https://github.com/brianvoe/gofakeit", "https://github.com/brianvoe/gofakeit")</f>
        <v>https://github.com/brianvoe/gofakeit</v>
      </c>
      <c r="D633">
        <v>353</v>
      </c>
      <c r="E633" t="s">
        <v>1865</v>
      </c>
      <c r="F633" t="s">
        <v>1866</v>
      </c>
      <c r="G633">
        <v>28</v>
      </c>
      <c r="H633" s="2">
        <v>42118.198599537027</v>
      </c>
      <c r="I633" s="2">
        <v>43578.183506944442</v>
      </c>
      <c r="J633" t="s">
        <v>1867</v>
      </c>
    </row>
    <row r="634" spans="1:10" x14ac:dyDescent="0.15">
      <c r="A634">
        <v>22405117</v>
      </c>
      <c r="B634" s="3" t="str">
        <f>HYPERLINK("https://github.com/mattn/go-colorable", "https://github.com/mattn/go-colorable")</f>
        <v>https://github.com/mattn/go-colorable</v>
      </c>
      <c r="D634">
        <v>352</v>
      </c>
      <c r="E634" t="s">
        <v>1868</v>
      </c>
      <c r="G634">
        <v>48</v>
      </c>
      <c r="H634" s="2">
        <v>41850.109791666669</v>
      </c>
      <c r="I634" s="2">
        <v>43577.29351851852</v>
      </c>
      <c r="J634" t="s">
        <v>1869</v>
      </c>
    </row>
    <row r="635" spans="1:10" x14ac:dyDescent="0.15">
      <c r="A635">
        <v>53451609</v>
      </c>
      <c r="B635" s="3" t="str">
        <f>HYPERLINK("https://github.com/dimiro1/health", "https://github.com/dimiro1/health")</f>
        <v>https://github.com/dimiro1/health</v>
      </c>
      <c r="D635">
        <v>352</v>
      </c>
      <c r="E635" t="s">
        <v>1870</v>
      </c>
      <c r="F635" t="s">
        <v>1871</v>
      </c>
      <c r="G635">
        <v>32</v>
      </c>
      <c r="H635" s="2">
        <v>42437.961608796293</v>
      </c>
      <c r="I635" s="2">
        <v>43572.801203703697</v>
      </c>
      <c r="J635" t="s">
        <v>1872</v>
      </c>
    </row>
    <row r="636" spans="1:10" x14ac:dyDescent="0.15">
      <c r="A636">
        <v>72894587</v>
      </c>
      <c r="B636" s="3" t="str">
        <f>HYPERLINK("https://github.com/markphelps/flipt", "https://github.com/markphelps/flipt")</f>
        <v>https://github.com/markphelps/flipt</v>
      </c>
      <c r="D636">
        <v>352</v>
      </c>
      <c r="E636" t="s">
        <v>1873</v>
      </c>
      <c r="F636" t="s">
        <v>1874</v>
      </c>
      <c r="G636">
        <v>17</v>
      </c>
      <c r="H636" s="2">
        <v>42679.006331018521</v>
      </c>
      <c r="I636" s="2">
        <v>43576.530763888892</v>
      </c>
      <c r="J636" t="s">
        <v>1875</v>
      </c>
    </row>
    <row r="637" spans="1:10" x14ac:dyDescent="0.15">
      <c r="A637">
        <v>5000397</v>
      </c>
      <c r="B637" s="3" t="str">
        <f>HYPERLINK("https://github.com/jmcvetta/neoism", "https://github.com/jmcvetta/neoism")</f>
        <v>https://github.com/jmcvetta/neoism</v>
      </c>
      <c r="D637">
        <v>351</v>
      </c>
      <c r="E637" t="s">
        <v>1876</v>
      </c>
      <c r="F637" t="s">
        <v>1877</v>
      </c>
      <c r="G637">
        <v>51</v>
      </c>
      <c r="H637" s="2">
        <v>41102.321215277778</v>
      </c>
      <c r="I637" s="2">
        <v>43551.440659722219</v>
      </c>
      <c r="J637" t="s">
        <v>1878</v>
      </c>
    </row>
    <row r="638" spans="1:10" x14ac:dyDescent="0.15">
      <c r="A638">
        <v>79992041</v>
      </c>
      <c r="B638" s="3" t="str">
        <f>HYPERLINK("https://github.com/shixzie/nlp", "https://github.com/shixzie/nlp")</f>
        <v>https://github.com/shixzie/nlp</v>
      </c>
      <c r="D638">
        <v>350</v>
      </c>
      <c r="E638" t="s">
        <v>1879</v>
      </c>
      <c r="F638" t="s">
        <v>1880</v>
      </c>
      <c r="G638">
        <v>25</v>
      </c>
      <c r="H638" s="2">
        <v>42760.304895833331</v>
      </c>
      <c r="I638" s="2">
        <v>43565.383680555547</v>
      </c>
      <c r="J638" t="s">
        <v>1881</v>
      </c>
    </row>
    <row r="639" spans="1:10" x14ac:dyDescent="0.15">
      <c r="A639">
        <v>45007925</v>
      </c>
      <c r="B639" s="3" t="str">
        <f>HYPERLINK("https://github.com/go-ozzo/ozzo-routing", "https://github.com/go-ozzo/ozzo-routing")</f>
        <v>https://github.com/go-ozzo/ozzo-routing</v>
      </c>
      <c r="D639">
        <v>350</v>
      </c>
      <c r="E639" t="s">
        <v>1882</v>
      </c>
      <c r="F639" t="s">
        <v>1883</v>
      </c>
      <c r="G639">
        <v>51</v>
      </c>
      <c r="H639" s="2">
        <v>42304.043912037043</v>
      </c>
      <c r="I639" s="2">
        <v>43578.339942129627</v>
      </c>
      <c r="J639" t="s">
        <v>1884</v>
      </c>
    </row>
    <row r="640" spans="1:10" x14ac:dyDescent="0.15">
      <c r="A640">
        <v>163722349</v>
      </c>
      <c r="B640" s="3" t="str">
        <f>HYPERLINK("https://github.com/pomerium/pomerium", "https://github.com/pomerium/pomerium")</f>
        <v>https://github.com/pomerium/pomerium</v>
      </c>
      <c r="D640">
        <v>350</v>
      </c>
      <c r="E640" t="s">
        <v>1885</v>
      </c>
      <c r="F640" t="s">
        <v>1886</v>
      </c>
      <c r="G640">
        <v>13</v>
      </c>
      <c r="H640" s="2">
        <v>43466.336539351847</v>
      </c>
      <c r="I640" s="2">
        <v>43580.267557870371</v>
      </c>
      <c r="J640" t="s">
        <v>1887</v>
      </c>
    </row>
    <row r="641" spans="1:10" x14ac:dyDescent="0.15">
      <c r="A641">
        <v>24373540</v>
      </c>
      <c r="B641" s="3" t="str">
        <f>HYPERLINK("https://github.com/VividCortex/siesta", "https://github.com/VividCortex/siesta")</f>
        <v>https://github.com/VividCortex/siesta</v>
      </c>
      <c r="D641">
        <v>348</v>
      </c>
      <c r="E641" t="s">
        <v>1888</v>
      </c>
      <c r="F641" t="s">
        <v>1889</v>
      </c>
      <c r="G641">
        <v>15</v>
      </c>
      <c r="H641" s="2">
        <v>41905.580509259264</v>
      </c>
      <c r="I641" s="2">
        <v>43536.514652777783</v>
      </c>
      <c r="J641" t="s">
        <v>1890</v>
      </c>
    </row>
    <row r="642" spans="1:10" x14ac:dyDescent="0.15">
      <c r="A642">
        <v>19277524</v>
      </c>
      <c r="B642" s="3" t="str">
        <f>HYPERLINK("https://github.com/goml/gobrain", "https://github.com/goml/gobrain")</f>
        <v>https://github.com/goml/gobrain</v>
      </c>
      <c r="D642">
        <v>347</v>
      </c>
      <c r="E642" t="s">
        <v>1891</v>
      </c>
      <c r="F642" t="s">
        <v>1892</v>
      </c>
      <c r="G642">
        <v>47</v>
      </c>
      <c r="H642" s="2">
        <v>41758.564305555563</v>
      </c>
      <c r="I642" s="2">
        <v>43574.492800925917</v>
      </c>
      <c r="J642" t="s">
        <v>1893</v>
      </c>
    </row>
    <row r="643" spans="1:10" x14ac:dyDescent="0.15">
      <c r="A643">
        <v>3744115</v>
      </c>
      <c r="B643" s="3" t="str">
        <f>HYPERLINK("https://github.com/bradrydzewski/go.auth", "https://github.com/bradrydzewski/go.auth")</f>
        <v>https://github.com/bradrydzewski/go.auth</v>
      </c>
      <c r="D643">
        <v>347</v>
      </c>
      <c r="E643" t="s">
        <v>1894</v>
      </c>
      <c r="F643" t="s">
        <v>1895</v>
      </c>
      <c r="G643">
        <v>33</v>
      </c>
      <c r="H643" s="2">
        <v>40984.985486111109</v>
      </c>
      <c r="I643" s="2">
        <v>43555.212129629632</v>
      </c>
      <c r="J643" t="s">
        <v>1896</v>
      </c>
    </row>
    <row r="644" spans="1:10" x14ac:dyDescent="0.15">
      <c r="A644">
        <v>21348382</v>
      </c>
      <c r="B644" s="3" t="str">
        <f>HYPERLINK("https://github.com/yuroyoro/goast-viewer", "https://github.com/yuroyoro/goast-viewer")</f>
        <v>https://github.com/yuroyoro/goast-viewer</v>
      </c>
      <c r="D644">
        <v>346</v>
      </c>
      <c r="E644" t="s">
        <v>1897</v>
      </c>
      <c r="F644" t="s">
        <v>1898</v>
      </c>
      <c r="G644">
        <v>31</v>
      </c>
      <c r="H644" s="2">
        <v>41820.464594907397</v>
      </c>
      <c r="I644" s="2">
        <v>43576.310787037037</v>
      </c>
      <c r="J644" t="s">
        <v>1899</v>
      </c>
    </row>
    <row r="645" spans="1:10" x14ac:dyDescent="0.15">
      <c r="A645">
        <v>378159</v>
      </c>
      <c r="B645" s="3" t="str">
        <f>HYPERLINK("https://github.com/akrennmair/gopcap", "https://github.com/akrennmair/gopcap")</f>
        <v>https://github.com/akrennmair/gopcap</v>
      </c>
      <c r="D645">
        <v>344</v>
      </c>
      <c r="E645" t="s">
        <v>1900</v>
      </c>
      <c r="F645" t="s">
        <v>1901</v>
      </c>
      <c r="G645">
        <v>122</v>
      </c>
      <c r="H645" s="2">
        <v>40136.426249999997</v>
      </c>
      <c r="I645" s="2">
        <v>43580.143506944441</v>
      </c>
      <c r="J645" t="s">
        <v>1902</v>
      </c>
    </row>
    <row r="646" spans="1:10" x14ac:dyDescent="0.15">
      <c r="A646">
        <v>130617950</v>
      </c>
      <c r="B646" s="3" t="str">
        <f>HYPERLINK("https://github.com/schollz/peerdiscovery", "https://github.com/schollz/peerdiscovery")</f>
        <v>https://github.com/schollz/peerdiscovery</v>
      </c>
      <c r="D646">
        <v>343</v>
      </c>
      <c r="E646" t="s">
        <v>1903</v>
      </c>
      <c r="F646" t="s">
        <v>1904</v>
      </c>
      <c r="G646">
        <v>17</v>
      </c>
      <c r="H646" s="2">
        <v>43212.9997337963</v>
      </c>
      <c r="I646" s="2">
        <v>43577.645324074067</v>
      </c>
      <c r="J646" t="s">
        <v>1905</v>
      </c>
    </row>
    <row r="647" spans="1:10" x14ac:dyDescent="0.15">
      <c r="A647">
        <v>18283807</v>
      </c>
      <c r="B647" s="3" t="str">
        <f>HYPERLINK("https://github.com/gosimple/slug", "https://github.com/gosimple/slug")</f>
        <v>https://github.com/gosimple/slug</v>
      </c>
      <c r="D647">
        <v>343</v>
      </c>
      <c r="E647" t="s">
        <v>1906</v>
      </c>
      <c r="F647" t="s">
        <v>1907</v>
      </c>
      <c r="G647">
        <v>40</v>
      </c>
      <c r="H647" s="2">
        <v>41729.267256944448</v>
      </c>
      <c r="I647" s="2">
        <v>43575.427754629629</v>
      </c>
      <c r="J647" t="s">
        <v>1908</v>
      </c>
    </row>
    <row r="648" spans="1:10" x14ac:dyDescent="0.15">
      <c r="A648">
        <v>28288319</v>
      </c>
      <c r="B648" s="3" t="str">
        <f>HYPERLINK("https://github.com/mozillazg/request", "https://github.com/mozillazg/request")</f>
        <v>https://github.com/mozillazg/request</v>
      </c>
      <c r="D648">
        <v>341</v>
      </c>
      <c r="E648" t="s">
        <v>1909</v>
      </c>
      <c r="F648" t="s">
        <v>1910</v>
      </c>
      <c r="G648">
        <v>32</v>
      </c>
      <c r="H648" s="2">
        <v>41994.187986111108</v>
      </c>
      <c r="I648" s="2">
        <v>43579.412152777782</v>
      </c>
      <c r="J648" t="s">
        <v>1911</v>
      </c>
    </row>
    <row r="649" spans="1:10" x14ac:dyDescent="0.15">
      <c r="A649">
        <v>59752363</v>
      </c>
      <c r="B649" s="3" t="str">
        <f>HYPERLINK("https://github.com/go-playground/form", "https://github.com/go-playground/form")</f>
        <v>https://github.com/go-playground/form</v>
      </c>
      <c r="D649">
        <v>339</v>
      </c>
      <c r="E649" t="s">
        <v>1912</v>
      </c>
      <c r="F649" t="s">
        <v>1913</v>
      </c>
      <c r="G649">
        <v>21</v>
      </c>
      <c r="H649" s="2">
        <v>42516.560185185182</v>
      </c>
      <c r="I649" s="2">
        <v>43579.164363425924</v>
      </c>
      <c r="J649" t="s">
        <v>1914</v>
      </c>
    </row>
    <row r="650" spans="1:10" x14ac:dyDescent="0.15">
      <c r="A650">
        <v>18187912</v>
      </c>
      <c r="B650" s="3" t="str">
        <f>HYPERLINK("https://github.com/godbus/dbus", "https://github.com/godbus/dbus")</f>
        <v>https://github.com/godbus/dbus</v>
      </c>
      <c r="D650">
        <v>339</v>
      </c>
      <c r="E650" t="s">
        <v>1915</v>
      </c>
      <c r="F650" t="s">
        <v>1916</v>
      </c>
      <c r="G650">
        <v>90</v>
      </c>
      <c r="H650" s="2">
        <v>41725.797002314823</v>
      </c>
      <c r="I650" s="2">
        <v>43578.549143518518</v>
      </c>
      <c r="J650" t="s">
        <v>1917</v>
      </c>
    </row>
    <row r="651" spans="1:10" x14ac:dyDescent="0.15">
      <c r="A651">
        <v>1797692</v>
      </c>
      <c r="B651" s="3" t="str">
        <f>HYPERLINK("https://github.com/paulbellamy/mango", "https://github.com/paulbellamy/mango")</f>
        <v>https://github.com/paulbellamy/mango</v>
      </c>
      <c r="D651">
        <v>339</v>
      </c>
      <c r="E651" t="s">
        <v>1918</v>
      </c>
      <c r="F651" t="s">
        <v>1919</v>
      </c>
      <c r="G651">
        <v>36</v>
      </c>
      <c r="H651" s="2">
        <v>40688.310254629629</v>
      </c>
      <c r="I651" s="2">
        <v>43573.687199074076</v>
      </c>
      <c r="J651" t="s">
        <v>1920</v>
      </c>
    </row>
    <row r="652" spans="1:10" x14ac:dyDescent="0.15">
      <c r="A652">
        <v>70568579</v>
      </c>
      <c r="B652" s="3" t="str">
        <f>HYPERLINK("https://github.com/cstockton/go-conv", "https://github.com/cstockton/go-conv")</f>
        <v>https://github.com/cstockton/go-conv</v>
      </c>
      <c r="D652">
        <v>337</v>
      </c>
      <c r="E652" t="s">
        <v>1921</v>
      </c>
      <c r="F652" t="s">
        <v>1922</v>
      </c>
      <c r="G652">
        <v>11</v>
      </c>
      <c r="H652" s="2">
        <v>42654.320613425924</v>
      </c>
      <c r="I652" s="2">
        <v>43572.818229166667</v>
      </c>
      <c r="J652" t="s">
        <v>1923</v>
      </c>
    </row>
    <row r="653" spans="1:10" x14ac:dyDescent="0.15">
      <c r="A653">
        <v>26860204</v>
      </c>
      <c r="B653" s="3" t="str">
        <f>HYPERLINK("https://github.com/xyproto/permissions2", "https://github.com/xyproto/permissions2")</f>
        <v>https://github.com/xyproto/permissions2</v>
      </c>
      <c r="D653">
        <v>337</v>
      </c>
      <c r="E653" t="s">
        <v>1924</v>
      </c>
      <c r="F653" t="s">
        <v>1925</v>
      </c>
      <c r="G653">
        <v>28</v>
      </c>
      <c r="H653" s="2">
        <v>41962.516400462962</v>
      </c>
      <c r="I653" s="2">
        <v>43578.91609953704</v>
      </c>
      <c r="J653" t="s">
        <v>1926</v>
      </c>
    </row>
    <row r="654" spans="1:10" x14ac:dyDescent="0.15">
      <c r="A654">
        <v>9126451</v>
      </c>
      <c r="B654" s="3" t="str">
        <f>HYPERLINK("https://github.com/golang-samples/gopher-vector", "https://github.com/golang-samples/gopher-vector")</f>
        <v>https://github.com/golang-samples/gopher-vector</v>
      </c>
      <c r="D654">
        <v>333</v>
      </c>
      <c r="E654" t="s">
        <v>1927</v>
      </c>
      <c r="F654" t="s">
        <v>1928</v>
      </c>
      <c r="G654">
        <v>38</v>
      </c>
      <c r="H654" s="2">
        <v>41364.239999999998</v>
      </c>
      <c r="I654" s="2">
        <v>43575.134467592587</v>
      </c>
      <c r="J654" t="s">
        <v>1929</v>
      </c>
    </row>
    <row r="655" spans="1:10" x14ac:dyDescent="0.15">
      <c r="A655">
        <v>82584355</v>
      </c>
      <c r="B655" s="3" t="str">
        <f>HYPERLINK("https://github.com/abadojack/whatlanggo", "https://github.com/abadojack/whatlanggo")</f>
        <v>https://github.com/abadojack/whatlanggo</v>
      </c>
      <c r="D655">
        <v>332</v>
      </c>
      <c r="E655" t="s">
        <v>1930</v>
      </c>
      <c r="F655" t="s">
        <v>1931</v>
      </c>
      <c r="G655">
        <v>26</v>
      </c>
      <c r="H655" s="2">
        <v>42786.730567129627</v>
      </c>
      <c r="I655" s="2">
        <v>43580.257916666669</v>
      </c>
      <c r="J655" t="s">
        <v>1932</v>
      </c>
    </row>
    <row r="656" spans="1:10" x14ac:dyDescent="0.15">
      <c r="A656">
        <v>20002077</v>
      </c>
      <c r="B656" s="3" t="str">
        <f>HYPERLINK("https://github.com/maxbrunsfeld/counterfeiter", "https://github.com/maxbrunsfeld/counterfeiter")</f>
        <v>https://github.com/maxbrunsfeld/counterfeiter</v>
      </c>
      <c r="D656">
        <v>331</v>
      </c>
      <c r="E656" t="s">
        <v>1933</v>
      </c>
      <c r="F656" t="s">
        <v>1934</v>
      </c>
      <c r="G656">
        <v>47</v>
      </c>
      <c r="H656" s="2">
        <v>41780.008958333332</v>
      </c>
      <c r="I656" s="2">
        <v>43579.489849537043</v>
      </c>
      <c r="J656" t="s">
        <v>1935</v>
      </c>
    </row>
    <row r="657" spans="1:10" x14ac:dyDescent="0.15">
      <c r="A657">
        <v>83904252</v>
      </c>
      <c r="B657" s="3" t="str">
        <f>HYPERLINK("https://github.com/KyleBanks/depth", "https://github.com/KyleBanks/depth")</f>
        <v>https://github.com/KyleBanks/depth</v>
      </c>
      <c r="D657">
        <v>331</v>
      </c>
      <c r="E657" t="s">
        <v>1936</v>
      </c>
      <c r="F657" t="s">
        <v>1937</v>
      </c>
      <c r="G657">
        <v>18</v>
      </c>
      <c r="H657" s="2">
        <v>42798.654432870368</v>
      </c>
      <c r="I657" s="2">
        <v>43579.32613425926</v>
      </c>
      <c r="J657" t="s">
        <v>1938</v>
      </c>
    </row>
    <row r="658" spans="1:10" x14ac:dyDescent="0.15">
      <c r="A658">
        <v>66441536</v>
      </c>
      <c r="B658" s="3" t="str">
        <f>HYPERLINK("https://github.com/cch123/elasticsql", "https://github.com/cch123/elasticsql")</f>
        <v>https://github.com/cch123/elasticsql</v>
      </c>
      <c r="D658">
        <v>330</v>
      </c>
      <c r="E658" t="s">
        <v>1939</v>
      </c>
      <c r="F658" t="s">
        <v>1940</v>
      </c>
      <c r="G658">
        <v>69</v>
      </c>
      <c r="H658" s="2">
        <v>42606.312303240738</v>
      </c>
      <c r="I658" s="2">
        <v>43578.149270833332</v>
      </c>
      <c r="J658" t="s">
        <v>1941</v>
      </c>
    </row>
    <row r="659" spans="1:10" x14ac:dyDescent="0.15">
      <c r="A659">
        <v>31512899</v>
      </c>
      <c r="B659" s="3" t="str">
        <f>HYPERLINK("https://github.com/mgutz/logxi", "https://github.com/mgutz/logxi")</f>
        <v>https://github.com/mgutz/logxi</v>
      </c>
      <c r="D659">
        <v>330</v>
      </c>
      <c r="E659" t="s">
        <v>1942</v>
      </c>
      <c r="F659" t="s">
        <v>1943</v>
      </c>
      <c r="G659">
        <v>33</v>
      </c>
      <c r="H659" s="2">
        <v>42064.926215277781</v>
      </c>
      <c r="I659" s="2">
        <v>43580.108032407406</v>
      </c>
      <c r="J659" t="s">
        <v>1944</v>
      </c>
    </row>
    <row r="660" spans="1:10" x14ac:dyDescent="0.15">
      <c r="A660">
        <v>140958903</v>
      </c>
      <c r="B660" s="3" t="str">
        <f>HYPERLINK("https://github.com/antonmedv/expr", "https://github.com/antonmedv/expr")</f>
        <v>https://github.com/antonmedv/expr</v>
      </c>
      <c r="D660">
        <v>329</v>
      </c>
      <c r="E660" t="s">
        <v>1945</v>
      </c>
      <c r="F660" t="s">
        <v>1946</v>
      </c>
      <c r="G660">
        <v>25</v>
      </c>
      <c r="H660" s="2">
        <v>43295.664976851847</v>
      </c>
      <c r="I660" s="2">
        <v>43580.210358796299</v>
      </c>
      <c r="J660" t="s">
        <v>1947</v>
      </c>
    </row>
    <row r="661" spans="1:10" x14ac:dyDescent="0.15">
      <c r="A661">
        <v>36933220</v>
      </c>
      <c r="B661" s="3" t="str">
        <f>HYPERLINK("https://github.com/goccmack/gocc", "https://github.com/goccmack/gocc")</f>
        <v>https://github.com/goccmack/gocc</v>
      </c>
      <c r="D661">
        <v>325</v>
      </c>
      <c r="E661" t="s">
        <v>1948</v>
      </c>
      <c r="F661" t="s">
        <v>1949</v>
      </c>
      <c r="G661">
        <v>21</v>
      </c>
      <c r="H661" s="2">
        <v>42160.547465277778</v>
      </c>
      <c r="I661" s="2">
        <v>43579.653344907398</v>
      </c>
      <c r="J661" t="s">
        <v>1950</v>
      </c>
    </row>
    <row r="662" spans="1:10" x14ac:dyDescent="0.15">
      <c r="A662">
        <v>34390866</v>
      </c>
      <c r="B662" s="3" t="str">
        <f>HYPERLINK("https://github.com/aymerick/raymond", "https://github.com/aymerick/raymond")</f>
        <v>https://github.com/aymerick/raymond</v>
      </c>
      <c r="D662">
        <v>323</v>
      </c>
      <c r="E662" t="s">
        <v>1951</v>
      </c>
      <c r="F662" t="s">
        <v>1952</v>
      </c>
      <c r="G662">
        <v>41</v>
      </c>
      <c r="H662" s="2">
        <v>42116.547210648147</v>
      </c>
      <c r="I662" s="2">
        <v>43577.674814814818</v>
      </c>
      <c r="J662" t="s">
        <v>1953</v>
      </c>
    </row>
    <row r="663" spans="1:10" x14ac:dyDescent="0.15">
      <c r="A663">
        <v>18314451</v>
      </c>
      <c r="B663" s="3" t="str">
        <f>HYPERLINK("https://github.com/mattn/go-isatty", "https://github.com/mattn/go-isatty")</f>
        <v>https://github.com/mattn/go-isatty</v>
      </c>
      <c r="D663">
        <v>320</v>
      </c>
      <c r="E663" t="s">
        <v>1954</v>
      </c>
      <c r="G663">
        <v>40</v>
      </c>
      <c r="H663" s="2">
        <v>41730.078576388893</v>
      </c>
      <c r="I663" s="2">
        <v>43580.335173611107</v>
      </c>
      <c r="J663" t="s">
        <v>1955</v>
      </c>
    </row>
    <row r="664" spans="1:10" x14ac:dyDescent="0.15">
      <c r="A664">
        <v>16480442</v>
      </c>
      <c r="B664" s="3" t="str">
        <f>HYPERLINK("https://github.com/clbanning/mxj", "https://github.com/clbanning/mxj")</f>
        <v>https://github.com/clbanning/mxj</v>
      </c>
      <c r="D664">
        <v>319</v>
      </c>
      <c r="E664" t="s">
        <v>1956</v>
      </c>
      <c r="F664" t="s">
        <v>1957</v>
      </c>
      <c r="G664">
        <v>67</v>
      </c>
      <c r="H664" s="2">
        <v>41673.568935185183</v>
      </c>
      <c r="I664" s="2">
        <v>43577.940995370373</v>
      </c>
      <c r="J664" t="s">
        <v>1958</v>
      </c>
    </row>
    <row r="665" spans="1:10" x14ac:dyDescent="0.15">
      <c r="A665">
        <v>132346526</v>
      </c>
      <c r="B665" s="3" t="str">
        <f>HYPERLINK("https://github.com/francoispqt/onelog", "https://github.com/francoispqt/onelog")</f>
        <v>https://github.com/francoispqt/onelog</v>
      </c>
      <c r="D665">
        <v>319</v>
      </c>
      <c r="E665" t="s">
        <v>1959</v>
      </c>
      <c r="F665" t="s">
        <v>1960</v>
      </c>
      <c r="G665">
        <v>12</v>
      </c>
      <c r="H665" s="2">
        <v>43226.605671296304</v>
      </c>
      <c r="I665" s="2">
        <v>43577.314074074071</v>
      </c>
      <c r="J665" t="s">
        <v>1961</v>
      </c>
    </row>
    <row r="666" spans="1:10" x14ac:dyDescent="0.15">
      <c r="A666">
        <v>64838988</v>
      </c>
      <c r="B666" s="3" t="str">
        <f>HYPERLINK("https://github.com/uniplaces/carbon", "https://github.com/uniplaces/carbon")</f>
        <v>https://github.com/uniplaces/carbon</v>
      </c>
      <c r="D666">
        <v>317</v>
      </c>
      <c r="E666" t="s">
        <v>1962</v>
      </c>
      <c r="F666" t="s">
        <v>1963</v>
      </c>
      <c r="G666">
        <v>26</v>
      </c>
      <c r="H666" s="2">
        <v>42585.455462962957</v>
      </c>
      <c r="I666" s="2">
        <v>43578.475902777784</v>
      </c>
      <c r="J666" t="s">
        <v>1964</v>
      </c>
    </row>
    <row r="667" spans="1:10" x14ac:dyDescent="0.15">
      <c r="A667">
        <v>10777853</v>
      </c>
      <c r="B667" s="3" t="str">
        <f>HYPERLINK("https://github.com/mna/agora", "https://github.com/mna/agora")</f>
        <v>https://github.com/mna/agora</v>
      </c>
      <c r="D667">
        <v>317</v>
      </c>
      <c r="E667" t="s">
        <v>1965</v>
      </c>
      <c r="F667" t="s">
        <v>1966</v>
      </c>
      <c r="G667">
        <v>31</v>
      </c>
      <c r="H667" s="2">
        <v>41444.09479166667</v>
      </c>
      <c r="I667" s="2">
        <v>43538.774351851847</v>
      </c>
      <c r="J667" t="s">
        <v>1967</v>
      </c>
    </row>
    <row r="668" spans="1:10" x14ac:dyDescent="0.15">
      <c r="A668">
        <v>20241916</v>
      </c>
      <c r="B668" s="3" t="str">
        <f>HYPERLINK("https://github.com/beefsack/go-astar", "https://github.com/beefsack/go-astar")</f>
        <v>https://github.com/beefsack/go-astar</v>
      </c>
      <c r="D668">
        <v>315</v>
      </c>
      <c r="E668" t="s">
        <v>1968</v>
      </c>
      <c r="F668" t="s">
        <v>1969</v>
      </c>
      <c r="G668">
        <v>30</v>
      </c>
      <c r="H668" s="2">
        <v>41787.083368055559</v>
      </c>
      <c r="I668" s="2">
        <v>43578.620937500003</v>
      </c>
      <c r="J668" t="s">
        <v>1970</v>
      </c>
    </row>
    <row r="669" spans="1:10" x14ac:dyDescent="0.15">
      <c r="A669">
        <v>22271452</v>
      </c>
      <c r="B669" s="3" t="str">
        <f>HYPERLINK("https://github.com/rainycape/gondola", "https://github.com/rainycape/gondola")</f>
        <v>https://github.com/rainycape/gondola</v>
      </c>
      <c r="D669">
        <v>313</v>
      </c>
      <c r="E669" t="s">
        <v>1971</v>
      </c>
      <c r="F669" t="s">
        <v>1972</v>
      </c>
      <c r="G669">
        <v>21</v>
      </c>
      <c r="H669" s="2">
        <v>41845.89508101852</v>
      </c>
      <c r="I669" s="2">
        <v>43560.675682870373</v>
      </c>
      <c r="J669" t="s">
        <v>1973</v>
      </c>
    </row>
    <row r="670" spans="1:10" x14ac:dyDescent="0.15">
      <c r="A670">
        <v>35950865</v>
      </c>
      <c r="B670" s="3" t="str">
        <f>HYPERLINK("https://github.com/sethgrid/pester", "https://github.com/sethgrid/pester")</f>
        <v>https://github.com/sethgrid/pester</v>
      </c>
      <c r="D670">
        <v>310</v>
      </c>
      <c r="E670" t="s">
        <v>1974</v>
      </c>
      <c r="F670" t="s">
        <v>1975</v>
      </c>
      <c r="G670">
        <v>31</v>
      </c>
      <c r="H670" s="2">
        <v>42144.576956018522</v>
      </c>
      <c r="I670" s="2">
        <v>43574.252060185187</v>
      </c>
      <c r="J670" t="s">
        <v>1976</v>
      </c>
    </row>
    <row r="671" spans="1:10" x14ac:dyDescent="0.15">
      <c r="A671">
        <v>19332852</v>
      </c>
      <c r="B671" s="3" t="str">
        <f>HYPERLINK("https://github.com/inconshreveable/gonative", "https://github.com/inconshreveable/gonative")</f>
        <v>https://github.com/inconshreveable/gonative</v>
      </c>
      <c r="D671">
        <v>308</v>
      </c>
      <c r="E671" t="s">
        <v>1977</v>
      </c>
      <c r="F671" t="s">
        <v>1978</v>
      </c>
      <c r="G671">
        <v>28</v>
      </c>
      <c r="H671" s="2">
        <v>41760.071701388893</v>
      </c>
      <c r="I671" s="2">
        <v>43567.273240740738</v>
      </c>
      <c r="J671" t="s">
        <v>1979</v>
      </c>
    </row>
    <row r="672" spans="1:10" x14ac:dyDescent="0.15">
      <c r="A672">
        <v>5326767</v>
      </c>
      <c r="B672" s="3" t="str">
        <f>HYPERLINK("https://github.com/vova616/GarageEngine", "https://github.com/vova616/GarageEngine")</f>
        <v>https://github.com/vova616/GarageEngine</v>
      </c>
      <c r="D672">
        <v>306</v>
      </c>
      <c r="E672" t="s">
        <v>1980</v>
      </c>
      <c r="F672" t="s">
        <v>1981</v>
      </c>
      <c r="G672">
        <v>26</v>
      </c>
      <c r="H672" s="2">
        <v>41128.455254629633</v>
      </c>
      <c r="I672" s="2">
        <v>43571.573738425926</v>
      </c>
      <c r="J672" t="s">
        <v>1982</v>
      </c>
    </row>
    <row r="673" spans="1:10" x14ac:dyDescent="0.15">
      <c r="A673">
        <v>12186599</v>
      </c>
      <c r="B673" s="3" t="str">
        <f>HYPERLINK("https://github.com/ccding/go-stun", "https://github.com/ccding/go-stun")</f>
        <v>https://github.com/ccding/go-stun</v>
      </c>
      <c r="D673">
        <v>306</v>
      </c>
      <c r="E673" t="s">
        <v>1983</v>
      </c>
      <c r="F673" t="s">
        <v>1984</v>
      </c>
      <c r="G673">
        <v>48</v>
      </c>
      <c r="H673" s="2">
        <v>41503.928159722222</v>
      </c>
      <c r="I673" s="2">
        <v>43580.210729166669</v>
      </c>
      <c r="J673" t="s">
        <v>1985</v>
      </c>
    </row>
    <row r="674" spans="1:10" x14ac:dyDescent="0.15">
      <c r="A674">
        <v>3935760</v>
      </c>
      <c r="B674" s="3" t="str">
        <f>HYPERLINK("https://github.com/skelterjohn/go.matrix", "https://github.com/skelterjohn/go.matrix")</f>
        <v>https://github.com/skelterjohn/go.matrix</v>
      </c>
      <c r="D674">
        <v>306</v>
      </c>
      <c r="E674" t="s">
        <v>1986</v>
      </c>
      <c r="F674" t="s">
        <v>1987</v>
      </c>
      <c r="G674">
        <v>68</v>
      </c>
      <c r="H674" s="2">
        <v>41004.138287037043</v>
      </c>
      <c r="I674" s="2">
        <v>43549.269884259258</v>
      </c>
      <c r="J674" t="s">
        <v>1988</v>
      </c>
    </row>
    <row r="675" spans="1:10" x14ac:dyDescent="0.15">
      <c r="A675">
        <v>44921231</v>
      </c>
      <c r="B675" s="3" t="str">
        <f>HYPERLINK("https://github.com/go-playground/webhooks", "https://github.com/go-playground/webhooks")</f>
        <v>https://github.com/go-playground/webhooks</v>
      </c>
      <c r="D675">
        <v>303</v>
      </c>
      <c r="E675" t="s">
        <v>1989</v>
      </c>
      <c r="F675" t="s">
        <v>1990</v>
      </c>
      <c r="G675">
        <v>69</v>
      </c>
      <c r="H675" s="2">
        <v>42302.734872685192</v>
      </c>
      <c r="I675" s="2">
        <v>43579.593032407407</v>
      </c>
      <c r="J675" t="s">
        <v>1991</v>
      </c>
    </row>
    <row r="676" spans="1:10" x14ac:dyDescent="0.15">
      <c r="A676">
        <v>29677651</v>
      </c>
      <c r="B676" s="3" t="str">
        <f>HYPERLINK("https://github.com/hailocab/go-geoindex", "https://github.com/hailocab/go-geoindex")</f>
        <v>https://github.com/hailocab/go-geoindex</v>
      </c>
      <c r="D676">
        <v>303</v>
      </c>
      <c r="E676" t="s">
        <v>1992</v>
      </c>
      <c r="F676" t="s">
        <v>1993</v>
      </c>
      <c r="G676">
        <v>34</v>
      </c>
      <c r="H676" s="2">
        <v>42026.518252314818</v>
      </c>
      <c r="I676" s="2">
        <v>43557.193206018521</v>
      </c>
      <c r="J676" t="s">
        <v>1994</v>
      </c>
    </row>
    <row r="677" spans="1:10" x14ac:dyDescent="0.15">
      <c r="A677">
        <v>37012297</v>
      </c>
      <c r="B677" s="3" t="str">
        <f>HYPERLINK("https://github.com/desertbit/glue", "https://github.com/desertbit/glue")</f>
        <v>https://github.com/desertbit/glue</v>
      </c>
      <c r="D677">
        <v>302</v>
      </c>
      <c r="E677" t="s">
        <v>1995</v>
      </c>
      <c r="F677" t="s">
        <v>1996</v>
      </c>
      <c r="G677">
        <v>19</v>
      </c>
      <c r="H677" s="2">
        <v>42162.431423611109</v>
      </c>
      <c r="I677" s="2">
        <v>43572.070821759262</v>
      </c>
      <c r="J677" t="s">
        <v>1997</v>
      </c>
    </row>
    <row r="678" spans="1:10" x14ac:dyDescent="0.15">
      <c r="A678">
        <v>84717184</v>
      </c>
      <c r="B678" s="3" t="str">
        <f>HYPERLINK("https://github.com/mafredri/cdp", "https://github.com/mafredri/cdp")</f>
        <v>https://github.com/mafredri/cdp</v>
      </c>
      <c r="D678">
        <v>300</v>
      </c>
      <c r="E678" t="s">
        <v>1998</v>
      </c>
      <c r="F678" t="s">
        <v>1999</v>
      </c>
      <c r="G678">
        <v>18</v>
      </c>
      <c r="H678" s="2">
        <v>42806.434502314813</v>
      </c>
      <c r="I678" s="2">
        <v>43580.55027777778</v>
      </c>
      <c r="J678" t="s">
        <v>2000</v>
      </c>
    </row>
    <row r="679" spans="1:10" x14ac:dyDescent="0.15">
      <c r="A679">
        <v>80014111</v>
      </c>
      <c r="B679" s="3" t="str">
        <f>HYPERLINK("https://github.com/matryer/gopherize.me", "https://github.com/matryer/gopherize.me")</f>
        <v>https://github.com/matryer/gopherize.me</v>
      </c>
      <c r="D679">
        <v>298</v>
      </c>
      <c r="E679" t="s">
        <v>2001</v>
      </c>
      <c r="F679" t="s">
        <v>2002</v>
      </c>
      <c r="G679">
        <v>29</v>
      </c>
      <c r="H679" s="2">
        <v>42760.535821759258</v>
      </c>
      <c r="I679" s="2">
        <v>43577.316944444443</v>
      </c>
      <c r="J679" t="s">
        <v>2003</v>
      </c>
    </row>
    <row r="680" spans="1:10" x14ac:dyDescent="0.15">
      <c r="A680">
        <v>22277130</v>
      </c>
      <c r="B680" s="3" t="str">
        <f>HYPERLINK("https://github.com/aerospike/aerospike-client-go", "https://github.com/aerospike/aerospike-client-go")</f>
        <v>https://github.com/aerospike/aerospike-client-go</v>
      </c>
      <c r="D680">
        <v>295</v>
      </c>
      <c r="E680" t="s">
        <v>2004</v>
      </c>
      <c r="F680" t="s">
        <v>2005</v>
      </c>
      <c r="G680">
        <v>125</v>
      </c>
      <c r="H680" s="2">
        <v>41846.122465277767</v>
      </c>
      <c r="I680" s="2">
        <v>43577.420289351852</v>
      </c>
      <c r="J680" t="s">
        <v>2006</v>
      </c>
    </row>
    <row r="681" spans="1:10" x14ac:dyDescent="0.15">
      <c r="A681">
        <v>56923055</v>
      </c>
      <c r="B681" s="3" t="str">
        <f>HYPERLINK("https://github.com/ursiform/sleuth", "https://github.com/ursiform/sleuth")</f>
        <v>https://github.com/ursiform/sleuth</v>
      </c>
      <c r="D681">
        <v>294</v>
      </c>
      <c r="E681" t="s">
        <v>2007</v>
      </c>
      <c r="F681" t="s">
        <v>2008</v>
      </c>
      <c r="G681">
        <v>17</v>
      </c>
      <c r="H681" s="2">
        <v>42483.598391203697</v>
      </c>
      <c r="I681" s="2">
        <v>43579.531550925924</v>
      </c>
      <c r="J681" t="s">
        <v>2009</v>
      </c>
    </row>
    <row r="682" spans="1:10" x14ac:dyDescent="0.15">
      <c r="A682">
        <v>49874541</v>
      </c>
      <c r="B682" s="3" t="str">
        <f>HYPERLINK("https://github.com/o1egl/govatar", "https://github.com/o1egl/govatar")</f>
        <v>https://github.com/o1egl/govatar</v>
      </c>
      <c r="D682">
        <v>294</v>
      </c>
      <c r="E682" t="s">
        <v>2010</v>
      </c>
      <c r="F682" t="s">
        <v>2011</v>
      </c>
      <c r="G682">
        <v>13</v>
      </c>
      <c r="H682" s="2">
        <v>42387.508657407408</v>
      </c>
      <c r="I682" s="2">
        <v>43577.40283564815</v>
      </c>
      <c r="J682" t="s">
        <v>2012</v>
      </c>
    </row>
    <row r="683" spans="1:10" x14ac:dyDescent="0.15">
      <c r="A683">
        <v>45939696</v>
      </c>
      <c r="B683" s="3" t="str">
        <f>HYPERLINK("https://github.com/olebedev/emitter", "https://github.com/olebedev/emitter")</f>
        <v>https://github.com/olebedev/emitter</v>
      </c>
      <c r="D683">
        <v>294</v>
      </c>
      <c r="E683" t="s">
        <v>755</v>
      </c>
      <c r="F683" t="s">
        <v>2013</v>
      </c>
      <c r="G683">
        <v>28</v>
      </c>
      <c r="H683" s="2">
        <v>42318.87263888889</v>
      </c>
      <c r="I683" s="2">
        <v>43576.537905092591</v>
      </c>
      <c r="J683" t="s">
        <v>2014</v>
      </c>
    </row>
    <row r="684" spans="1:10" x14ac:dyDescent="0.15">
      <c r="A684">
        <v>21992141</v>
      </c>
      <c r="B684" s="3" t="str">
        <f>HYPERLINK("https://github.com/ttacon/chalk", "https://github.com/ttacon/chalk")</f>
        <v>https://github.com/ttacon/chalk</v>
      </c>
      <c r="D684">
        <v>291</v>
      </c>
      <c r="E684" t="s">
        <v>2015</v>
      </c>
      <c r="F684" t="s">
        <v>2016</v>
      </c>
      <c r="G684">
        <v>14</v>
      </c>
      <c r="H684" s="2">
        <v>41838.818726851852</v>
      </c>
      <c r="I684" s="2">
        <v>43555.79896990741</v>
      </c>
      <c r="J684" t="s">
        <v>2017</v>
      </c>
    </row>
    <row r="685" spans="1:10" x14ac:dyDescent="0.15">
      <c r="A685">
        <v>63778439</v>
      </c>
      <c r="B685" s="3" t="str">
        <f>HYPERLINK("https://github.com/aofei/air", "https://github.com/aofei/air")</f>
        <v>https://github.com/aofei/air</v>
      </c>
      <c r="D685">
        <v>289</v>
      </c>
      <c r="E685" t="s">
        <v>2018</v>
      </c>
      <c r="F685" t="s">
        <v>2019</v>
      </c>
      <c r="G685">
        <v>19</v>
      </c>
      <c r="H685" s="2">
        <v>42571.506805555553</v>
      </c>
      <c r="I685" s="2">
        <v>43580.189849537041</v>
      </c>
      <c r="J685" t="s">
        <v>2020</v>
      </c>
    </row>
    <row r="686" spans="1:10" x14ac:dyDescent="0.15">
      <c r="A686">
        <v>22022553</v>
      </c>
      <c r="B686" s="3" t="str">
        <f>HYPERLINK("https://github.com/carbocation/interpose", "https://github.com/carbocation/interpose")</f>
        <v>https://github.com/carbocation/interpose</v>
      </c>
      <c r="D686">
        <v>289</v>
      </c>
      <c r="E686" t="s">
        <v>2021</v>
      </c>
      <c r="F686" t="s">
        <v>2022</v>
      </c>
      <c r="G686">
        <v>17</v>
      </c>
      <c r="H686" s="2">
        <v>41840.013796296298</v>
      </c>
      <c r="I686" s="2">
        <v>43576.522037037037</v>
      </c>
      <c r="J686" t="s">
        <v>2023</v>
      </c>
    </row>
    <row r="687" spans="1:10" x14ac:dyDescent="0.15">
      <c r="A687">
        <v>27530442</v>
      </c>
      <c r="B687" s="3" t="str">
        <f>HYPERLINK("https://github.com/codingsince1985/geo-golang", "https://github.com/codingsince1985/geo-golang")</f>
        <v>https://github.com/codingsince1985/geo-golang</v>
      </c>
      <c r="D687">
        <v>288</v>
      </c>
      <c r="E687" t="s">
        <v>2024</v>
      </c>
      <c r="F687" t="s">
        <v>2025</v>
      </c>
      <c r="G687">
        <v>28</v>
      </c>
      <c r="H687" s="2">
        <v>41977.346192129633</v>
      </c>
      <c r="I687" s="2">
        <v>43579.694108796299</v>
      </c>
      <c r="J687" t="s">
        <v>2026</v>
      </c>
    </row>
    <row r="688" spans="1:10" x14ac:dyDescent="0.15">
      <c r="A688">
        <v>100814404</v>
      </c>
      <c r="B688" s="3" t="str">
        <f>HYPERLINK("https://github.com/cristianoliveira/ergo", "https://github.com/cristianoliveira/ergo")</f>
        <v>https://github.com/cristianoliveira/ergo</v>
      </c>
      <c r="D688">
        <v>287</v>
      </c>
      <c r="E688" t="s">
        <v>2027</v>
      </c>
      <c r="F688" t="s">
        <v>2028</v>
      </c>
      <c r="G688">
        <v>32</v>
      </c>
      <c r="H688" s="2">
        <v>42966.779120370367</v>
      </c>
      <c r="I688" s="2">
        <v>43573.516018518523</v>
      </c>
      <c r="J688" t="s">
        <v>2029</v>
      </c>
    </row>
    <row r="689" spans="1:10" x14ac:dyDescent="0.15">
      <c r="A689">
        <v>27727916</v>
      </c>
      <c r="B689" s="3" t="str">
        <f>HYPERLINK("https://github.com/wellington/wellington", "https://github.com/wellington/wellington")</f>
        <v>https://github.com/wellington/wellington</v>
      </c>
      <c r="D689">
        <v>287</v>
      </c>
      <c r="E689" t="s">
        <v>2030</v>
      </c>
      <c r="F689" t="s">
        <v>2031</v>
      </c>
      <c r="G689">
        <v>18</v>
      </c>
      <c r="H689" s="2">
        <v>41981.756238425929</v>
      </c>
      <c r="I689" s="2">
        <v>43545.725810185177</v>
      </c>
      <c r="J689" t="s">
        <v>2032</v>
      </c>
    </row>
    <row r="690" spans="1:10" x14ac:dyDescent="0.15">
      <c r="A690">
        <v>3221977</v>
      </c>
      <c r="B690" s="3" t="str">
        <f>HYPERLINK("https://github.com/couchbase/go-couchbase", "https://github.com/couchbase/go-couchbase")</f>
        <v>https://github.com/couchbase/go-couchbase</v>
      </c>
      <c r="D690">
        <v>286</v>
      </c>
      <c r="E690" t="s">
        <v>2033</v>
      </c>
      <c r="F690" t="s">
        <v>2034</v>
      </c>
      <c r="G690">
        <v>87</v>
      </c>
      <c r="H690" s="2">
        <v>40927.952870370369</v>
      </c>
      <c r="I690" s="2">
        <v>43580.162314814806</v>
      </c>
      <c r="J690" t="s">
        <v>2035</v>
      </c>
    </row>
    <row r="691" spans="1:10" x14ac:dyDescent="0.15">
      <c r="A691">
        <v>47974873</v>
      </c>
      <c r="B691" s="3" t="str">
        <f>HYPERLINK("https://github.com/dnaeon/go-vcr", "https://github.com/dnaeon/go-vcr")</f>
        <v>https://github.com/dnaeon/go-vcr</v>
      </c>
      <c r="D691">
        <v>285</v>
      </c>
      <c r="E691" t="s">
        <v>2036</v>
      </c>
      <c r="F691" t="s">
        <v>2037</v>
      </c>
      <c r="G691">
        <v>26</v>
      </c>
      <c r="H691" s="2">
        <v>42352.536307870367</v>
      </c>
      <c r="I691" s="2">
        <v>43578.887083333328</v>
      </c>
      <c r="J691" t="s">
        <v>2038</v>
      </c>
    </row>
    <row r="692" spans="1:10" x14ac:dyDescent="0.15">
      <c r="A692">
        <v>29315564</v>
      </c>
      <c r="B692" s="3" t="str">
        <f>HYPERLINK("https://github.com/couchbase/gocb", "https://github.com/couchbase/gocb")</f>
        <v>https://github.com/couchbase/gocb</v>
      </c>
      <c r="D692">
        <v>284</v>
      </c>
      <c r="E692" t="s">
        <v>2039</v>
      </c>
      <c r="F692" t="s">
        <v>2040</v>
      </c>
      <c r="G692">
        <v>76</v>
      </c>
      <c r="H692" s="2">
        <v>42019.834398148138</v>
      </c>
      <c r="I692" s="2">
        <v>43573.548726851863</v>
      </c>
      <c r="J692" t="s">
        <v>2041</v>
      </c>
    </row>
    <row r="693" spans="1:10" x14ac:dyDescent="0.15">
      <c r="A693">
        <v>100262942</v>
      </c>
      <c r="B693" s="3" t="str">
        <f>HYPERLINK("https://github.com/digota/digota", "https://github.com/digota/digota")</f>
        <v>https://github.com/digota/digota</v>
      </c>
      <c r="D693">
        <v>283</v>
      </c>
      <c r="E693" t="s">
        <v>2042</v>
      </c>
      <c r="F693" t="s">
        <v>2043</v>
      </c>
      <c r="G693">
        <v>37</v>
      </c>
      <c r="H693" s="2">
        <v>42961.501122685193</v>
      </c>
      <c r="I693" s="2">
        <v>43578.545983796299</v>
      </c>
      <c r="J693" t="s">
        <v>2044</v>
      </c>
    </row>
    <row r="694" spans="1:10" x14ac:dyDescent="0.15">
      <c r="A694">
        <v>108800571</v>
      </c>
      <c r="B694" s="3" t="str">
        <f>HYPERLINK("https://github.com/jszwec/csvutil", "https://github.com/jszwec/csvutil")</f>
        <v>https://github.com/jszwec/csvutil</v>
      </c>
      <c r="D694">
        <v>283</v>
      </c>
      <c r="E694" t="s">
        <v>2045</v>
      </c>
      <c r="F694" t="s">
        <v>2046</v>
      </c>
      <c r="G694">
        <v>17</v>
      </c>
      <c r="H694" s="2">
        <v>43038.173472222217</v>
      </c>
      <c r="I694" s="2">
        <v>43580.179722222223</v>
      </c>
      <c r="J694" t="s">
        <v>2047</v>
      </c>
    </row>
    <row r="695" spans="1:10" x14ac:dyDescent="0.15">
      <c r="A695">
        <v>23302143</v>
      </c>
      <c r="B695" s="3" t="str">
        <f>HYPERLINK("https://github.com/beefsack/go-rate", "https://github.com/beefsack/go-rate")</f>
        <v>https://github.com/beefsack/go-rate</v>
      </c>
      <c r="D695">
        <v>283</v>
      </c>
      <c r="E695" t="s">
        <v>2048</v>
      </c>
      <c r="F695" t="s">
        <v>2049</v>
      </c>
      <c r="G695">
        <v>19</v>
      </c>
      <c r="H695" s="2">
        <v>41876.196226851847</v>
      </c>
      <c r="I695" s="2">
        <v>43571.468807870369</v>
      </c>
      <c r="J695" t="s">
        <v>2050</v>
      </c>
    </row>
    <row r="696" spans="1:10" x14ac:dyDescent="0.15">
      <c r="A696">
        <v>42573351</v>
      </c>
      <c r="B696" s="3" t="str">
        <f>HYPERLINK("https://github.com/gordonklaus/portaudio", "https://github.com/gordonklaus/portaudio")</f>
        <v>https://github.com/gordonklaus/portaudio</v>
      </c>
      <c r="D696">
        <v>281</v>
      </c>
      <c r="E696" t="s">
        <v>2051</v>
      </c>
      <c r="F696" t="s">
        <v>2052</v>
      </c>
      <c r="G696">
        <v>44</v>
      </c>
      <c r="H696" s="2">
        <v>42263.332905092589</v>
      </c>
      <c r="I696" s="2">
        <v>43575.292071759257</v>
      </c>
      <c r="J696" t="s">
        <v>2053</v>
      </c>
    </row>
    <row r="697" spans="1:10" x14ac:dyDescent="0.15">
      <c r="A697">
        <v>44224873</v>
      </c>
      <c r="B697" s="3" t="str">
        <f>HYPERLINK("https://github.com/logpacker/PayPal-Go-SDK", "https://github.com/logpacker/PayPal-Go-SDK")</f>
        <v>https://github.com/logpacker/PayPal-Go-SDK</v>
      </c>
      <c r="D697">
        <v>281</v>
      </c>
      <c r="E697" t="s">
        <v>2054</v>
      </c>
      <c r="F697" t="s">
        <v>2055</v>
      </c>
      <c r="G697">
        <v>85</v>
      </c>
      <c r="H697" s="2">
        <v>42291.206817129627</v>
      </c>
      <c r="I697" s="2">
        <v>43578.167175925933</v>
      </c>
      <c r="J697" t="s">
        <v>2056</v>
      </c>
    </row>
    <row r="698" spans="1:10" x14ac:dyDescent="0.15">
      <c r="A698">
        <v>55502590</v>
      </c>
      <c r="B698" s="3" t="str">
        <f>HYPERLINK("https://github.com/go-testfixtures/testfixtures", "https://github.com/go-testfixtures/testfixtures")</f>
        <v>https://github.com/go-testfixtures/testfixtures</v>
      </c>
      <c r="D698">
        <v>280</v>
      </c>
      <c r="E698" t="s">
        <v>2057</v>
      </c>
      <c r="F698" t="s">
        <v>2058</v>
      </c>
      <c r="G698">
        <v>22</v>
      </c>
      <c r="H698" s="2">
        <v>42465.481574074067</v>
      </c>
      <c r="I698" s="2">
        <v>43577.408043981479</v>
      </c>
      <c r="J698" t="s">
        <v>2059</v>
      </c>
    </row>
    <row r="699" spans="1:10" x14ac:dyDescent="0.15">
      <c r="A699">
        <v>91857770</v>
      </c>
      <c r="B699" s="3" t="str">
        <f>HYPERLINK("https://github.com/shomali11/slacker", "https://github.com/shomali11/slacker")</f>
        <v>https://github.com/shomali11/slacker</v>
      </c>
      <c r="D699">
        <v>278</v>
      </c>
      <c r="E699" t="s">
        <v>2060</v>
      </c>
      <c r="F699" t="s">
        <v>2061</v>
      </c>
      <c r="G699">
        <v>33</v>
      </c>
      <c r="H699" s="2">
        <v>42875.070370370369</v>
      </c>
      <c r="I699" s="2">
        <v>43568.826122685183</v>
      </c>
      <c r="J699" t="s">
        <v>2062</v>
      </c>
    </row>
    <row r="700" spans="1:10" x14ac:dyDescent="0.15">
      <c r="A700">
        <v>30254409</v>
      </c>
      <c r="B700" s="3" t="str">
        <f>HYPERLINK("https://github.com/carlescere/scheduler", "https://github.com/carlescere/scheduler")</f>
        <v>https://github.com/carlescere/scheduler</v>
      </c>
      <c r="D700">
        <v>278</v>
      </c>
      <c r="E700" t="s">
        <v>2063</v>
      </c>
      <c r="F700" t="s">
        <v>2064</v>
      </c>
      <c r="G700">
        <v>40</v>
      </c>
      <c r="H700" s="2">
        <v>42038.715543981481</v>
      </c>
      <c r="I700" s="2">
        <v>43579.015150462961</v>
      </c>
      <c r="J700" t="s">
        <v>2065</v>
      </c>
    </row>
    <row r="701" spans="1:10" x14ac:dyDescent="0.15">
      <c r="A701">
        <v>67032544</v>
      </c>
      <c r="B701" s="3" t="str">
        <f>HYPERLINK("https://github.com/go-gormigrate/gormigrate", "https://github.com/go-gormigrate/gormigrate")</f>
        <v>https://github.com/go-gormigrate/gormigrate</v>
      </c>
      <c r="D701">
        <v>277</v>
      </c>
      <c r="E701" t="s">
        <v>2066</v>
      </c>
      <c r="F701" t="s">
        <v>2067</v>
      </c>
      <c r="G701">
        <v>32</v>
      </c>
      <c r="H701" s="2">
        <v>42613.490543981483</v>
      </c>
      <c r="I701" s="2">
        <v>43579.177824074082</v>
      </c>
      <c r="J701" t="s">
        <v>2068</v>
      </c>
    </row>
    <row r="702" spans="1:10" x14ac:dyDescent="0.15">
      <c r="A702">
        <v>19369926</v>
      </c>
      <c r="B702" s="3" t="str">
        <f>HYPERLINK("https://github.com/koyachi/go-nude", "https://github.com/koyachi/go-nude")</f>
        <v>https://github.com/koyachi/go-nude</v>
      </c>
      <c r="D702">
        <v>276</v>
      </c>
      <c r="E702" t="s">
        <v>2069</v>
      </c>
      <c r="F702" t="s">
        <v>2070</v>
      </c>
      <c r="G702">
        <v>32</v>
      </c>
      <c r="H702" s="2">
        <v>41761.355891203697</v>
      </c>
      <c r="I702" s="2">
        <v>43576.5075462963</v>
      </c>
      <c r="J702" t="s">
        <v>2071</v>
      </c>
    </row>
    <row r="703" spans="1:10" x14ac:dyDescent="0.15">
      <c r="A703">
        <v>8180452</v>
      </c>
      <c r="B703" s="3" t="str">
        <f>HYPERLINK("https://github.com/go-gl/mathgl", "https://github.com/go-gl/mathgl")</f>
        <v>https://github.com/go-gl/mathgl</v>
      </c>
      <c r="D703">
        <v>276</v>
      </c>
      <c r="E703" t="s">
        <v>2072</v>
      </c>
      <c r="F703" t="s">
        <v>2073</v>
      </c>
      <c r="G703">
        <v>39</v>
      </c>
      <c r="H703" s="2">
        <v>41318.59646990741</v>
      </c>
      <c r="I703" s="2">
        <v>43576.784305555557</v>
      </c>
      <c r="J703" t="s">
        <v>2074</v>
      </c>
    </row>
    <row r="704" spans="1:10" x14ac:dyDescent="0.15">
      <c r="A704">
        <v>115224966</v>
      </c>
      <c r="B704" s="3" t="str">
        <f>HYPERLINK("https://github.com/cep21/circuit", "https://github.com/cep21/circuit")</f>
        <v>https://github.com/cep21/circuit</v>
      </c>
      <c r="D704">
        <v>275</v>
      </c>
      <c r="E704" t="s">
        <v>749</v>
      </c>
      <c r="F704" t="s">
        <v>2075</v>
      </c>
      <c r="G704">
        <v>11</v>
      </c>
      <c r="H704" s="2">
        <v>43092.928969907407</v>
      </c>
      <c r="I704" s="2">
        <v>43579.429189814808</v>
      </c>
      <c r="J704" t="s">
        <v>2076</v>
      </c>
    </row>
    <row r="705" spans="1:10" x14ac:dyDescent="0.15">
      <c r="A705">
        <v>26337994</v>
      </c>
      <c r="B705" s="3" t="str">
        <f>HYPERLINK("https://github.com/smartystreets/mafsa", "https://github.com/smartystreets/mafsa")</f>
        <v>https://github.com/smartystreets/mafsa</v>
      </c>
      <c r="D705">
        <v>273</v>
      </c>
      <c r="E705" t="s">
        <v>2077</v>
      </c>
      <c r="F705" t="s">
        <v>2078</v>
      </c>
      <c r="G705">
        <v>18</v>
      </c>
      <c r="H705" s="2">
        <v>41950.880520833343</v>
      </c>
      <c r="I705" s="2">
        <v>43580.37394675926</v>
      </c>
      <c r="J705" t="s">
        <v>2079</v>
      </c>
    </row>
    <row r="706" spans="1:10" x14ac:dyDescent="0.15">
      <c r="A706">
        <v>38630515</v>
      </c>
      <c r="B706" s="3" t="str">
        <f>HYPERLINK("https://github.com/mdlayher/raw", "https://github.com/mdlayher/raw")</f>
        <v>https://github.com/mdlayher/raw</v>
      </c>
      <c r="D706">
        <v>273</v>
      </c>
      <c r="E706" t="s">
        <v>2080</v>
      </c>
      <c r="F706" t="s">
        <v>2081</v>
      </c>
      <c r="G706">
        <v>41</v>
      </c>
      <c r="H706" s="2">
        <v>42191.674849537027</v>
      </c>
      <c r="I706" s="2">
        <v>43577.554884259262</v>
      </c>
      <c r="J706" t="s">
        <v>2082</v>
      </c>
    </row>
    <row r="707" spans="1:10" x14ac:dyDescent="0.15">
      <c r="A707">
        <v>14214963</v>
      </c>
      <c r="B707" s="3" t="str">
        <f>HYPERLINK("https://github.com/glycerine/go-capnproto", "https://github.com/glycerine/go-capnproto")</f>
        <v>https://github.com/glycerine/go-capnproto</v>
      </c>
      <c r="D707">
        <v>271</v>
      </c>
      <c r="E707" t="s">
        <v>2083</v>
      </c>
      <c r="F707" t="s">
        <v>2084</v>
      </c>
      <c r="G707">
        <v>20</v>
      </c>
      <c r="H707" s="2">
        <v>41585.852916666663</v>
      </c>
      <c r="I707" s="2">
        <v>43577.189664351848</v>
      </c>
      <c r="J707" t="s">
        <v>2085</v>
      </c>
    </row>
    <row r="708" spans="1:10" x14ac:dyDescent="0.15">
      <c r="A708">
        <v>103940483</v>
      </c>
      <c r="B708" s="3" t="str">
        <f>HYPERLINK("https://github.com/Vertamedia/chproxy", "https://github.com/Vertamedia/chproxy")</f>
        <v>https://github.com/Vertamedia/chproxy</v>
      </c>
      <c r="D708">
        <v>267</v>
      </c>
      <c r="E708" t="s">
        <v>2086</v>
      </c>
      <c r="F708" t="s">
        <v>2087</v>
      </c>
      <c r="G708">
        <v>30</v>
      </c>
      <c r="H708" s="2">
        <v>42996.548182870371</v>
      </c>
      <c r="I708" s="2">
        <v>43578.515381944453</v>
      </c>
      <c r="J708" t="s">
        <v>2088</v>
      </c>
    </row>
    <row r="709" spans="1:10" x14ac:dyDescent="0.15">
      <c r="A709">
        <v>41033168</v>
      </c>
      <c r="B709" s="3" t="str">
        <f>HYPERLINK("https://github.com/valyala/fasttemplate", "https://github.com/valyala/fasttemplate")</f>
        <v>https://github.com/valyala/fasttemplate</v>
      </c>
      <c r="D709">
        <v>266</v>
      </c>
      <c r="E709" t="s">
        <v>2089</v>
      </c>
      <c r="F709" t="s">
        <v>2090</v>
      </c>
      <c r="G709">
        <v>37</v>
      </c>
      <c r="H709" s="2">
        <v>42235.530810185177</v>
      </c>
      <c r="I709" s="2">
        <v>43577.117534722223</v>
      </c>
      <c r="J709" t="s">
        <v>2091</v>
      </c>
    </row>
    <row r="710" spans="1:10" x14ac:dyDescent="0.15">
      <c r="A710">
        <v>32225965</v>
      </c>
      <c r="B710" s="3" t="str">
        <f>HYPERLINK("https://github.com/awalterschulze/gographviz", "https://github.com/awalterschulze/gographviz")</f>
        <v>https://github.com/awalterschulze/gographviz</v>
      </c>
      <c r="D710">
        <v>264</v>
      </c>
      <c r="E710" t="s">
        <v>2092</v>
      </c>
      <c r="F710" t="s">
        <v>2093</v>
      </c>
      <c r="G710">
        <v>38</v>
      </c>
      <c r="H710" s="2">
        <v>42077.768750000003</v>
      </c>
      <c r="I710" s="2">
        <v>43573.590127314812</v>
      </c>
      <c r="J710" t="s">
        <v>2094</v>
      </c>
    </row>
    <row r="711" spans="1:10" x14ac:dyDescent="0.15">
      <c r="A711">
        <v>25176775</v>
      </c>
      <c r="B711" s="3" t="str">
        <f>HYPERLINK("https://github.com/firstrow/tcp_server", "https://github.com/firstrow/tcp_server")</f>
        <v>https://github.com/firstrow/tcp_server</v>
      </c>
      <c r="D711">
        <v>262</v>
      </c>
      <c r="E711" t="s">
        <v>2095</v>
      </c>
      <c r="F711" t="s">
        <v>2096</v>
      </c>
      <c r="G711">
        <v>96</v>
      </c>
      <c r="H711" s="2">
        <v>41925.860208333332</v>
      </c>
      <c r="I711" s="2">
        <v>43580.469363425917</v>
      </c>
      <c r="J711" t="s">
        <v>2097</v>
      </c>
    </row>
    <row r="712" spans="1:10" x14ac:dyDescent="0.15">
      <c r="A712">
        <v>11364928</v>
      </c>
      <c r="B712" s="3" t="str">
        <f>HYPERLINK("https://github.com/emicklei/mora", "https://github.com/emicklei/mora")</f>
        <v>https://github.com/emicklei/mora</v>
      </c>
      <c r="D712">
        <v>262</v>
      </c>
      <c r="E712" t="s">
        <v>2098</v>
      </c>
      <c r="F712" t="s">
        <v>2099</v>
      </c>
      <c r="G712">
        <v>51</v>
      </c>
      <c r="H712" s="2">
        <v>41467.379872685182</v>
      </c>
      <c r="I712" s="2">
        <v>43575.430439814823</v>
      </c>
      <c r="J712" t="s">
        <v>2100</v>
      </c>
    </row>
    <row r="713" spans="1:10" x14ac:dyDescent="0.15">
      <c r="A713">
        <v>51254271</v>
      </c>
      <c r="B713" s="3" t="str">
        <f>HYPERLINK("https://github.com/go-playground/log", "https://github.com/go-playground/log")</f>
        <v>https://github.com/go-playground/log</v>
      </c>
      <c r="D713">
        <v>261</v>
      </c>
      <c r="E713" t="s">
        <v>1354</v>
      </c>
      <c r="F713" t="s">
        <v>2101</v>
      </c>
      <c r="G713">
        <v>20</v>
      </c>
      <c r="H713" s="2">
        <v>42407.679027777784</v>
      </c>
      <c r="I713" s="2">
        <v>43577.969386574077</v>
      </c>
      <c r="J713" t="s">
        <v>2102</v>
      </c>
    </row>
    <row r="714" spans="1:10" x14ac:dyDescent="0.15">
      <c r="A714">
        <v>29187545</v>
      </c>
      <c r="B714" s="3" t="str">
        <f>HYPERLINK("https://github.com/dimiro1/ipe", "https://github.com/dimiro1/ipe")</f>
        <v>https://github.com/dimiro1/ipe</v>
      </c>
      <c r="D714">
        <v>261</v>
      </c>
      <c r="E714" t="s">
        <v>2103</v>
      </c>
      <c r="F714" t="s">
        <v>2104</v>
      </c>
      <c r="G714">
        <v>42</v>
      </c>
      <c r="H714" s="2">
        <v>42017.492581018523</v>
      </c>
      <c r="I714" s="2">
        <v>43578.85597222222</v>
      </c>
      <c r="J714" t="s">
        <v>2105</v>
      </c>
    </row>
    <row r="715" spans="1:10" x14ac:dyDescent="0.15">
      <c r="A715">
        <v>3890763</v>
      </c>
      <c r="B715" s="3" t="str">
        <f>HYPERLINK("https://github.com/cskr/pubsub", "https://github.com/cskr/pubsub")</f>
        <v>https://github.com/cskr/pubsub</v>
      </c>
      <c r="D715">
        <v>260</v>
      </c>
      <c r="E715" t="s">
        <v>2106</v>
      </c>
      <c r="F715" t="s">
        <v>2107</v>
      </c>
      <c r="G715">
        <v>41</v>
      </c>
      <c r="H715" s="2">
        <v>41000.27202546296</v>
      </c>
      <c r="I715" s="2">
        <v>43577.58803240741</v>
      </c>
      <c r="J715" t="s">
        <v>2108</v>
      </c>
    </row>
    <row r="716" spans="1:10" x14ac:dyDescent="0.15">
      <c r="A716">
        <v>11208890</v>
      </c>
      <c r="B716" s="3" t="str">
        <f>HYPERLINK("https://github.com/VividCortex/ewma", "https://github.com/VividCortex/ewma")</f>
        <v>https://github.com/VividCortex/ewma</v>
      </c>
      <c r="D716">
        <v>258</v>
      </c>
      <c r="E716" t="s">
        <v>2109</v>
      </c>
      <c r="F716" t="s">
        <v>2110</v>
      </c>
      <c r="G716">
        <v>19</v>
      </c>
      <c r="H716" s="2">
        <v>41460.898206018523</v>
      </c>
      <c r="I716" s="2">
        <v>43570.358368055553</v>
      </c>
      <c r="J716" t="s">
        <v>2111</v>
      </c>
    </row>
    <row r="717" spans="1:10" x14ac:dyDescent="0.15">
      <c r="A717">
        <v>153871648</v>
      </c>
      <c r="B717" s="3" t="str">
        <f>HYPERLINK("https://github.com/qeesung/image2ascii", "https://github.com/qeesung/image2ascii")</f>
        <v>https://github.com/qeesung/image2ascii</v>
      </c>
      <c r="D717">
        <v>255</v>
      </c>
      <c r="E717" t="s">
        <v>2112</v>
      </c>
      <c r="F717" t="s">
        <v>2113</v>
      </c>
      <c r="G717">
        <v>19</v>
      </c>
      <c r="H717" s="2">
        <v>43393.212789351863</v>
      </c>
      <c r="I717" s="2">
        <v>43577.233159722222</v>
      </c>
      <c r="J717" t="s">
        <v>2114</v>
      </c>
    </row>
    <row r="718" spans="1:10" x14ac:dyDescent="0.15">
      <c r="A718">
        <v>40334054</v>
      </c>
      <c r="B718" s="3" t="str">
        <f>HYPERLINK("https://github.com/neurosnap/sentences", "https://github.com/neurosnap/sentences")</f>
        <v>https://github.com/neurosnap/sentences</v>
      </c>
      <c r="D718">
        <v>254</v>
      </c>
      <c r="E718" t="s">
        <v>2115</v>
      </c>
      <c r="F718" t="s">
        <v>2116</v>
      </c>
      <c r="G718">
        <v>22</v>
      </c>
      <c r="H718" s="2">
        <v>42223.047453703701</v>
      </c>
      <c r="I718" s="2">
        <v>43577.742407407408</v>
      </c>
      <c r="J718" t="s">
        <v>2117</v>
      </c>
    </row>
    <row r="719" spans="1:10" x14ac:dyDescent="0.15">
      <c r="A719">
        <v>52119293</v>
      </c>
      <c r="B719" s="3" t="str">
        <f>HYPERLINK("https://github.com/mdempsky/unconvert", "https://github.com/mdempsky/unconvert")</f>
        <v>https://github.com/mdempsky/unconvert</v>
      </c>
      <c r="D719">
        <v>252</v>
      </c>
      <c r="E719" t="s">
        <v>2118</v>
      </c>
      <c r="F719" t="s">
        <v>2119</v>
      </c>
      <c r="G719">
        <v>16</v>
      </c>
      <c r="H719" s="2">
        <v>42419.91605324074</v>
      </c>
      <c r="I719" s="2">
        <v>43571.467847222222</v>
      </c>
      <c r="J719" t="s">
        <v>2120</v>
      </c>
    </row>
    <row r="720" spans="1:10" x14ac:dyDescent="0.15">
      <c r="A720">
        <v>156842152</v>
      </c>
      <c r="B720" s="3" t="str">
        <f>HYPERLINK("https://github.com/wesovilabs/koazee", "https://github.com/wesovilabs/koazee")</f>
        <v>https://github.com/wesovilabs/koazee</v>
      </c>
      <c r="D720">
        <v>251</v>
      </c>
      <c r="E720" t="s">
        <v>2121</v>
      </c>
      <c r="F720" t="s">
        <v>2122</v>
      </c>
      <c r="G720">
        <v>12</v>
      </c>
      <c r="H720" s="2">
        <v>43413.409247685187</v>
      </c>
      <c r="I720" s="2">
        <v>43579.35361111111</v>
      </c>
      <c r="J720" t="s">
        <v>2123</v>
      </c>
    </row>
    <row r="721" spans="1:10" x14ac:dyDescent="0.15">
      <c r="A721">
        <v>88099784</v>
      </c>
      <c r="B721" s="3" t="str">
        <f>HYPERLINK("https://github.com/roblaszczak/go-cleanarch", "https://github.com/roblaszczak/go-cleanarch")</f>
        <v>https://github.com/roblaszczak/go-cleanarch</v>
      </c>
      <c r="D721">
        <v>250</v>
      </c>
      <c r="E721" t="s">
        <v>2124</v>
      </c>
      <c r="F721" t="s">
        <v>2125</v>
      </c>
      <c r="G721">
        <v>21</v>
      </c>
      <c r="H721" s="2">
        <v>42837.91615740741</v>
      </c>
      <c r="I721" s="2">
        <v>43572.816365740742</v>
      </c>
      <c r="J721" t="s">
        <v>2126</v>
      </c>
    </row>
    <row r="722" spans="1:10" x14ac:dyDescent="0.15">
      <c r="A722">
        <v>119120832</v>
      </c>
      <c r="B722" s="3" t="str">
        <f>HYPERLINK("https://github.com/edwingeng/wuid", "https://github.com/edwingeng/wuid")</f>
        <v>https://github.com/edwingeng/wuid</v>
      </c>
      <c r="D722">
        <v>250</v>
      </c>
      <c r="E722" t="s">
        <v>2127</v>
      </c>
      <c r="F722" t="s">
        <v>2128</v>
      </c>
      <c r="G722">
        <v>24</v>
      </c>
      <c r="H722" s="2">
        <v>43127.053101851852</v>
      </c>
      <c r="I722" s="2">
        <v>43578.499120370368</v>
      </c>
      <c r="J722" t="s">
        <v>2129</v>
      </c>
    </row>
    <row r="723" spans="1:10" x14ac:dyDescent="0.15">
      <c r="A723">
        <v>81462386</v>
      </c>
      <c r="B723" s="3" t="str">
        <f>HYPERLINK("https://github.com/slotix/dataflowkit", "https://github.com/slotix/dataflowkit")</f>
        <v>https://github.com/slotix/dataflowkit</v>
      </c>
      <c r="D723">
        <v>250</v>
      </c>
      <c r="E723" t="s">
        <v>2130</v>
      </c>
      <c r="F723" t="s">
        <v>2131</v>
      </c>
      <c r="G723">
        <v>29</v>
      </c>
      <c r="H723" s="2">
        <v>42775.630729166667</v>
      </c>
      <c r="I723" s="2">
        <v>43579.325289351851</v>
      </c>
      <c r="J723" t="s">
        <v>2132</v>
      </c>
    </row>
    <row r="724" spans="1:10" x14ac:dyDescent="0.15">
      <c r="A724">
        <v>42908179</v>
      </c>
      <c r="B724" s="3" t="str">
        <f>HYPERLINK("https://github.com/husobee/vestigo", "https://github.com/husobee/vestigo")</f>
        <v>https://github.com/husobee/vestigo</v>
      </c>
      <c r="D724">
        <v>249</v>
      </c>
      <c r="E724" t="s">
        <v>2133</v>
      </c>
      <c r="F724" t="s">
        <v>2134</v>
      </c>
      <c r="G724">
        <v>28</v>
      </c>
      <c r="H724" s="2">
        <v>42269.130590277768</v>
      </c>
      <c r="I724" s="2">
        <v>43551.90729166667</v>
      </c>
      <c r="J724" t="s">
        <v>2135</v>
      </c>
    </row>
    <row r="725" spans="1:10" x14ac:dyDescent="0.15">
      <c r="A725">
        <v>17471482</v>
      </c>
      <c r="B725" s="3" t="str">
        <f>HYPERLINK("https://github.com/bsm/redeo", "https://github.com/bsm/redeo")</f>
        <v>https://github.com/bsm/redeo</v>
      </c>
      <c r="D725">
        <v>247</v>
      </c>
      <c r="E725" t="s">
        <v>2136</v>
      </c>
      <c r="F725" t="s">
        <v>2137</v>
      </c>
      <c r="G725">
        <v>18</v>
      </c>
      <c r="H725" s="2">
        <v>41704.365486111114</v>
      </c>
      <c r="I725" s="2">
        <v>43576.591817129629</v>
      </c>
      <c r="J725" t="s">
        <v>2138</v>
      </c>
    </row>
    <row r="726" spans="1:10" x14ac:dyDescent="0.15">
      <c r="A726">
        <v>29736815</v>
      </c>
      <c r="B726" s="3" t="str">
        <f>HYPERLINK("https://github.com/jingweno/nut", "https://github.com/jingweno/nut")</f>
        <v>https://github.com/jingweno/nut</v>
      </c>
      <c r="D726">
        <v>247</v>
      </c>
      <c r="E726" t="s">
        <v>2139</v>
      </c>
      <c r="F726" t="s">
        <v>2140</v>
      </c>
      <c r="G726">
        <v>11</v>
      </c>
      <c r="H726" s="2">
        <v>42027.615648148138</v>
      </c>
      <c r="I726" s="2">
        <v>43564.912627314807</v>
      </c>
      <c r="J726" t="s">
        <v>2141</v>
      </c>
    </row>
    <row r="727" spans="1:10" x14ac:dyDescent="0.15">
      <c r="A727">
        <v>32763101</v>
      </c>
      <c r="B727" s="3" t="str">
        <f>HYPERLINK("https://github.com/cosiner/gohper", "https://github.com/cosiner/gohper")</f>
        <v>https://github.com/cosiner/gohper</v>
      </c>
      <c r="D727">
        <v>247</v>
      </c>
      <c r="E727" t="s">
        <v>2142</v>
      </c>
      <c r="F727" t="s">
        <v>2143</v>
      </c>
      <c r="G727">
        <v>45</v>
      </c>
      <c r="H727" s="2">
        <v>42086.948750000003</v>
      </c>
      <c r="I727" s="2">
        <v>43553.563113425917</v>
      </c>
      <c r="J727" t="s">
        <v>2144</v>
      </c>
    </row>
    <row r="728" spans="1:10" x14ac:dyDescent="0.15">
      <c r="A728">
        <v>54086876</v>
      </c>
      <c r="B728" s="3" t="str">
        <f>HYPERLINK("https://github.com/go-music-theory/music-theory", "https://github.com/go-music-theory/music-theory")</f>
        <v>https://github.com/go-music-theory/music-theory</v>
      </c>
      <c r="D728">
        <v>246</v>
      </c>
      <c r="E728" t="s">
        <v>2145</v>
      </c>
      <c r="F728" t="s">
        <v>2146</v>
      </c>
      <c r="G728">
        <v>21</v>
      </c>
      <c r="H728" s="2">
        <v>42446.159918981481</v>
      </c>
      <c r="I728" s="2">
        <v>43580.086041666669</v>
      </c>
      <c r="J728" t="s">
        <v>2147</v>
      </c>
    </row>
    <row r="729" spans="1:10" x14ac:dyDescent="0.15">
      <c r="A729">
        <v>102981082</v>
      </c>
      <c r="B729" s="3" t="str">
        <f>HYPERLINK("https://github.com/thestrukture/IDE", "https://github.com/thestrukture/IDE")</f>
        <v>https://github.com/thestrukture/IDE</v>
      </c>
      <c r="D729">
        <v>245</v>
      </c>
      <c r="E729" t="s">
        <v>2148</v>
      </c>
      <c r="F729" t="s">
        <v>2149</v>
      </c>
      <c r="G729">
        <v>9</v>
      </c>
      <c r="H729" s="2">
        <v>42987.826354166667</v>
      </c>
      <c r="I729" s="2">
        <v>43579.395312499997</v>
      </c>
      <c r="J729" t="s">
        <v>2150</v>
      </c>
    </row>
    <row r="730" spans="1:10" x14ac:dyDescent="0.15">
      <c r="A730">
        <v>125911051</v>
      </c>
      <c r="B730" s="3" t="str">
        <f>HYPERLINK("https://github.com/topfreegames/pitaya", "https://github.com/topfreegames/pitaya")</f>
        <v>https://github.com/topfreegames/pitaya</v>
      </c>
      <c r="D730">
        <v>243</v>
      </c>
      <c r="E730" t="s">
        <v>2151</v>
      </c>
      <c r="F730" t="s">
        <v>2152</v>
      </c>
      <c r="G730">
        <v>39</v>
      </c>
      <c r="H730" s="2">
        <v>43178.819861111107</v>
      </c>
      <c r="I730" s="2">
        <v>43580.352754629632</v>
      </c>
      <c r="J730" t="s">
        <v>2153</v>
      </c>
    </row>
    <row r="731" spans="1:10" x14ac:dyDescent="0.15">
      <c r="A731">
        <v>13435885</v>
      </c>
      <c r="B731" s="3" t="str">
        <f>HYPERLINK("https://github.com/hashicorp/logutils", "https://github.com/hashicorp/logutils")</f>
        <v>https://github.com/hashicorp/logutils</v>
      </c>
      <c r="D731">
        <v>242</v>
      </c>
      <c r="E731" t="s">
        <v>2154</v>
      </c>
      <c r="F731" t="s">
        <v>2155</v>
      </c>
      <c r="G731">
        <v>25</v>
      </c>
      <c r="H731" s="2">
        <v>41556.313368055547</v>
      </c>
      <c r="I731" s="2">
        <v>43578.888136574067</v>
      </c>
      <c r="J731" t="s">
        <v>2156</v>
      </c>
    </row>
    <row r="732" spans="1:10" x14ac:dyDescent="0.15">
      <c r="A732">
        <v>42525006</v>
      </c>
      <c r="B732" s="3" t="str">
        <f>HYPERLINK("https://github.com/verdverm/frisby", "https://github.com/verdverm/frisby")</f>
        <v>https://github.com/verdverm/frisby</v>
      </c>
      <c r="D732">
        <v>242</v>
      </c>
      <c r="E732" t="s">
        <v>2157</v>
      </c>
      <c r="F732" t="s">
        <v>2158</v>
      </c>
      <c r="G732">
        <v>20</v>
      </c>
      <c r="H732" s="2">
        <v>42262.608310185176</v>
      </c>
      <c r="I732" s="2">
        <v>43571.094583333332</v>
      </c>
      <c r="J732" t="s">
        <v>2159</v>
      </c>
    </row>
    <row r="733" spans="1:10" x14ac:dyDescent="0.15">
      <c r="A733">
        <v>96219187</v>
      </c>
      <c r="B733" s="3" t="str">
        <f>HYPERLINK("https://github.com/asticode/go-astits", "https://github.com/asticode/go-astits")</f>
        <v>https://github.com/asticode/go-astits</v>
      </c>
      <c r="D733">
        <v>241</v>
      </c>
      <c r="E733" t="s">
        <v>2160</v>
      </c>
      <c r="F733" t="s">
        <v>2161</v>
      </c>
      <c r="G733">
        <v>16</v>
      </c>
      <c r="H733" s="2">
        <v>42920.546006944453</v>
      </c>
      <c r="I733" s="2">
        <v>43576.450324074067</v>
      </c>
      <c r="J733" t="s">
        <v>2162</v>
      </c>
    </row>
    <row r="734" spans="1:10" x14ac:dyDescent="0.15">
      <c r="A734">
        <v>54932530</v>
      </c>
      <c r="B734" s="3" t="str">
        <f>HYPERLINK("https://github.com/appleboy/gofight", "https://github.com/appleboy/gofight")</f>
        <v>https://github.com/appleboy/gofight</v>
      </c>
      <c r="D734">
        <v>241</v>
      </c>
      <c r="E734" t="s">
        <v>2163</v>
      </c>
      <c r="F734" t="s">
        <v>2164</v>
      </c>
      <c r="G734">
        <v>15</v>
      </c>
      <c r="H734" s="2">
        <v>42458.009270833332</v>
      </c>
      <c r="I734" s="2">
        <v>43573.774791666663</v>
      </c>
      <c r="J734" t="s">
        <v>2165</v>
      </c>
    </row>
    <row r="735" spans="1:10" x14ac:dyDescent="0.15">
      <c r="A735">
        <v>43611359</v>
      </c>
      <c r="B735" s="3" t="str">
        <f>HYPERLINK("https://github.com/tucnak/store", "https://github.com/tucnak/store")</f>
        <v>https://github.com/tucnak/store</v>
      </c>
      <c r="D735">
        <v>240</v>
      </c>
      <c r="E735" t="s">
        <v>2166</v>
      </c>
      <c r="F735" t="s">
        <v>2167</v>
      </c>
      <c r="G735">
        <v>14</v>
      </c>
      <c r="H735" s="2">
        <v>42280.803796296299</v>
      </c>
      <c r="I735" s="2">
        <v>43563.483437499999</v>
      </c>
      <c r="J735" t="s">
        <v>2168</v>
      </c>
    </row>
    <row r="736" spans="1:10" x14ac:dyDescent="0.15">
      <c r="A736">
        <v>20866505</v>
      </c>
      <c r="B736" s="3" t="str">
        <f>HYPERLINK("https://github.com/dgryski/go-jump", "https://github.com/dgryski/go-jump")</f>
        <v>https://github.com/dgryski/go-jump</v>
      </c>
      <c r="D736">
        <v>240</v>
      </c>
      <c r="E736" t="s">
        <v>2169</v>
      </c>
      <c r="F736" t="s">
        <v>2170</v>
      </c>
      <c r="G736">
        <v>20</v>
      </c>
      <c r="H736" s="2">
        <v>41805.925046296303</v>
      </c>
      <c r="I736" s="2">
        <v>43577.881354166668</v>
      </c>
      <c r="J736" t="s">
        <v>2171</v>
      </c>
    </row>
    <row r="737" spans="1:10" x14ac:dyDescent="0.15">
      <c r="A737">
        <v>16551388</v>
      </c>
      <c r="B737" s="3" t="str">
        <f>HYPERLINK("https://github.com/muesli/regommend", "https://github.com/muesli/regommend")</f>
        <v>https://github.com/muesli/regommend</v>
      </c>
      <c r="D737">
        <v>240</v>
      </c>
      <c r="E737" t="s">
        <v>2172</v>
      </c>
      <c r="F737" t="s">
        <v>2173</v>
      </c>
      <c r="G737">
        <v>21</v>
      </c>
      <c r="H737" s="2">
        <v>41675.70890046296</v>
      </c>
      <c r="I737" s="2">
        <v>43579.251967592587</v>
      </c>
      <c r="J737" t="s">
        <v>2174</v>
      </c>
    </row>
    <row r="738" spans="1:10" x14ac:dyDescent="0.15">
      <c r="A738">
        <v>27936107</v>
      </c>
      <c r="B738" s="3" t="str">
        <f>HYPERLINK("https://github.com/jaredfolkins/badactor", "https://github.com/jaredfolkins/badactor")</f>
        <v>https://github.com/jaredfolkins/badactor</v>
      </c>
      <c r="D738">
        <v>239</v>
      </c>
      <c r="E738" t="s">
        <v>2175</v>
      </c>
      <c r="F738" t="s">
        <v>2176</v>
      </c>
      <c r="G738">
        <v>8</v>
      </c>
      <c r="H738" s="2">
        <v>41985.837037037039</v>
      </c>
      <c r="I738" s="2">
        <v>43573.823298611111</v>
      </c>
      <c r="J738" t="s">
        <v>2177</v>
      </c>
    </row>
    <row r="739" spans="1:10" x14ac:dyDescent="0.15">
      <c r="A739">
        <v>162203238</v>
      </c>
      <c r="B739" s="3" t="str">
        <f>HYPERLINK("https://github.com/cheynewallace/tabby", "https://github.com/cheynewallace/tabby")</f>
        <v>https://github.com/cheynewallace/tabby</v>
      </c>
      <c r="D739">
        <v>238</v>
      </c>
      <c r="E739" t="s">
        <v>2178</v>
      </c>
      <c r="F739" t="s">
        <v>2179</v>
      </c>
      <c r="G739">
        <v>6</v>
      </c>
      <c r="H739" s="2">
        <v>43451.983090277783</v>
      </c>
      <c r="I739" s="2">
        <v>43576.840081018519</v>
      </c>
      <c r="J739" t="s">
        <v>2180</v>
      </c>
    </row>
    <row r="740" spans="1:10" x14ac:dyDescent="0.15">
      <c r="A740">
        <v>14737022</v>
      </c>
      <c r="B740" s="3" t="str">
        <f>HYPERLINK("https://github.com/shurcooL/gostatus", "https://github.com/shurcooL/gostatus")</f>
        <v>https://github.com/shurcooL/gostatus</v>
      </c>
      <c r="D740">
        <v>236</v>
      </c>
      <c r="E740" t="s">
        <v>2181</v>
      </c>
      <c r="F740" t="s">
        <v>2182</v>
      </c>
      <c r="G740">
        <v>11</v>
      </c>
      <c r="H740" s="2">
        <v>41605.171238425923</v>
      </c>
      <c r="I740" s="2">
        <v>43572.349131944437</v>
      </c>
      <c r="J740" t="s">
        <v>2183</v>
      </c>
    </row>
    <row r="741" spans="1:10" x14ac:dyDescent="0.15">
      <c r="A741">
        <v>24001649</v>
      </c>
      <c r="B741" s="3" t="str">
        <f>HYPERLINK("https://github.com/mdlayher/waveform", "https://github.com/mdlayher/waveform")</f>
        <v>https://github.com/mdlayher/waveform</v>
      </c>
      <c r="D741">
        <v>235</v>
      </c>
      <c r="E741" t="s">
        <v>2184</v>
      </c>
      <c r="F741" t="s">
        <v>2185</v>
      </c>
      <c r="G741">
        <v>22</v>
      </c>
      <c r="H741" s="2">
        <v>41895.755277777767</v>
      </c>
      <c r="I741" s="2">
        <v>43578.64234953704</v>
      </c>
      <c r="J741" t="s">
        <v>2186</v>
      </c>
    </row>
    <row r="742" spans="1:10" x14ac:dyDescent="0.15">
      <c r="A742">
        <v>11463545</v>
      </c>
      <c r="B742" s="3" t="str">
        <f>HYPERLINK("https://github.com/albrow/zoom", "https://github.com/albrow/zoom")</f>
        <v>https://github.com/albrow/zoom</v>
      </c>
      <c r="D742">
        <v>234</v>
      </c>
      <c r="E742" t="s">
        <v>2187</v>
      </c>
      <c r="F742" t="s">
        <v>2188</v>
      </c>
      <c r="G742">
        <v>18</v>
      </c>
      <c r="H742" s="2">
        <v>41472.022615740738</v>
      </c>
      <c r="I742" s="2">
        <v>43575.641145833331</v>
      </c>
      <c r="J742" t="s">
        <v>2189</v>
      </c>
    </row>
    <row r="743" spans="1:10" x14ac:dyDescent="0.15">
      <c r="A743">
        <v>28522749</v>
      </c>
      <c r="B743" s="3" t="str">
        <f>HYPERLINK("https://github.com/zimmski/go-mutesting", "https://github.com/zimmski/go-mutesting")</f>
        <v>https://github.com/zimmski/go-mutesting</v>
      </c>
      <c r="D743">
        <v>234</v>
      </c>
      <c r="E743" t="s">
        <v>2190</v>
      </c>
      <c r="F743" t="s">
        <v>2191</v>
      </c>
      <c r="G743">
        <v>19</v>
      </c>
      <c r="H743" s="2">
        <v>41999.933148148149</v>
      </c>
      <c r="I743" s="2">
        <v>43576.881377314807</v>
      </c>
      <c r="J743" t="s">
        <v>2192</v>
      </c>
    </row>
    <row r="744" spans="1:10" x14ac:dyDescent="0.15">
      <c r="A744">
        <v>46426592</v>
      </c>
      <c r="B744" s="3" t="str">
        <f>HYPERLINK("https://github.com/dinever/golf", "https://github.com/dinever/golf")</f>
        <v>https://github.com/dinever/golf</v>
      </c>
      <c r="D744">
        <v>232</v>
      </c>
      <c r="E744" t="s">
        <v>2193</v>
      </c>
      <c r="F744" t="s">
        <v>2194</v>
      </c>
      <c r="G744">
        <v>22</v>
      </c>
      <c r="H744" s="2">
        <v>42326.632106481477</v>
      </c>
      <c r="I744" s="2">
        <v>43577.833009259259</v>
      </c>
      <c r="J744" t="s">
        <v>2195</v>
      </c>
    </row>
    <row r="745" spans="1:10" x14ac:dyDescent="0.15">
      <c r="A745">
        <v>148887586</v>
      </c>
      <c r="B745" s="3" t="str">
        <f>HYPERLINK("https://github.com/hexdigest/gowrap", "https://github.com/hexdigest/gowrap")</f>
        <v>https://github.com/hexdigest/gowrap</v>
      </c>
      <c r="D745">
        <v>230</v>
      </c>
      <c r="E745" t="s">
        <v>2196</v>
      </c>
      <c r="F745" t="s">
        <v>2197</v>
      </c>
      <c r="G745">
        <v>12</v>
      </c>
      <c r="H745" s="2">
        <v>43358.389374999999</v>
      </c>
      <c r="I745" s="2">
        <v>43579.662939814807</v>
      </c>
      <c r="J745" t="s">
        <v>2198</v>
      </c>
    </row>
    <row r="746" spans="1:10" x14ac:dyDescent="0.15">
      <c r="A746">
        <v>114995309</v>
      </c>
      <c r="B746" s="3" t="str">
        <f>HYPERLINK("https://github.com/heetch/confita", "https://github.com/heetch/confita")</f>
        <v>https://github.com/heetch/confita</v>
      </c>
      <c r="D746">
        <v>226</v>
      </c>
      <c r="E746" t="s">
        <v>2199</v>
      </c>
      <c r="F746" t="s">
        <v>2200</v>
      </c>
      <c r="G746">
        <v>17</v>
      </c>
      <c r="H746" s="2">
        <v>43090.450902777768</v>
      </c>
      <c r="I746" s="2">
        <v>43579.631527777783</v>
      </c>
      <c r="J746" t="s">
        <v>2201</v>
      </c>
    </row>
    <row r="747" spans="1:10" x14ac:dyDescent="0.15">
      <c r="A747">
        <v>24486800</v>
      </c>
      <c r="B747" s="3" t="str">
        <f>HYPERLINK("https://github.com/apsdehal/go-logger", "https://github.com/apsdehal/go-logger")</f>
        <v>https://github.com/apsdehal/go-logger</v>
      </c>
      <c r="D747">
        <v>226</v>
      </c>
      <c r="E747" t="s">
        <v>2202</v>
      </c>
      <c r="F747" t="s">
        <v>2203</v>
      </c>
      <c r="G747">
        <v>36</v>
      </c>
      <c r="H747" s="2">
        <v>41908.206319444442</v>
      </c>
      <c r="I747" s="2">
        <v>43578.487326388888</v>
      </c>
      <c r="J747" t="s">
        <v>2204</v>
      </c>
    </row>
    <row r="748" spans="1:10" x14ac:dyDescent="0.15">
      <c r="A748">
        <v>59992242</v>
      </c>
      <c r="B748" s="3" t="str">
        <f>HYPERLINK("https://github.com/goiot/devices", "https://github.com/goiot/devices")</f>
        <v>https://github.com/goiot/devices</v>
      </c>
      <c r="D748">
        <v>224</v>
      </c>
      <c r="E748" t="s">
        <v>2205</v>
      </c>
      <c r="F748" t="s">
        <v>2206</v>
      </c>
      <c r="G748">
        <v>17</v>
      </c>
      <c r="H748" s="2">
        <v>42520.338217592587</v>
      </c>
      <c r="I748" s="2">
        <v>43572.8200462963</v>
      </c>
      <c r="J748" t="s">
        <v>2207</v>
      </c>
    </row>
    <row r="749" spans="1:10" x14ac:dyDescent="0.15">
      <c r="A749">
        <v>38265793</v>
      </c>
      <c r="B749" s="3" t="str">
        <f>HYPERLINK("https://github.com/StabbyCutyou/buffstreams", "https://github.com/StabbyCutyou/buffstreams")</f>
        <v>https://github.com/StabbyCutyou/buffstreams</v>
      </c>
      <c r="D749">
        <v>223</v>
      </c>
      <c r="E749" t="s">
        <v>2208</v>
      </c>
      <c r="F749" t="s">
        <v>2209</v>
      </c>
      <c r="G749">
        <v>26</v>
      </c>
      <c r="H749" s="2">
        <v>42184.796886574077</v>
      </c>
      <c r="I749" s="2">
        <v>43575.418171296304</v>
      </c>
      <c r="J749" t="s">
        <v>2210</v>
      </c>
    </row>
    <row r="750" spans="1:10" x14ac:dyDescent="0.15">
      <c r="A750">
        <v>61498446</v>
      </c>
      <c r="B750" s="3" t="str">
        <f>HYPERLINK("https://github.com/leonelquinteros/gotext", "https://github.com/leonelquinteros/gotext")</f>
        <v>https://github.com/leonelquinteros/gotext</v>
      </c>
      <c r="D750">
        <v>223</v>
      </c>
      <c r="E750" t="s">
        <v>2211</v>
      </c>
      <c r="F750" t="s">
        <v>2212</v>
      </c>
      <c r="G750">
        <v>20</v>
      </c>
      <c r="H750" s="2">
        <v>42540.843553240738</v>
      </c>
      <c r="I750" s="2">
        <v>43577.538564814808</v>
      </c>
      <c r="J750" t="s">
        <v>2213</v>
      </c>
    </row>
    <row r="751" spans="1:10" x14ac:dyDescent="0.15">
      <c r="A751">
        <v>28307457</v>
      </c>
      <c r="B751" s="3" t="str">
        <f>HYPERLINK("https://github.com/hlandau/passlib", "https://github.com/hlandau/passlib")</f>
        <v>https://github.com/hlandau/passlib</v>
      </c>
      <c r="D751">
        <v>221</v>
      </c>
      <c r="E751" t="s">
        <v>2214</v>
      </c>
      <c r="F751" t="s">
        <v>2215</v>
      </c>
      <c r="G751">
        <v>22</v>
      </c>
      <c r="H751" s="2">
        <v>41994.740185185183</v>
      </c>
      <c r="I751" s="2">
        <v>43579.286770833343</v>
      </c>
      <c r="J751" t="s">
        <v>2216</v>
      </c>
    </row>
    <row r="752" spans="1:10" x14ac:dyDescent="0.15">
      <c r="A752">
        <v>59328422</v>
      </c>
      <c r="B752" s="3" t="str">
        <f>HYPERLINK("https://github.com/hako/durafmt", "https://github.com/hako/durafmt")</f>
        <v>https://github.com/hako/durafmt</v>
      </c>
      <c r="D752">
        <v>218</v>
      </c>
      <c r="E752" t="s">
        <v>2217</v>
      </c>
      <c r="F752" t="s">
        <v>2218</v>
      </c>
      <c r="G752">
        <v>20</v>
      </c>
      <c r="H752" s="2">
        <v>42510.909409722219</v>
      </c>
      <c r="I752" s="2">
        <v>43576.209699074083</v>
      </c>
      <c r="J752" t="s">
        <v>2219</v>
      </c>
    </row>
    <row r="753" spans="1:10" x14ac:dyDescent="0.15">
      <c r="A753">
        <v>11990102</v>
      </c>
      <c r="B753" s="3" t="str">
        <f>HYPERLINK("https://github.com/sirnewton01/godbg", "https://github.com/sirnewton01/godbg")</f>
        <v>https://github.com/sirnewton01/godbg</v>
      </c>
      <c r="D753">
        <v>218</v>
      </c>
      <c r="E753" t="s">
        <v>2220</v>
      </c>
      <c r="F753" t="s">
        <v>2221</v>
      </c>
      <c r="G753">
        <v>22</v>
      </c>
      <c r="H753" s="2">
        <v>41495.043055555558</v>
      </c>
      <c r="I753" s="2">
        <v>43550.927731481483</v>
      </c>
      <c r="J753" t="s">
        <v>2222</v>
      </c>
    </row>
    <row r="754" spans="1:10" x14ac:dyDescent="0.15">
      <c r="A754">
        <v>56985584</v>
      </c>
      <c r="B754" s="3" t="str">
        <f>HYPERLINK("https://github.com/gortc/stun", "https://github.com/gortc/stun")</f>
        <v>https://github.com/gortc/stun</v>
      </c>
      <c r="D754">
        <v>216</v>
      </c>
      <c r="E754" t="s">
        <v>2223</v>
      </c>
      <c r="F754" t="s">
        <v>2224</v>
      </c>
      <c r="G754">
        <v>22</v>
      </c>
      <c r="H754" s="2">
        <v>42484.740717592591</v>
      </c>
      <c r="I754" s="2">
        <v>43579.653703703712</v>
      </c>
      <c r="J754" t="s">
        <v>2225</v>
      </c>
    </row>
    <row r="755" spans="1:10" x14ac:dyDescent="0.15">
      <c r="A755">
        <v>14026472</v>
      </c>
      <c r="B755" s="3" t="str">
        <f>HYPERLINK("https://github.com/smartystreets/go-aws-auth", "https://github.com/smartystreets/go-aws-auth")</f>
        <v>https://github.com/smartystreets/go-aws-auth</v>
      </c>
      <c r="D755">
        <v>216</v>
      </c>
      <c r="E755" t="s">
        <v>2226</v>
      </c>
      <c r="F755" t="s">
        <v>2227</v>
      </c>
      <c r="G755">
        <v>69</v>
      </c>
      <c r="H755" s="2">
        <v>41578.814074074071</v>
      </c>
      <c r="I755" s="2">
        <v>43536.28197916667</v>
      </c>
      <c r="J755" t="s">
        <v>2228</v>
      </c>
    </row>
    <row r="756" spans="1:10" x14ac:dyDescent="0.15">
      <c r="A756">
        <v>100341708</v>
      </c>
      <c r="B756" s="3" t="str">
        <f>HYPERLINK("https://github.com/ivanilves/lstags", "https://github.com/ivanilves/lstags")</f>
        <v>https://github.com/ivanilves/lstags</v>
      </c>
      <c r="D756">
        <v>215</v>
      </c>
      <c r="E756" t="s">
        <v>2229</v>
      </c>
      <c r="F756" t="s">
        <v>2230</v>
      </c>
      <c r="G756">
        <v>14</v>
      </c>
      <c r="H756" s="2">
        <v>42962.225891203707</v>
      </c>
      <c r="I756" s="2">
        <v>43570.388344907413</v>
      </c>
      <c r="J756" t="s">
        <v>2231</v>
      </c>
    </row>
    <row r="757" spans="1:10" x14ac:dyDescent="0.15">
      <c r="A757">
        <v>11530737</v>
      </c>
      <c r="B757" s="3" t="str">
        <f>HYPERLINK("https://github.com/VividCortex/johnny-deps", "https://github.com/VividCortex/johnny-deps")</f>
        <v>https://github.com/VividCortex/johnny-deps</v>
      </c>
      <c r="D757">
        <v>213</v>
      </c>
      <c r="E757" t="s">
        <v>2232</v>
      </c>
      <c r="F757" t="s">
        <v>971</v>
      </c>
      <c r="G757">
        <v>6</v>
      </c>
      <c r="H757" s="2">
        <v>41474.639432870368</v>
      </c>
      <c r="I757" s="2">
        <v>43311.263923611114</v>
      </c>
      <c r="J757" t="s">
        <v>2233</v>
      </c>
    </row>
    <row r="758" spans="1:10" x14ac:dyDescent="0.15">
      <c r="A758">
        <v>54748533</v>
      </c>
      <c r="B758" s="3" t="str">
        <f>HYPERLINK("https://github.com/dimiro1/banner", "https://github.com/dimiro1/banner")</f>
        <v>https://github.com/dimiro1/banner</v>
      </c>
      <c r="D758">
        <v>212</v>
      </c>
      <c r="E758" t="s">
        <v>2234</v>
      </c>
      <c r="F758" t="s">
        <v>2235</v>
      </c>
      <c r="G758">
        <v>10</v>
      </c>
      <c r="H758" s="2">
        <v>42454.894953703697</v>
      </c>
      <c r="I758" s="2">
        <v>43580.465891203698</v>
      </c>
      <c r="J758" t="s">
        <v>2236</v>
      </c>
    </row>
    <row r="759" spans="1:10" x14ac:dyDescent="0.15">
      <c r="A759">
        <v>26855821</v>
      </c>
      <c r="B759" s="3" t="str">
        <f>HYPERLINK("https://github.com/liudng/dogo", "https://github.com/liudng/dogo")</f>
        <v>https://github.com/liudng/dogo</v>
      </c>
      <c r="D759">
        <v>208</v>
      </c>
      <c r="E759" t="s">
        <v>2237</v>
      </c>
      <c r="F759" t="s">
        <v>2238</v>
      </c>
      <c r="G759">
        <v>32</v>
      </c>
      <c r="H759" s="2">
        <v>41962.428182870368</v>
      </c>
      <c r="I759" s="2">
        <v>43578.364768518521</v>
      </c>
      <c r="J759" t="s">
        <v>2239</v>
      </c>
    </row>
    <row r="760" spans="1:10" x14ac:dyDescent="0.15">
      <c r="A760">
        <v>7027125</v>
      </c>
      <c r="B760" s="3" t="str">
        <f>HYPERLINK("https://github.com/apcera/termtables", "https://github.com/apcera/termtables")</f>
        <v>https://github.com/apcera/termtables</v>
      </c>
      <c r="D760">
        <v>207</v>
      </c>
      <c r="E760" t="s">
        <v>2240</v>
      </c>
      <c r="F760" t="s">
        <v>2241</v>
      </c>
      <c r="G760">
        <v>16</v>
      </c>
      <c r="H760" s="2">
        <v>41249.015879629631</v>
      </c>
      <c r="I760" s="2">
        <v>43566.183668981481</v>
      </c>
      <c r="J760" t="s">
        <v>2242</v>
      </c>
    </row>
    <row r="761" spans="1:10" x14ac:dyDescent="0.15">
      <c r="A761">
        <v>89629521</v>
      </c>
      <c r="B761" s="3" t="str">
        <f>HYPERLINK("https://github.com/yourbasic/graph", "https://github.com/yourbasic/graph")</f>
        <v>https://github.com/yourbasic/graph</v>
      </c>
      <c r="D761">
        <v>206</v>
      </c>
      <c r="E761" t="s">
        <v>2243</v>
      </c>
      <c r="F761" t="s">
        <v>2244</v>
      </c>
      <c r="G761">
        <v>11</v>
      </c>
      <c r="H761" s="2">
        <v>42852.780486111107</v>
      </c>
      <c r="I761" s="2">
        <v>43580.134548611109</v>
      </c>
      <c r="J761" t="s">
        <v>2245</v>
      </c>
    </row>
    <row r="762" spans="1:10" x14ac:dyDescent="0.15">
      <c r="A762">
        <v>19408016</v>
      </c>
      <c r="B762" s="3" t="str">
        <f>HYPERLINK("https://github.com/stephens2424/muxchain", "https://github.com/stephens2424/muxchain")</f>
        <v>https://github.com/stephens2424/muxchain</v>
      </c>
      <c r="D762">
        <v>206</v>
      </c>
      <c r="E762" t="s">
        <v>2246</v>
      </c>
      <c r="F762" t="s">
        <v>2247</v>
      </c>
      <c r="G762">
        <v>13</v>
      </c>
      <c r="H762" s="2">
        <v>41762.718252314808</v>
      </c>
      <c r="I762" s="2">
        <v>43530.290682870371</v>
      </c>
      <c r="J762" t="s">
        <v>2248</v>
      </c>
    </row>
    <row r="763" spans="1:10" x14ac:dyDescent="0.15">
      <c r="A763">
        <v>118562222</v>
      </c>
      <c r="B763" s="3" t="str">
        <f>HYPERLINK("https://github.com/o1egl/paseto", "https://github.com/o1egl/paseto")</f>
        <v>https://github.com/o1egl/paseto</v>
      </c>
      <c r="D763">
        <v>205</v>
      </c>
      <c r="E763" t="s">
        <v>2249</v>
      </c>
      <c r="F763" t="s">
        <v>2250</v>
      </c>
      <c r="G763">
        <v>9</v>
      </c>
      <c r="H763" s="2">
        <v>43123.227534722217</v>
      </c>
      <c r="I763" s="2">
        <v>43558.968090277784</v>
      </c>
      <c r="J763" t="s">
        <v>2251</v>
      </c>
    </row>
    <row r="764" spans="1:10" x14ac:dyDescent="0.15">
      <c r="A764">
        <v>113678399</v>
      </c>
      <c r="B764" s="3" t="str">
        <f>HYPERLINK("https://github.com/patrikeh/go-deep", "https://github.com/patrikeh/go-deep")</f>
        <v>https://github.com/patrikeh/go-deep</v>
      </c>
      <c r="D764">
        <v>205</v>
      </c>
      <c r="E764" t="s">
        <v>2252</v>
      </c>
      <c r="F764" t="s">
        <v>2253</v>
      </c>
      <c r="G764">
        <v>15</v>
      </c>
      <c r="H764" s="2">
        <v>43078.632013888891</v>
      </c>
      <c r="I764" s="2">
        <v>43578.500717592593</v>
      </c>
      <c r="J764" t="s">
        <v>2254</v>
      </c>
    </row>
    <row r="765" spans="1:10" x14ac:dyDescent="0.15">
      <c r="A765">
        <v>18996052</v>
      </c>
      <c r="B765" s="3" t="str">
        <f>HYPERLINK("https://github.com/olebedev/config", "https://github.com/olebedev/config")</f>
        <v>https://github.com/olebedev/config</v>
      </c>
      <c r="D765">
        <v>204</v>
      </c>
      <c r="E765" t="s">
        <v>2255</v>
      </c>
      <c r="F765" t="s">
        <v>2256</v>
      </c>
      <c r="G765">
        <v>35</v>
      </c>
      <c r="H765" s="2">
        <v>41750.631701388891</v>
      </c>
      <c r="I765" s="2">
        <v>43578.030335648153</v>
      </c>
      <c r="J765" t="s">
        <v>2257</v>
      </c>
    </row>
    <row r="766" spans="1:10" x14ac:dyDescent="0.15">
      <c r="A766">
        <v>19913057</v>
      </c>
      <c r="B766" s="3" t="str">
        <f>HYPERLINK("https://github.com/zimmski/tavor", "https://github.com/zimmski/tavor")</f>
        <v>https://github.com/zimmski/tavor</v>
      </c>
      <c r="D766">
        <v>204</v>
      </c>
      <c r="E766" t="s">
        <v>2258</v>
      </c>
      <c r="F766" t="s">
        <v>2259</v>
      </c>
      <c r="G766">
        <v>9</v>
      </c>
      <c r="H766" s="2">
        <v>41777.624467592592</v>
      </c>
      <c r="I766" s="2">
        <v>43571.296458333331</v>
      </c>
      <c r="J766" t="s">
        <v>2260</v>
      </c>
    </row>
    <row r="767" spans="1:10" x14ac:dyDescent="0.15">
      <c r="A767">
        <v>23845253</v>
      </c>
      <c r="B767" s="3" t="str">
        <f>HYPERLINK("https://github.com/jonboulle/clockwork", "https://github.com/jonboulle/clockwork")</f>
        <v>https://github.com/jonboulle/clockwork</v>
      </c>
      <c r="D767">
        <v>204</v>
      </c>
      <c r="E767" t="s">
        <v>2261</v>
      </c>
      <c r="F767" t="s">
        <v>2262</v>
      </c>
      <c r="G767">
        <v>29</v>
      </c>
      <c r="H767" s="2">
        <v>41891.76666666667</v>
      </c>
      <c r="I767" s="2">
        <v>43574.245254629634</v>
      </c>
      <c r="J767" t="s">
        <v>2263</v>
      </c>
    </row>
    <row r="768" spans="1:10" x14ac:dyDescent="0.15">
      <c r="A768">
        <v>46209450</v>
      </c>
      <c r="B768" s="3" t="str">
        <f>HYPERLINK("https://github.com/otiai10/ocrserver", "https://github.com/otiai10/ocrserver")</f>
        <v>https://github.com/otiai10/ocrserver</v>
      </c>
      <c r="D768">
        <v>201</v>
      </c>
      <c r="E768" t="s">
        <v>2264</v>
      </c>
      <c r="F768" t="s">
        <v>2265</v>
      </c>
      <c r="G768">
        <v>40</v>
      </c>
      <c r="H768" s="2">
        <v>42323.331736111111</v>
      </c>
      <c r="I768" s="2">
        <v>43579.672673611109</v>
      </c>
      <c r="J768" t="s">
        <v>2266</v>
      </c>
    </row>
    <row r="769" spans="1:10" x14ac:dyDescent="0.15">
      <c r="A769">
        <v>15533753</v>
      </c>
      <c r="B769" s="3" t="str">
        <f>HYPERLINK("https://github.com/masterzen/winrm", "https://github.com/masterzen/winrm")</f>
        <v>https://github.com/masterzen/winrm</v>
      </c>
      <c r="D769">
        <v>199</v>
      </c>
      <c r="E769" t="s">
        <v>2267</v>
      </c>
      <c r="F769" t="s">
        <v>2268</v>
      </c>
      <c r="G769">
        <v>62</v>
      </c>
      <c r="H769" s="2">
        <v>41638.770312499997</v>
      </c>
      <c r="I769" s="2">
        <v>43573.357766203713</v>
      </c>
      <c r="J769" t="s">
        <v>2269</v>
      </c>
    </row>
    <row r="770" spans="1:10" x14ac:dyDescent="0.15">
      <c r="A770">
        <v>49559151</v>
      </c>
      <c r="B770" s="3" t="str">
        <f>HYPERLINK("https://github.com/pariz/gountries", "https://github.com/pariz/gountries")</f>
        <v>https://github.com/pariz/gountries</v>
      </c>
      <c r="D770">
        <v>198</v>
      </c>
      <c r="E770" t="s">
        <v>2270</v>
      </c>
      <c r="F770" t="s">
        <v>2271</v>
      </c>
      <c r="G770">
        <v>21</v>
      </c>
      <c r="H770" s="2">
        <v>42382.336319444446</v>
      </c>
      <c r="I770" s="2">
        <v>43574.454988425918</v>
      </c>
      <c r="J770" t="s">
        <v>2272</v>
      </c>
    </row>
    <row r="771" spans="1:10" x14ac:dyDescent="0.15">
      <c r="A771">
        <v>14277666</v>
      </c>
      <c r="B771" s="3" t="str">
        <f>HYPERLINK("https://github.com/rakyll/portmidi", "https://github.com/rakyll/portmidi")</f>
        <v>https://github.com/rakyll/portmidi</v>
      </c>
      <c r="D771">
        <v>197</v>
      </c>
      <c r="E771" t="s">
        <v>2273</v>
      </c>
      <c r="F771" t="s">
        <v>2274</v>
      </c>
      <c r="G771">
        <v>42</v>
      </c>
      <c r="H771" s="2">
        <v>41588.600648148153</v>
      </c>
      <c r="I771" s="2">
        <v>43579.967187499999</v>
      </c>
      <c r="J771" t="s">
        <v>2275</v>
      </c>
    </row>
    <row r="772" spans="1:10" x14ac:dyDescent="0.15">
      <c r="A772">
        <v>42319347</v>
      </c>
      <c r="B772" s="3" t="str">
        <f>HYPERLINK("https://github.com/yanzay/tbot", "https://github.com/yanzay/tbot")</f>
        <v>https://github.com/yanzay/tbot</v>
      </c>
      <c r="D772">
        <v>196</v>
      </c>
      <c r="E772" t="s">
        <v>2276</v>
      </c>
      <c r="F772" t="s">
        <v>2277</v>
      </c>
      <c r="G772">
        <v>28</v>
      </c>
      <c r="H772" s="2">
        <v>42258.680150462962</v>
      </c>
      <c r="I772" s="2">
        <v>43579.369745370372</v>
      </c>
      <c r="J772" t="s">
        <v>2278</v>
      </c>
    </row>
    <row r="773" spans="1:10" x14ac:dyDescent="0.15">
      <c r="A773">
        <v>61305371</v>
      </c>
      <c r="B773" s="3" t="str">
        <f>HYPERLINK("https://github.com/aerokube/ggr", "https://github.com/aerokube/ggr")</f>
        <v>https://github.com/aerokube/ggr</v>
      </c>
      <c r="D773">
        <v>196</v>
      </c>
      <c r="E773" t="s">
        <v>2279</v>
      </c>
      <c r="F773" t="s">
        <v>2280</v>
      </c>
      <c r="G773">
        <v>37</v>
      </c>
      <c r="H773" s="2">
        <v>42537.648194444453</v>
      </c>
      <c r="I773" s="2">
        <v>43577.606724537043</v>
      </c>
      <c r="J773" t="s">
        <v>2281</v>
      </c>
    </row>
    <row r="774" spans="1:10" x14ac:dyDescent="0.15">
      <c r="A774">
        <v>34903016</v>
      </c>
      <c r="B774" s="3" t="str">
        <f>HYPERLINK("https://github.com/LyricalSecurity/gigo", "https://github.com/LyricalSecurity/gigo")</f>
        <v>https://github.com/LyricalSecurity/gigo</v>
      </c>
      <c r="D774">
        <v>196</v>
      </c>
      <c r="E774" t="s">
        <v>2282</v>
      </c>
      <c r="F774" t="s">
        <v>2283</v>
      </c>
      <c r="G774">
        <v>13</v>
      </c>
      <c r="H774" s="2">
        <v>42125.543657407397</v>
      </c>
      <c r="I774" s="2">
        <v>43403.279120370367</v>
      </c>
      <c r="J774" t="s">
        <v>2284</v>
      </c>
    </row>
    <row r="775" spans="1:10" x14ac:dyDescent="0.15">
      <c r="A775">
        <v>7767091</v>
      </c>
      <c r="B775" s="3" t="str">
        <f>HYPERLINK("https://github.com/daviddengcn/go-colortext", "https://github.com/daviddengcn/go-colortext")</f>
        <v>https://github.com/daviddengcn/go-colortext</v>
      </c>
      <c r="D775">
        <v>196</v>
      </c>
      <c r="E775" t="s">
        <v>2285</v>
      </c>
      <c r="F775" t="s">
        <v>2286</v>
      </c>
      <c r="G775">
        <v>15</v>
      </c>
      <c r="H775" s="2">
        <v>41297.152013888888</v>
      </c>
      <c r="I775" s="2">
        <v>43573.590462962973</v>
      </c>
      <c r="J775" t="s">
        <v>2287</v>
      </c>
    </row>
    <row r="776" spans="1:10" x14ac:dyDescent="0.15">
      <c r="A776">
        <v>48744241</v>
      </c>
      <c r="B776" s="3" t="str">
        <f>HYPERLINK("https://github.com/elgs/jsonql", "https://github.com/elgs/jsonql")</f>
        <v>https://github.com/elgs/jsonql</v>
      </c>
      <c r="D776">
        <v>196</v>
      </c>
      <c r="E776" t="s">
        <v>2288</v>
      </c>
      <c r="F776" t="s">
        <v>2289</v>
      </c>
      <c r="G776">
        <v>26</v>
      </c>
      <c r="H776" s="2">
        <v>42367.475046296298</v>
      </c>
      <c r="I776" s="2">
        <v>43539.484571759262</v>
      </c>
      <c r="J776" t="s">
        <v>2290</v>
      </c>
    </row>
    <row r="777" spans="1:10" x14ac:dyDescent="0.15">
      <c r="A777">
        <v>85047530</v>
      </c>
      <c r="B777" s="3" t="str">
        <f>HYPERLINK("https://github.com/james-bowman/nlp", "https://github.com/james-bowman/nlp")</f>
        <v>https://github.com/james-bowman/nlp</v>
      </c>
      <c r="D777">
        <v>196</v>
      </c>
      <c r="E777" t="s">
        <v>1879</v>
      </c>
      <c r="F777" t="s">
        <v>2291</v>
      </c>
      <c r="G777">
        <v>23</v>
      </c>
      <c r="H777" s="2">
        <v>42809.352835648147</v>
      </c>
      <c r="I777" s="2">
        <v>43576.983587962961</v>
      </c>
      <c r="J777" t="s">
        <v>2292</v>
      </c>
    </row>
    <row r="778" spans="1:10" x14ac:dyDescent="0.15">
      <c r="A778">
        <v>158369223</v>
      </c>
      <c r="B778" s="3" t="str">
        <f>HYPERLINK("https://github.com/recoilme/pudge", "https://github.com/recoilme/pudge")</f>
        <v>https://github.com/recoilme/pudge</v>
      </c>
      <c r="D778">
        <v>195</v>
      </c>
      <c r="E778" t="s">
        <v>2293</v>
      </c>
      <c r="F778" t="s">
        <v>2294</v>
      </c>
      <c r="G778">
        <v>10</v>
      </c>
      <c r="H778" s="2">
        <v>43424.42491898148</v>
      </c>
      <c r="I778" s="2">
        <v>43579.598993055559</v>
      </c>
      <c r="J778" t="s">
        <v>2295</v>
      </c>
    </row>
    <row r="779" spans="1:10" x14ac:dyDescent="0.15">
      <c r="A779">
        <v>111842183</v>
      </c>
      <c r="B779" s="3" t="str">
        <f>HYPERLINK("https://github.com/miku/zek", "https://github.com/miku/zek")</f>
        <v>https://github.com/miku/zek</v>
      </c>
      <c r="D779">
        <v>195</v>
      </c>
      <c r="E779" t="s">
        <v>2296</v>
      </c>
      <c r="F779" t="s">
        <v>2297</v>
      </c>
      <c r="G779">
        <v>13</v>
      </c>
      <c r="H779" s="2">
        <v>43062.793877314813</v>
      </c>
      <c r="I779" s="2">
        <v>43579.842407407406</v>
      </c>
      <c r="J779" t="s">
        <v>2298</v>
      </c>
    </row>
    <row r="780" spans="1:10" x14ac:dyDescent="0.15">
      <c r="A780">
        <v>32845524</v>
      </c>
      <c r="B780" s="3" t="str">
        <f>HYPERLINK("https://github.com/go-goracle/goracle", "https://github.com/go-goracle/goracle")</f>
        <v>https://github.com/go-goracle/goracle</v>
      </c>
      <c r="D780">
        <v>194</v>
      </c>
      <c r="E780" t="s">
        <v>2299</v>
      </c>
      <c r="F780" t="s">
        <v>2300</v>
      </c>
      <c r="G780">
        <v>32</v>
      </c>
      <c r="H780" s="2">
        <v>42088.248796296299</v>
      </c>
      <c r="I780" s="2">
        <v>43580.495381944442</v>
      </c>
      <c r="J780" t="s">
        <v>2301</v>
      </c>
    </row>
    <row r="781" spans="1:10" x14ac:dyDescent="0.15">
      <c r="A781">
        <v>23178566</v>
      </c>
      <c r="B781" s="3" t="str">
        <f>HYPERLINK("https://github.com/bndr/gotabulate", "https://github.com/bndr/gotabulate")</f>
        <v>https://github.com/bndr/gotabulate</v>
      </c>
      <c r="D781">
        <v>194</v>
      </c>
      <c r="E781" t="s">
        <v>2302</v>
      </c>
      <c r="F781" t="s">
        <v>2303</v>
      </c>
      <c r="G781">
        <v>14</v>
      </c>
      <c r="H781" s="2">
        <v>41872.322546296287</v>
      </c>
      <c r="I781" s="2">
        <v>43556.330775462957</v>
      </c>
      <c r="J781" t="s">
        <v>2304</v>
      </c>
    </row>
    <row r="782" spans="1:10" x14ac:dyDescent="0.15">
      <c r="A782">
        <v>106156221</v>
      </c>
      <c r="B782" s="3" t="str">
        <f>HYPERLINK("https://github.com/xwjdsh/manssh", "https://github.com/xwjdsh/manssh")</f>
        <v>https://github.com/xwjdsh/manssh</v>
      </c>
      <c r="D782">
        <v>194</v>
      </c>
      <c r="E782" t="s">
        <v>2305</v>
      </c>
      <c r="F782" t="s">
        <v>2306</v>
      </c>
      <c r="G782">
        <v>19</v>
      </c>
      <c r="H782" s="2">
        <v>43016.286597222221</v>
      </c>
      <c r="I782" s="2">
        <v>43566.165243055562</v>
      </c>
      <c r="J782" t="s">
        <v>2307</v>
      </c>
    </row>
    <row r="783" spans="1:10" x14ac:dyDescent="0.15">
      <c r="A783">
        <v>87007216</v>
      </c>
      <c r="B783" s="3" t="str">
        <f>HYPERLINK("https://github.com/joshbetz/config", "https://github.com/joshbetz/config")</f>
        <v>https://github.com/joshbetz/config</v>
      </c>
      <c r="D783">
        <v>193</v>
      </c>
      <c r="E783" t="s">
        <v>2255</v>
      </c>
      <c r="F783" t="s">
        <v>2308</v>
      </c>
      <c r="G783">
        <v>9</v>
      </c>
      <c r="H783" s="2">
        <v>42827.775752314818</v>
      </c>
      <c r="I783" s="2">
        <v>43572.851631944453</v>
      </c>
      <c r="J783" t="s">
        <v>2309</v>
      </c>
    </row>
    <row r="784" spans="1:10" x14ac:dyDescent="0.15">
      <c r="A784">
        <v>69577195</v>
      </c>
      <c r="B784" s="3" t="str">
        <f>HYPERLINK("https://github.com/ssh-vault/ssh-vault", "https://github.com/ssh-vault/ssh-vault")</f>
        <v>https://github.com/ssh-vault/ssh-vault</v>
      </c>
      <c r="D784">
        <v>193</v>
      </c>
      <c r="E784" t="s">
        <v>2310</v>
      </c>
      <c r="F784" t="s">
        <v>2311</v>
      </c>
      <c r="G784">
        <v>15</v>
      </c>
      <c r="H784" s="2">
        <v>42642.615624999999</v>
      </c>
      <c r="I784" s="2">
        <v>43571.655358796299</v>
      </c>
      <c r="J784" t="s">
        <v>2312</v>
      </c>
    </row>
    <row r="785" spans="1:10" x14ac:dyDescent="0.15">
      <c r="A785">
        <v>52719081</v>
      </c>
      <c r="B785" s="3" t="str">
        <f>HYPERLINK("https://github.com/msoap/go-carpet", "https://github.com/msoap/go-carpet")</f>
        <v>https://github.com/msoap/go-carpet</v>
      </c>
      <c r="D785">
        <v>193</v>
      </c>
      <c r="E785" t="s">
        <v>2313</v>
      </c>
      <c r="F785" t="s">
        <v>2314</v>
      </c>
      <c r="G785">
        <v>6</v>
      </c>
      <c r="H785" s="2">
        <v>42428.501979166656</v>
      </c>
      <c r="I785" s="2">
        <v>43551.515150462961</v>
      </c>
      <c r="J785" t="s">
        <v>2315</v>
      </c>
    </row>
    <row r="786" spans="1:10" x14ac:dyDescent="0.15">
      <c r="A786">
        <v>10835647</v>
      </c>
      <c r="B786" s="3" t="str">
        <f>HYPERLINK("https://github.com/mattn/go-runewidth", "https://github.com/mattn/go-runewidth")</f>
        <v>https://github.com/mattn/go-runewidth</v>
      </c>
      <c r="D786">
        <v>193</v>
      </c>
      <c r="E786" t="s">
        <v>2316</v>
      </c>
      <c r="F786" t="s">
        <v>2317</v>
      </c>
      <c r="G786">
        <v>31</v>
      </c>
      <c r="H786" s="2">
        <v>41446.206134259257</v>
      </c>
      <c r="I786" s="2">
        <v>43570.578333333331</v>
      </c>
      <c r="J786" t="s">
        <v>2318</v>
      </c>
    </row>
    <row r="787" spans="1:10" x14ac:dyDescent="0.15">
      <c r="A787">
        <v>70748642</v>
      </c>
      <c r="B787" s="3" t="str">
        <f>HYPERLINK("https://github.com/bengadbois/pewpew", "https://github.com/bengadbois/pewpew")</f>
        <v>https://github.com/bengadbois/pewpew</v>
      </c>
      <c r="D787">
        <v>193</v>
      </c>
      <c r="E787" t="s">
        <v>2319</v>
      </c>
      <c r="F787" t="s">
        <v>2320</v>
      </c>
      <c r="G787">
        <v>14</v>
      </c>
      <c r="H787" s="2">
        <v>42655.958101851851</v>
      </c>
      <c r="I787" s="2">
        <v>43579.920752314807</v>
      </c>
      <c r="J787" t="s">
        <v>2321</v>
      </c>
    </row>
    <row r="788" spans="1:10" x14ac:dyDescent="0.15">
      <c r="A788">
        <v>98671333</v>
      </c>
      <c r="B788" s="3" t="str">
        <f>HYPERLINK("https://github.com/corona10/goimagehash", "https://github.com/corona10/goimagehash")</f>
        <v>https://github.com/corona10/goimagehash</v>
      </c>
      <c r="D788">
        <v>190</v>
      </c>
      <c r="E788" t="s">
        <v>2322</v>
      </c>
      <c r="F788" t="s">
        <v>2323</v>
      </c>
      <c r="G788">
        <v>16</v>
      </c>
      <c r="H788" s="2">
        <v>42944.719421296293</v>
      </c>
      <c r="I788" s="2">
        <v>43578.967222222222</v>
      </c>
      <c r="J788" t="s">
        <v>2324</v>
      </c>
    </row>
    <row r="789" spans="1:10" x14ac:dyDescent="0.15">
      <c r="A789">
        <v>86594955</v>
      </c>
      <c r="B789" s="3" t="str">
        <f>HYPERLINK("https://github.com/dtylman/gowd", "https://github.com/dtylman/gowd")</f>
        <v>https://github.com/dtylman/gowd</v>
      </c>
      <c r="D789">
        <v>188</v>
      </c>
      <c r="E789" t="s">
        <v>2325</v>
      </c>
      <c r="F789" t="s">
        <v>2326</v>
      </c>
      <c r="G789">
        <v>26</v>
      </c>
      <c r="H789" s="2">
        <v>42823.618668981479</v>
      </c>
      <c r="I789" s="2">
        <v>43580.455000000002</v>
      </c>
      <c r="J789" t="s">
        <v>2327</v>
      </c>
    </row>
    <row r="790" spans="1:10" x14ac:dyDescent="0.15">
      <c r="A790">
        <v>39649008</v>
      </c>
      <c r="B790" s="3" t="str">
        <f>HYPERLINK("https://github.com/ulule/deepcopier", "https://github.com/ulule/deepcopier")</f>
        <v>https://github.com/ulule/deepcopier</v>
      </c>
      <c r="D790">
        <v>188</v>
      </c>
      <c r="E790" t="s">
        <v>2328</v>
      </c>
      <c r="F790" t="s">
        <v>2329</v>
      </c>
      <c r="G790">
        <v>28</v>
      </c>
      <c r="H790" s="2">
        <v>42209.750706018523</v>
      </c>
      <c r="I790" s="2">
        <v>43577.401574074072</v>
      </c>
      <c r="J790" t="s">
        <v>2330</v>
      </c>
    </row>
    <row r="791" spans="1:10" x14ac:dyDescent="0.15">
      <c r="A791">
        <v>44884570</v>
      </c>
      <c r="B791" s="3" t="str">
        <f>HYPERLINK("https://github.com/rafael-santiago/cherry", "https://github.com/rafael-santiago/cherry")</f>
        <v>https://github.com/rafael-santiago/cherry</v>
      </c>
      <c r="D791">
        <v>187</v>
      </c>
      <c r="E791" t="s">
        <v>2331</v>
      </c>
      <c r="F791" t="s">
        <v>2332</v>
      </c>
      <c r="G791">
        <v>24</v>
      </c>
      <c r="H791" s="2">
        <v>42301.872488425928</v>
      </c>
      <c r="I791" s="2">
        <v>43571.640046296299</v>
      </c>
      <c r="J791" t="s">
        <v>2333</v>
      </c>
    </row>
    <row r="792" spans="1:10" x14ac:dyDescent="0.15">
      <c r="A792">
        <v>106053422</v>
      </c>
      <c r="B792" s="3" t="str">
        <f>HYPERLINK("https://github.com/percolate/charlatan", "https://github.com/percolate/charlatan")</f>
        <v>https://github.com/percolate/charlatan</v>
      </c>
      <c r="D792">
        <v>186</v>
      </c>
      <c r="E792" t="s">
        <v>2334</v>
      </c>
      <c r="F792" t="s">
        <v>2335</v>
      </c>
      <c r="G792">
        <v>6</v>
      </c>
      <c r="H792" s="2">
        <v>43014.913356481477</v>
      </c>
      <c r="I792" s="2">
        <v>43573.577291666668</v>
      </c>
      <c r="J792" t="s">
        <v>2336</v>
      </c>
    </row>
    <row r="793" spans="1:10" x14ac:dyDescent="0.15">
      <c r="A793">
        <v>30648714</v>
      </c>
      <c r="B793" s="3" t="str">
        <f>HYPERLINK("https://github.com/gambol99/go-marathon", "https://github.com/gambol99/go-marathon")</f>
        <v>https://github.com/gambol99/go-marathon</v>
      </c>
      <c r="D793">
        <v>186</v>
      </c>
      <c r="E793" t="s">
        <v>2337</v>
      </c>
      <c r="F793" t="s">
        <v>2338</v>
      </c>
      <c r="G793">
        <v>123</v>
      </c>
      <c r="H793" s="2">
        <v>42046.559328703697</v>
      </c>
      <c r="I793" s="2">
        <v>43552.614768518521</v>
      </c>
      <c r="J793" t="s">
        <v>2339</v>
      </c>
    </row>
    <row r="794" spans="1:10" x14ac:dyDescent="0.15">
      <c r="A794">
        <v>165146736</v>
      </c>
      <c r="B794" s="3" t="str">
        <f>HYPERLINK("https://github.com/syntaqx/serve", "https://github.com/syntaqx/serve")</f>
        <v>https://github.com/syntaqx/serve</v>
      </c>
      <c r="D794">
        <v>186</v>
      </c>
      <c r="E794" t="s">
        <v>2340</v>
      </c>
      <c r="F794" t="s">
        <v>2341</v>
      </c>
      <c r="G794">
        <v>8</v>
      </c>
      <c r="H794" s="2">
        <v>43475.980462962973</v>
      </c>
      <c r="I794" s="2">
        <v>43575.685567129629</v>
      </c>
      <c r="J794" t="s">
        <v>2342</v>
      </c>
    </row>
    <row r="795" spans="1:10" x14ac:dyDescent="0.15">
      <c r="A795">
        <v>4268733</v>
      </c>
      <c r="B795" s="3" t="str">
        <f>HYPERLINK("https://github.com/ryszard/goskiplist", "https://github.com/ryszard/goskiplist")</f>
        <v>https://github.com/ryszard/goskiplist</v>
      </c>
      <c r="D795">
        <v>185</v>
      </c>
      <c r="E795" t="s">
        <v>2343</v>
      </c>
      <c r="F795" t="s">
        <v>2344</v>
      </c>
      <c r="G795">
        <v>43</v>
      </c>
      <c r="H795" s="2">
        <v>41038.239571759259</v>
      </c>
      <c r="I795" s="2">
        <v>43569.058252314811</v>
      </c>
      <c r="J795" t="s">
        <v>2345</v>
      </c>
    </row>
    <row r="796" spans="1:10" x14ac:dyDescent="0.15">
      <c r="A796">
        <v>55412496</v>
      </c>
      <c r="B796" s="3" t="str">
        <f>HYPERLINK("https://github.com/galeone/rts", "https://github.com/galeone/rts")</f>
        <v>https://github.com/galeone/rts</v>
      </c>
      <c r="D796">
        <v>184</v>
      </c>
      <c r="E796" t="s">
        <v>2346</v>
      </c>
      <c r="F796" t="s">
        <v>2347</v>
      </c>
      <c r="G796">
        <v>7</v>
      </c>
      <c r="H796" s="2">
        <v>42464.55369212963</v>
      </c>
      <c r="I796" s="2">
        <v>43558.223171296297</v>
      </c>
      <c r="J796" t="s">
        <v>2348</v>
      </c>
    </row>
    <row r="797" spans="1:10" x14ac:dyDescent="0.15">
      <c r="A797">
        <v>119665158</v>
      </c>
      <c r="B797" s="3" t="str">
        <f>HYPERLINK("https://github.com/shady831213/algorithms", "https://github.com/shady831213/algorithms")</f>
        <v>https://github.com/shady831213/algorithms</v>
      </c>
      <c r="D797">
        <v>183</v>
      </c>
      <c r="E797" t="s">
        <v>2349</v>
      </c>
      <c r="F797" t="s">
        <v>2350</v>
      </c>
      <c r="G797">
        <v>28</v>
      </c>
      <c r="H797" s="2">
        <v>43131.39439814815</v>
      </c>
      <c r="I797" s="2">
        <v>43579.68173611111</v>
      </c>
      <c r="J797" t="s">
        <v>2351</v>
      </c>
    </row>
    <row r="798" spans="1:10" x14ac:dyDescent="0.15">
      <c r="A798">
        <v>38639195</v>
      </c>
      <c r="B798" s="3" t="str">
        <f>HYPERLINK("https://github.com/mdlayher/arp", "https://github.com/mdlayher/arp")</f>
        <v>https://github.com/mdlayher/arp</v>
      </c>
      <c r="D798">
        <v>179</v>
      </c>
      <c r="E798" t="s">
        <v>2352</v>
      </c>
      <c r="F798" t="s">
        <v>2353</v>
      </c>
      <c r="G798">
        <v>31</v>
      </c>
      <c r="H798" s="2">
        <v>42191.785115740742</v>
      </c>
      <c r="I798" s="2">
        <v>43571.115104166667</v>
      </c>
      <c r="J798" t="s">
        <v>2354</v>
      </c>
    </row>
    <row r="799" spans="1:10" x14ac:dyDescent="0.15">
      <c r="A799">
        <v>38463016</v>
      </c>
      <c r="B799" s="3" t="str">
        <f>HYPERLINK("https://github.com/mdlayher/ethernet", "https://github.com/mdlayher/ethernet")</f>
        <v>https://github.com/mdlayher/ethernet</v>
      </c>
      <c r="D799">
        <v>177</v>
      </c>
      <c r="E799" t="s">
        <v>2355</v>
      </c>
      <c r="F799" t="s">
        <v>2356</v>
      </c>
      <c r="G799">
        <v>19</v>
      </c>
      <c r="H799" s="2">
        <v>42188.010625000003</v>
      </c>
      <c r="I799" s="2">
        <v>43577.537569444437</v>
      </c>
      <c r="J799" t="s">
        <v>2357</v>
      </c>
    </row>
    <row r="800" spans="1:10" x14ac:dyDescent="0.15">
      <c r="A800">
        <v>64859646</v>
      </c>
      <c r="B800" s="3" t="str">
        <f>HYPERLINK("https://github.com/gojuno/minimock", "https://github.com/gojuno/minimock")</f>
        <v>https://github.com/gojuno/minimock</v>
      </c>
      <c r="D800">
        <v>176</v>
      </c>
      <c r="E800" t="s">
        <v>2358</v>
      </c>
      <c r="F800" t="s">
        <v>2359</v>
      </c>
      <c r="G800">
        <v>14</v>
      </c>
      <c r="H800" s="2">
        <v>42585.667766203696</v>
      </c>
      <c r="I800" s="2">
        <v>43579.7653125</v>
      </c>
      <c r="J800" t="s">
        <v>2360</v>
      </c>
    </row>
    <row r="801" spans="1:10" x14ac:dyDescent="0.15">
      <c r="A801">
        <v>26054020</v>
      </c>
      <c r="B801" s="3" t="str">
        <f>HYPERLINK("https://github.com/utatti/orange-cat", "https://github.com/utatti/orange-cat")</f>
        <v>https://github.com/utatti/orange-cat</v>
      </c>
      <c r="D801">
        <v>175</v>
      </c>
      <c r="E801" t="s">
        <v>2361</v>
      </c>
      <c r="F801" t="s">
        <v>2362</v>
      </c>
      <c r="G801">
        <v>9</v>
      </c>
      <c r="H801" s="2">
        <v>41944.637430555558</v>
      </c>
      <c r="I801" s="2">
        <v>43576.962754629632</v>
      </c>
      <c r="J801" t="s">
        <v>2363</v>
      </c>
    </row>
    <row r="802" spans="1:10" x14ac:dyDescent="0.15">
      <c r="A802">
        <v>91274552</v>
      </c>
      <c r="B802" s="3" t="str">
        <f>HYPERLINK("https://github.com/saniales/golang-crypto-trading-bot", "https://github.com/saniales/golang-crypto-trading-bot")</f>
        <v>https://github.com/saniales/golang-crypto-trading-bot</v>
      </c>
      <c r="D802">
        <v>174</v>
      </c>
      <c r="E802" t="s">
        <v>2364</v>
      </c>
      <c r="F802" t="s">
        <v>2365</v>
      </c>
      <c r="G802">
        <v>39</v>
      </c>
      <c r="H802" s="2">
        <v>42869.924780092602</v>
      </c>
      <c r="I802" s="2">
        <v>43579.285057870373</v>
      </c>
      <c r="J802" t="s">
        <v>2366</v>
      </c>
    </row>
    <row r="803" spans="1:10" x14ac:dyDescent="0.15">
      <c r="A803">
        <v>14349421</v>
      </c>
      <c r="B803" s="3" t="str">
        <f>HYPERLINK("https://github.com/cryptojuice/gobrew", "https://github.com/cryptojuice/gobrew")</f>
        <v>https://github.com/cryptojuice/gobrew</v>
      </c>
      <c r="D803">
        <v>173</v>
      </c>
      <c r="E803" t="s">
        <v>2367</v>
      </c>
      <c r="F803" t="s">
        <v>2368</v>
      </c>
      <c r="G803">
        <v>17</v>
      </c>
      <c r="H803" s="2">
        <v>41591.022430555553</v>
      </c>
      <c r="I803" s="2">
        <v>43540.415925925918</v>
      </c>
      <c r="J803" t="s">
        <v>2369</v>
      </c>
    </row>
    <row r="804" spans="1:10" x14ac:dyDescent="0.15">
      <c r="A804">
        <v>20200472</v>
      </c>
      <c r="B804" s="3" t="str">
        <f>HYPERLINK("https://github.com/goji/httpauth", "https://github.com/goji/httpauth")</f>
        <v>https://github.com/goji/httpauth</v>
      </c>
      <c r="D804">
        <v>172</v>
      </c>
      <c r="E804" t="s">
        <v>2370</v>
      </c>
      <c r="F804" t="s">
        <v>2371</v>
      </c>
      <c r="G804">
        <v>19</v>
      </c>
      <c r="H804" s="2">
        <v>41785.954131944447</v>
      </c>
      <c r="I804" s="2">
        <v>43580.348124999997</v>
      </c>
      <c r="J804" t="s">
        <v>2372</v>
      </c>
    </row>
    <row r="805" spans="1:10" x14ac:dyDescent="0.15">
      <c r="A805">
        <v>40313556</v>
      </c>
      <c r="B805" s="3" t="str">
        <f>HYPERLINK("https://github.com/google/hilbert", "https://github.com/google/hilbert")</f>
        <v>https://github.com/google/hilbert</v>
      </c>
      <c r="D805">
        <v>172</v>
      </c>
      <c r="E805" t="s">
        <v>2373</v>
      </c>
      <c r="F805" t="s">
        <v>2374</v>
      </c>
      <c r="G805">
        <v>25</v>
      </c>
      <c r="H805" s="2">
        <v>42222.659722222219</v>
      </c>
      <c r="I805" s="2">
        <v>43574.410254629627</v>
      </c>
      <c r="J805" t="s">
        <v>2375</v>
      </c>
    </row>
    <row r="806" spans="1:10" x14ac:dyDescent="0.15">
      <c r="A806">
        <v>1619360</v>
      </c>
      <c r="B806" s="3" t="str">
        <f>HYPERLINK("https://github.com/rk/go-cron", "https://github.com/rk/go-cron")</f>
        <v>https://github.com/rk/go-cron</v>
      </c>
      <c r="D806">
        <v>172</v>
      </c>
      <c r="E806" t="s">
        <v>2376</v>
      </c>
      <c r="F806" t="s">
        <v>2377</v>
      </c>
      <c r="G806">
        <v>12</v>
      </c>
      <c r="H806" s="2">
        <v>40648.618622685193</v>
      </c>
      <c r="I806" s="2">
        <v>43577.112592592603</v>
      </c>
      <c r="J806" t="s">
        <v>2378</v>
      </c>
    </row>
    <row r="807" spans="1:10" x14ac:dyDescent="0.15">
      <c r="A807">
        <v>179086469</v>
      </c>
      <c r="B807" s="3" t="str">
        <f>HYPERLINK("https://github.com/JeremyLoy/config", "https://github.com/JeremyLoy/config")</f>
        <v>https://github.com/JeremyLoy/config</v>
      </c>
      <c r="D807">
        <v>171</v>
      </c>
      <c r="E807" t="s">
        <v>2255</v>
      </c>
      <c r="F807" t="s">
        <v>2379</v>
      </c>
      <c r="G807">
        <v>4</v>
      </c>
      <c r="H807" s="2">
        <v>43557.570393518523</v>
      </c>
      <c r="I807" s="2">
        <v>43579.345891203702</v>
      </c>
      <c r="J807" t="s">
        <v>2380</v>
      </c>
    </row>
    <row r="808" spans="1:10" x14ac:dyDescent="0.15">
      <c r="A808">
        <v>65054088</v>
      </c>
      <c r="B808" s="3" t="str">
        <f>HYPERLINK("https://github.com/hjson/hjson-go", "https://github.com/hjson/hjson-go")</f>
        <v>https://github.com/hjson/hjson-go</v>
      </c>
      <c r="D808">
        <v>170</v>
      </c>
      <c r="E808" t="s">
        <v>2381</v>
      </c>
      <c r="F808" t="s">
        <v>2382</v>
      </c>
      <c r="G808">
        <v>19</v>
      </c>
      <c r="H808" s="2">
        <v>42587.95784722222</v>
      </c>
      <c r="I808" s="2">
        <v>43572.819027777783</v>
      </c>
      <c r="J808" t="s">
        <v>2383</v>
      </c>
    </row>
    <row r="809" spans="1:10" x14ac:dyDescent="0.15">
      <c r="A809">
        <v>44525126</v>
      </c>
      <c r="B809" s="3" t="str">
        <f>HYPERLINK("https://github.com/sadlil/go-trigger", "https://github.com/sadlil/go-trigger")</f>
        <v>https://github.com/sadlil/go-trigger</v>
      </c>
      <c r="D809">
        <v>169</v>
      </c>
      <c r="E809" t="s">
        <v>2384</v>
      </c>
      <c r="F809" t="s">
        <v>2385</v>
      </c>
      <c r="G809">
        <v>27</v>
      </c>
      <c r="H809" s="2">
        <v>42296.404363425929</v>
      </c>
      <c r="I809" s="2">
        <v>43580.009710648148</v>
      </c>
      <c r="J809" t="s">
        <v>2386</v>
      </c>
    </row>
    <row r="810" spans="1:10" x14ac:dyDescent="0.15">
      <c r="A810">
        <v>42143916</v>
      </c>
      <c r="B810" s="3" t="str">
        <f>HYPERLINK("https://github.com/fern4lvarez/piladb", "https://github.com/fern4lvarez/piladb")</f>
        <v>https://github.com/fern4lvarez/piladb</v>
      </c>
      <c r="D810">
        <v>168</v>
      </c>
      <c r="E810" t="s">
        <v>2387</v>
      </c>
      <c r="F810" t="s">
        <v>2388</v>
      </c>
      <c r="G810">
        <v>17</v>
      </c>
      <c r="H810" s="2">
        <v>42255.966921296298</v>
      </c>
      <c r="I810" s="2">
        <v>43579.594733796293</v>
      </c>
      <c r="J810" t="s">
        <v>2389</v>
      </c>
    </row>
    <row r="811" spans="1:10" x14ac:dyDescent="0.15">
      <c r="A811">
        <v>126712510</v>
      </c>
      <c r="B811" s="3" t="str">
        <f>HYPERLINK("https://github.com/buraksezer/consistent", "https://github.com/buraksezer/consistent")</f>
        <v>https://github.com/buraksezer/consistent</v>
      </c>
      <c r="D811">
        <v>168</v>
      </c>
      <c r="E811" t="s">
        <v>2390</v>
      </c>
      <c r="F811" t="s">
        <v>2391</v>
      </c>
      <c r="G811">
        <v>22</v>
      </c>
      <c r="H811" s="2">
        <v>43184.651701388888</v>
      </c>
      <c r="I811" s="2">
        <v>43566.911793981482</v>
      </c>
      <c r="J811" t="s">
        <v>2392</v>
      </c>
    </row>
    <row r="812" spans="1:10" x14ac:dyDescent="0.15">
      <c r="A812">
        <v>52070846</v>
      </c>
      <c r="B812" s="3" t="str">
        <f>HYPERLINK("https://github.com/sensorbee/sensorbee", "https://github.com/sensorbee/sensorbee")</f>
        <v>https://github.com/sensorbee/sensorbee</v>
      </c>
      <c r="D812">
        <v>168</v>
      </c>
      <c r="E812" t="s">
        <v>2393</v>
      </c>
      <c r="F812" t="s">
        <v>2394</v>
      </c>
      <c r="G812">
        <v>24</v>
      </c>
      <c r="H812" s="2">
        <v>42419.326342592591</v>
      </c>
      <c r="I812" s="2">
        <v>43564.604386574072</v>
      </c>
      <c r="J812" t="s">
        <v>2395</v>
      </c>
    </row>
    <row r="813" spans="1:10" x14ac:dyDescent="0.15">
      <c r="A813">
        <v>107799716</v>
      </c>
      <c r="B813" s="3" t="str">
        <f>HYPERLINK("https://github.com/dave/blast", "https://github.com/dave/blast")</f>
        <v>https://github.com/dave/blast</v>
      </c>
      <c r="D813">
        <v>167</v>
      </c>
      <c r="E813" t="s">
        <v>2396</v>
      </c>
      <c r="F813" t="s">
        <v>2397</v>
      </c>
      <c r="G813">
        <v>4</v>
      </c>
      <c r="H813" s="2">
        <v>43029.717465277783</v>
      </c>
      <c r="I813" s="2">
        <v>43574.33861111111</v>
      </c>
      <c r="J813" t="s">
        <v>2398</v>
      </c>
    </row>
    <row r="814" spans="1:10" x14ac:dyDescent="0.15">
      <c r="A814">
        <v>12866970</v>
      </c>
      <c r="B814" s="3" t="str">
        <f>HYPERLINK("https://github.com/fawick/speedtest-resize", "https://github.com/fawick/speedtest-resize")</f>
        <v>https://github.com/fawick/speedtest-resize</v>
      </c>
      <c r="D814">
        <v>167</v>
      </c>
      <c r="E814" t="s">
        <v>2399</v>
      </c>
      <c r="F814" t="s">
        <v>2400</v>
      </c>
      <c r="G814">
        <v>13</v>
      </c>
      <c r="H814" s="2">
        <v>41533.52783564815</v>
      </c>
      <c r="I814" s="2">
        <v>43575.196493055562</v>
      </c>
      <c r="J814" t="s">
        <v>2401</v>
      </c>
    </row>
    <row r="815" spans="1:10" x14ac:dyDescent="0.15">
      <c r="A815">
        <v>5556661</v>
      </c>
      <c r="B815" s="3" t="str">
        <f>HYPERLINK("https://github.com/kyleterry/tenyks", "https://github.com/kyleterry/tenyks")</f>
        <v>https://github.com/kyleterry/tenyks</v>
      </c>
      <c r="D815">
        <v>166</v>
      </c>
      <c r="E815" t="s">
        <v>2402</v>
      </c>
      <c r="F815" t="s">
        <v>2403</v>
      </c>
      <c r="G815">
        <v>15</v>
      </c>
      <c r="H815" s="2">
        <v>41147.084999999999</v>
      </c>
      <c r="I815" s="2">
        <v>43442.103333333333</v>
      </c>
      <c r="J815" t="s">
        <v>2404</v>
      </c>
    </row>
    <row r="816" spans="1:10" x14ac:dyDescent="0.15">
      <c r="A816">
        <v>49083043</v>
      </c>
      <c r="B816" s="3" t="str">
        <f>HYPERLINK("https://github.com/leebenson/conform", "https://github.com/leebenson/conform")</f>
        <v>https://github.com/leebenson/conform</v>
      </c>
      <c r="D816">
        <v>166</v>
      </c>
      <c r="E816" t="s">
        <v>2405</v>
      </c>
      <c r="F816" t="s">
        <v>2406</v>
      </c>
      <c r="G816">
        <v>18</v>
      </c>
      <c r="H816" s="2">
        <v>42374.750069444453</v>
      </c>
      <c r="I816" s="2">
        <v>43573.359675925924</v>
      </c>
      <c r="J816" t="s">
        <v>2407</v>
      </c>
    </row>
    <row r="817" spans="1:10" x14ac:dyDescent="0.15">
      <c r="A817">
        <v>47477512</v>
      </c>
      <c r="B817" s="3" t="str">
        <f>HYPERLINK("https://github.com/rjeczalik/interfaces", "https://github.com/rjeczalik/interfaces")</f>
        <v>https://github.com/rjeczalik/interfaces</v>
      </c>
      <c r="D817">
        <v>166</v>
      </c>
      <c r="E817" t="s">
        <v>2408</v>
      </c>
      <c r="F817" t="s">
        <v>2409</v>
      </c>
      <c r="G817">
        <v>10</v>
      </c>
      <c r="H817" s="2">
        <v>42344.00335648148</v>
      </c>
      <c r="I817" s="2">
        <v>43577.312349537038</v>
      </c>
      <c r="J817" t="s">
        <v>2410</v>
      </c>
    </row>
    <row r="818" spans="1:10" x14ac:dyDescent="0.15">
      <c r="A818">
        <v>390071</v>
      </c>
      <c r="B818" s="3" t="str">
        <f>HYPERLINK("https://github.com/thoj/go-galib", "https://github.com/thoj/go-galib")</f>
        <v>https://github.com/thoj/go-galib</v>
      </c>
      <c r="D818">
        <v>166</v>
      </c>
      <c r="E818" t="s">
        <v>2411</v>
      </c>
      <c r="F818" t="s">
        <v>2412</v>
      </c>
      <c r="G818">
        <v>41</v>
      </c>
      <c r="H818" s="2">
        <v>40147.449282407397</v>
      </c>
      <c r="I818" s="2">
        <v>43574.559166666673</v>
      </c>
      <c r="J818" t="s">
        <v>2413</v>
      </c>
    </row>
    <row r="819" spans="1:10" x14ac:dyDescent="0.15">
      <c r="A819">
        <v>37766816</v>
      </c>
      <c r="B819" s="3" t="str">
        <f>HYPERLINK("https://github.com/opennota/re2dfa", "https://github.com/opennota/re2dfa")</f>
        <v>https://github.com/opennota/re2dfa</v>
      </c>
      <c r="D819">
        <v>166</v>
      </c>
      <c r="E819" t="s">
        <v>2414</v>
      </c>
      <c r="F819" t="s">
        <v>2415</v>
      </c>
      <c r="G819">
        <v>11</v>
      </c>
      <c r="H819" s="2">
        <v>42175.455833333333</v>
      </c>
      <c r="I819" s="2">
        <v>43564.283715277779</v>
      </c>
      <c r="J819" t="s">
        <v>2416</v>
      </c>
    </row>
    <row r="820" spans="1:10" x14ac:dyDescent="0.15">
      <c r="A820">
        <v>96083021</v>
      </c>
      <c r="B820" s="3" t="str">
        <f>HYPERLINK("https://github.com/workanator/go-floc", "https://github.com/workanator/go-floc")</f>
        <v>https://github.com/workanator/go-floc</v>
      </c>
      <c r="D820">
        <v>165</v>
      </c>
      <c r="E820" t="s">
        <v>2417</v>
      </c>
      <c r="F820" t="s">
        <v>2418</v>
      </c>
      <c r="G820">
        <v>8</v>
      </c>
      <c r="H820" s="2">
        <v>42919.315347222233</v>
      </c>
      <c r="I820" s="2">
        <v>43572.814363425918</v>
      </c>
      <c r="J820" t="s">
        <v>2419</v>
      </c>
    </row>
    <row r="821" spans="1:10" x14ac:dyDescent="0.15">
      <c r="A821">
        <v>40065229</v>
      </c>
      <c r="B821" s="3" t="str">
        <f>HYPERLINK("https://github.com/leekchan/timeutil", "https://github.com/leekchan/timeutil")</f>
        <v>https://github.com/leekchan/timeutil</v>
      </c>
      <c r="D821">
        <v>165</v>
      </c>
      <c r="E821" t="s">
        <v>2420</v>
      </c>
      <c r="F821" t="s">
        <v>2421</v>
      </c>
      <c r="G821">
        <v>9</v>
      </c>
      <c r="H821" s="2">
        <v>42218.063958333332</v>
      </c>
      <c r="I821" s="2">
        <v>43567.687905092593</v>
      </c>
      <c r="J821" t="s">
        <v>2422</v>
      </c>
    </row>
    <row r="822" spans="1:10" x14ac:dyDescent="0.15">
      <c r="A822">
        <v>41520218</v>
      </c>
      <c r="B822" s="3" t="str">
        <f>HYPERLINK("https://github.com/hectane/hectane", "https://github.com/hectane/hectane")</f>
        <v>https://github.com/hectane/hectane</v>
      </c>
      <c r="D822">
        <v>164</v>
      </c>
      <c r="E822" t="s">
        <v>2423</v>
      </c>
      <c r="F822" t="s">
        <v>2424</v>
      </c>
      <c r="G822">
        <v>20</v>
      </c>
      <c r="H822" s="2">
        <v>42244.067210648151</v>
      </c>
      <c r="I822" s="2">
        <v>43575.494363425933</v>
      </c>
      <c r="J822" t="s">
        <v>2425</v>
      </c>
    </row>
    <row r="823" spans="1:10" x14ac:dyDescent="0.15">
      <c r="A823">
        <v>18282081</v>
      </c>
      <c r="B823" s="3" t="str">
        <f>HYPERLINK("https://github.com/ostrost/ostent", "https://github.com/ostrost/ostent")</f>
        <v>https://github.com/ostrost/ostent</v>
      </c>
      <c r="D823">
        <v>163</v>
      </c>
      <c r="E823" t="s">
        <v>2426</v>
      </c>
      <c r="F823" t="s">
        <v>2427</v>
      </c>
      <c r="G823">
        <v>12</v>
      </c>
      <c r="H823" s="2">
        <v>41729.202893518523</v>
      </c>
      <c r="I823" s="2">
        <v>43577.244571759264</v>
      </c>
      <c r="J823" t="s">
        <v>2428</v>
      </c>
    </row>
    <row r="824" spans="1:10" x14ac:dyDescent="0.15">
      <c r="A824">
        <v>63000351</v>
      </c>
      <c r="B824" s="3" t="str">
        <f>HYPERLINK("https://github.com/bradleyfalzon/apicompat", "https://github.com/bradleyfalzon/apicompat")</f>
        <v>https://github.com/bradleyfalzon/apicompat</v>
      </c>
      <c r="D824">
        <v>161</v>
      </c>
      <c r="E824" t="s">
        <v>2429</v>
      </c>
      <c r="F824" t="s">
        <v>2430</v>
      </c>
      <c r="G824">
        <v>2</v>
      </c>
      <c r="H824" s="2">
        <v>42561.568773148138</v>
      </c>
      <c r="I824" s="2">
        <v>43567.268194444441</v>
      </c>
      <c r="J824" t="s">
        <v>2431</v>
      </c>
    </row>
    <row r="825" spans="1:10" x14ac:dyDescent="0.15">
      <c r="A825">
        <v>45495453</v>
      </c>
      <c r="B825" s="3" t="str">
        <f>HYPERLINK("https://github.com/tucnak/climax", "https://github.com/tucnak/climax")</f>
        <v>https://github.com/tucnak/climax</v>
      </c>
      <c r="D825">
        <v>159</v>
      </c>
      <c r="E825" t="s">
        <v>2432</v>
      </c>
      <c r="F825" t="s">
        <v>2433</v>
      </c>
      <c r="G825">
        <v>16</v>
      </c>
      <c r="H825" s="2">
        <v>42311.878437500003</v>
      </c>
      <c r="I825" s="2">
        <v>43573.677986111114</v>
      </c>
      <c r="J825" t="s">
        <v>2434</v>
      </c>
    </row>
    <row r="826" spans="1:10" x14ac:dyDescent="0.15">
      <c r="A826">
        <v>15981212</v>
      </c>
      <c r="B826" s="3" t="str">
        <f>HYPERLINK("https://github.com/bamiaux/rez", "https://github.com/bamiaux/rez")</f>
        <v>https://github.com/bamiaux/rez</v>
      </c>
      <c r="D826">
        <v>159</v>
      </c>
      <c r="E826" t="s">
        <v>2435</v>
      </c>
      <c r="F826" t="s">
        <v>2436</v>
      </c>
      <c r="G826">
        <v>11</v>
      </c>
      <c r="H826" s="2">
        <v>41655.886284722219</v>
      </c>
      <c r="I826" s="2">
        <v>43567.986284722218</v>
      </c>
      <c r="J826" t="s">
        <v>2437</v>
      </c>
    </row>
    <row r="827" spans="1:10" x14ac:dyDescent="0.15">
      <c r="A827">
        <v>29364844</v>
      </c>
      <c r="B827" s="3" t="str">
        <f>HYPERLINK("https://github.com/connectordb/connectordb", "https://github.com/connectordb/connectordb")</f>
        <v>https://github.com/connectordb/connectordb</v>
      </c>
      <c r="D827">
        <v>159</v>
      </c>
      <c r="E827" t="s">
        <v>2438</v>
      </c>
      <c r="F827" t="s">
        <v>2439</v>
      </c>
      <c r="G827">
        <v>16</v>
      </c>
      <c r="H827" s="2">
        <v>42020.822465277779</v>
      </c>
      <c r="I827" s="2">
        <v>43571.022974537038</v>
      </c>
      <c r="J827" t="s">
        <v>2440</v>
      </c>
    </row>
    <row r="828" spans="1:10" x14ac:dyDescent="0.15">
      <c r="A828">
        <v>79898412</v>
      </c>
      <c r="B828" s="3" t="str">
        <f>HYPERLINK("https://github.com/onrik/ethrpc", "https://github.com/onrik/ethrpc")</f>
        <v>https://github.com/onrik/ethrpc</v>
      </c>
      <c r="D828">
        <v>159</v>
      </c>
      <c r="E828" t="s">
        <v>2441</v>
      </c>
      <c r="F828" t="s">
        <v>2442</v>
      </c>
      <c r="G828">
        <v>60</v>
      </c>
      <c r="H828" s="2">
        <v>42759.407638888893</v>
      </c>
      <c r="I828" s="2">
        <v>43578.287534722222</v>
      </c>
      <c r="J828" t="s">
        <v>2443</v>
      </c>
    </row>
    <row r="829" spans="1:10" x14ac:dyDescent="0.15">
      <c r="A829">
        <v>1960211</v>
      </c>
      <c r="B829" s="3" t="str">
        <f>HYPERLINK("https://github.com/ungerik/go3d", "https://github.com/ungerik/go3d")</f>
        <v>https://github.com/ungerik/go3d</v>
      </c>
      <c r="D829">
        <v>158</v>
      </c>
      <c r="E829" t="s">
        <v>2444</v>
      </c>
      <c r="F829" t="s">
        <v>2445</v>
      </c>
      <c r="G829">
        <v>28</v>
      </c>
      <c r="H829" s="2">
        <v>40721.543356481481</v>
      </c>
      <c r="I829" s="2">
        <v>43565.50167824074</v>
      </c>
      <c r="J829" t="s">
        <v>2446</v>
      </c>
    </row>
    <row r="830" spans="1:10" x14ac:dyDescent="0.15">
      <c r="A830">
        <v>11981833</v>
      </c>
      <c r="B830" s="3" t="str">
        <f>HYPERLINK("https://github.com/eaburns/Watch", "https://github.com/eaburns/Watch")</f>
        <v>https://github.com/eaburns/Watch</v>
      </c>
      <c r="D830">
        <v>158</v>
      </c>
      <c r="E830" t="s">
        <v>2447</v>
      </c>
      <c r="F830" t="s">
        <v>2448</v>
      </c>
      <c r="G830">
        <v>27</v>
      </c>
      <c r="H830" s="2">
        <v>41494.715532407397</v>
      </c>
      <c r="I830" s="2">
        <v>43574.876168981478</v>
      </c>
      <c r="J830" t="s">
        <v>2449</v>
      </c>
    </row>
    <row r="831" spans="1:10" x14ac:dyDescent="0.15">
      <c r="A831">
        <v>21198443</v>
      </c>
      <c r="B831" s="3" t="str">
        <f>HYPERLINK("https://github.com/elgris/sqrl", "https://github.com/elgris/sqrl")</f>
        <v>https://github.com/elgris/sqrl</v>
      </c>
      <c r="D831">
        <v>157</v>
      </c>
      <c r="E831" t="s">
        <v>2450</v>
      </c>
      <c r="F831" t="s">
        <v>647</v>
      </c>
      <c r="G831">
        <v>15</v>
      </c>
      <c r="H831" s="2">
        <v>41815.418819444443</v>
      </c>
      <c r="I831" s="2">
        <v>43580.309606481482</v>
      </c>
      <c r="J831" t="s">
        <v>2451</v>
      </c>
    </row>
    <row r="832" spans="1:10" x14ac:dyDescent="0.15">
      <c r="A832">
        <v>109877206</v>
      </c>
      <c r="B832" s="3" t="str">
        <f>HYPERLINK("https://github.com/thedevsaddam/renderer", "https://github.com/thedevsaddam/renderer")</f>
        <v>https://github.com/thedevsaddam/renderer</v>
      </c>
      <c r="D832">
        <v>157</v>
      </c>
      <c r="E832" t="s">
        <v>2452</v>
      </c>
      <c r="F832" t="s">
        <v>2453</v>
      </c>
      <c r="G832">
        <v>11</v>
      </c>
      <c r="H832" s="2">
        <v>43046.787372685183</v>
      </c>
      <c r="I832" s="2">
        <v>43574.963761574072</v>
      </c>
      <c r="J832" t="s">
        <v>2454</v>
      </c>
    </row>
    <row r="833" spans="1:10" x14ac:dyDescent="0.15">
      <c r="A833">
        <v>92392508</v>
      </c>
      <c r="B833" s="3" t="str">
        <f>HYPERLINK("https://github.com/gowww/router", "https://github.com/gowww/router")</f>
        <v>https://github.com/gowww/router</v>
      </c>
      <c r="D833">
        <v>156</v>
      </c>
      <c r="E833" t="s">
        <v>2455</v>
      </c>
      <c r="F833" t="s">
        <v>2456</v>
      </c>
      <c r="G833">
        <v>11</v>
      </c>
      <c r="H833" s="2">
        <v>42880.437118055554</v>
      </c>
      <c r="I833" s="2">
        <v>43572.815185185187</v>
      </c>
      <c r="J833" t="s">
        <v>2457</v>
      </c>
    </row>
    <row r="834" spans="1:10" x14ac:dyDescent="0.15">
      <c r="A834">
        <v>76661194</v>
      </c>
      <c r="B834" s="3" t="str">
        <f>HYPERLINK("https://github.com/asticode/go-astisub", "https://github.com/asticode/go-astisub")</f>
        <v>https://github.com/asticode/go-astisub</v>
      </c>
      <c r="D834">
        <v>156</v>
      </c>
      <c r="E834" t="s">
        <v>2458</v>
      </c>
      <c r="F834" t="s">
        <v>2459</v>
      </c>
      <c r="G834">
        <v>21</v>
      </c>
      <c r="H834" s="2">
        <v>42720.616655092592</v>
      </c>
      <c r="I834" s="2">
        <v>43572.678599537037</v>
      </c>
      <c r="J834" t="s">
        <v>2460</v>
      </c>
    </row>
    <row r="835" spans="1:10" x14ac:dyDescent="0.15">
      <c r="A835">
        <v>73194860</v>
      </c>
      <c r="B835" s="3" t="str">
        <f>HYPERLINK("https://github.com/wendigo/go-bind-plugin", "https://github.com/wendigo/go-bind-plugin")</f>
        <v>https://github.com/wendigo/go-bind-plugin</v>
      </c>
      <c r="D835">
        <v>156</v>
      </c>
      <c r="E835" t="s">
        <v>2461</v>
      </c>
      <c r="F835" t="s">
        <v>2462</v>
      </c>
      <c r="G835">
        <v>5</v>
      </c>
      <c r="H835" s="2">
        <v>42682.61141203704</v>
      </c>
      <c r="I835" s="2">
        <v>43566.421747685177</v>
      </c>
      <c r="J835" t="s">
        <v>2463</v>
      </c>
    </row>
    <row r="836" spans="1:10" x14ac:dyDescent="0.15">
      <c r="A836">
        <v>33662664</v>
      </c>
      <c r="B836" s="3" t="str">
        <f>HYPERLINK("https://github.com/aymerick/douceur", "https://github.com/aymerick/douceur")</f>
        <v>https://github.com/aymerick/douceur</v>
      </c>
      <c r="D836">
        <v>156</v>
      </c>
      <c r="E836" t="s">
        <v>2464</v>
      </c>
      <c r="F836" t="s">
        <v>2465</v>
      </c>
      <c r="G836">
        <v>27</v>
      </c>
      <c r="H836" s="2">
        <v>42103.431550925918</v>
      </c>
      <c r="I836" s="2">
        <v>43575.62871527778</v>
      </c>
      <c r="J836" t="s">
        <v>2466</v>
      </c>
    </row>
    <row r="837" spans="1:10" x14ac:dyDescent="0.15">
      <c r="A837">
        <v>31130055</v>
      </c>
      <c r="B837" s="3" t="str">
        <f>HYPERLINK("https://github.com/omeid/go-resources", "https://github.com/omeid/go-resources")</f>
        <v>https://github.com/omeid/go-resources</v>
      </c>
      <c r="D837">
        <v>154</v>
      </c>
      <c r="E837" t="s">
        <v>2467</v>
      </c>
      <c r="F837" t="s">
        <v>2468</v>
      </c>
      <c r="G837">
        <v>14</v>
      </c>
      <c r="H837" s="2">
        <v>42056.652974537043</v>
      </c>
      <c r="I837" s="2">
        <v>43572.802476851852</v>
      </c>
      <c r="J837" t="s">
        <v>2469</v>
      </c>
    </row>
    <row r="838" spans="1:10" x14ac:dyDescent="0.15">
      <c r="A838">
        <v>167271982</v>
      </c>
      <c r="B838" s="3" t="str">
        <f>HYPERLINK("https://github.com/tylerwince/godbg", "https://github.com/tylerwince/godbg")</f>
        <v>https://github.com/tylerwince/godbg</v>
      </c>
      <c r="D838">
        <v>154</v>
      </c>
      <c r="E838" t="s">
        <v>2220</v>
      </c>
      <c r="F838" t="s">
        <v>2470</v>
      </c>
      <c r="G838">
        <v>7</v>
      </c>
      <c r="H838" s="2">
        <v>43488.994247685187</v>
      </c>
      <c r="I838" s="2">
        <v>43580.440300925933</v>
      </c>
      <c r="J838" t="s">
        <v>2471</v>
      </c>
    </row>
    <row r="839" spans="1:10" x14ac:dyDescent="0.15">
      <c r="A839">
        <v>21225456</v>
      </c>
      <c r="B839" s="3" t="str">
        <f>HYPERLINK("https://github.com/srfrog/go-relax", "https://github.com/srfrog/go-relax")</f>
        <v>https://github.com/srfrog/go-relax</v>
      </c>
      <c r="D839">
        <v>153</v>
      </c>
      <c r="E839" t="s">
        <v>2472</v>
      </c>
      <c r="F839" t="s">
        <v>2473</v>
      </c>
      <c r="G839">
        <v>9</v>
      </c>
      <c r="H839" s="2">
        <v>41816.104687500003</v>
      </c>
      <c r="I839" s="2">
        <v>43553.517233796287</v>
      </c>
      <c r="J839" t="s">
        <v>2474</v>
      </c>
    </row>
    <row r="840" spans="1:10" x14ac:dyDescent="0.15">
      <c r="A840">
        <v>73350185</v>
      </c>
      <c r="B840" s="3" t="str">
        <f>HYPERLINK("https://github.com/go-gem/gem", "https://github.com/go-gem/gem")</f>
        <v>https://github.com/go-gem/gem</v>
      </c>
      <c r="D840">
        <v>152</v>
      </c>
      <c r="E840" t="s">
        <v>2475</v>
      </c>
      <c r="F840" t="s">
        <v>2476</v>
      </c>
      <c r="G840">
        <v>35</v>
      </c>
      <c r="H840" s="2">
        <v>42684.230810185189</v>
      </c>
      <c r="I840" s="2">
        <v>43556.915879629632</v>
      </c>
      <c r="J840" t="s">
        <v>2477</v>
      </c>
    </row>
    <row r="841" spans="1:10" x14ac:dyDescent="0.15">
      <c r="A841">
        <v>19133558</v>
      </c>
      <c r="B841" s="3" t="str">
        <f>HYPERLINK("https://github.com/shurcooL/trayhost", "https://github.com/shurcooL/trayhost")</f>
        <v>https://github.com/shurcooL/trayhost</v>
      </c>
      <c r="D841">
        <v>151</v>
      </c>
      <c r="E841" t="s">
        <v>2478</v>
      </c>
      <c r="F841" t="s">
        <v>2479</v>
      </c>
      <c r="G841">
        <v>12</v>
      </c>
      <c r="H841" s="2">
        <v>41754.168402777781</v>
      </c>
      <c r="I841" s="2">
        <v>43577.665023148147</v>
      </c>
      <c r="J841" t="s">
        <v>2480</v>
      </c>
    </row>
    <row r="842" spans="1:10" x14ac:dyDescent="0.15">
      <c r="A842">
        <v>35957769</v>
      </c>
      <c r="B842" s="3" t="str">
        <f>HYPERLINK("https://github.com/mibk/dupl", "https://github.com/mibk/dupl")</f>
        <v>https://github.com/mibk/dupl</v>
      </c>
      <c r="D842">
        <v>151</v>
      </c>
      <c r="E842" t="s">
        <v>2481</v>
      </c>
      <c r="F842" t="s">
        <v>2482</v>
      </c>
      <c r="G842">
        <v>10</v>
      </c>
      <c r="H842" s="2">
        <v>42144.656423611108</v>
      </c>
      <c r="I842" s="2">
        <v>43561.835219907407</v>
      </c>
      <c r="J842" t="s">
        <v>2483</v>
      </c>
    </row>
    <row r="843" spans="1:10" x14ac:dyDescent="0.15">
      <c r="A843">
        <v>27794547</v>
      </c>
      <c r="B843" s="3" t="str">
        <f>HYPERLINK("https://github.com/ivpusic/rerun", "https://github.com/ivpusic/rerun")</f>
        <v>https://github.com/ivpusic/rerun</v>
      </c>
      <c r="D843">
        <v>150</v>
      </c>
      <c r="E843" t="s">
        <v>2484</v>
      </c>
      <c r="F843" t="s">
        <v>2485</v>
      </c>
      <c r="G843">
        <v>9</v>
      </c>
      <c r="H843" s="2">
        <v>41983.02076388889</v>
      </c>
      <c r="I843" s="2">
        <v>43563.483344907407</v>
      </c>
      <c r="J843" t="s">
        <v>2486</v>
      </c>
    </row>
    <row r="844" spans="1:10" x14ac:dyDescent="0.15">
      <c r="A844">
        <v>2104344</v>
      </c>
      <c r="B844" s="3" t="str">
        <f>HYPERLINK("https://github.com/ziutek/gst", "https://github.com/ziutek/gst")</f>
        <v>https://github.com/ziutek/gst</v>
      </c>
      <c r="D844">
        <v>149</v>
      </c>
      <c r="E844" t="s">
        <v>2487</v>
      </c>
      <c r="F844" t="s">
        <v>2488</v>
      </c>
      <c r="G844">
        <v>34</v>
      </c>
      <c r="H844" s="2">
        <v>40750.031018518523</v>
      </c>
      <c r="I844" s="2">
        <v>43576.537939814807</v>
      </c>
      <c r="J844" t="s">
        <v>2489</v>
      </c>
    </row>
    <row r="845" spans="1:10" x14ac:dyDescent="0.15">
      <c r="A845">
        <v>50710546</v>
      </c>
      <c r="B845" s="3" t="str">
        <f>HYPERLINK("https://github.com/StabbyCutyou/moldova", "https://github.com/StabbyCutyou/moldova")</f>
        <v>https://github.com/StabbyCutyou/moldova</v>
      </c>
      <c r="D845">
        <v>149</v>
      </c>
      <c r="E845" t="s">
        <v>2490</v>
      </c>
      <c r="F845" t="s">
        <v>2491</v>
      </c>
      <c r="G845">
        <v>4</v>
      </c>
      <c r="H845" s="2">
        <v>42399.226145833331</v>
      </c>
      <c r="I845" s="2">
        <v>43573.189756944441</v>
      </c>
      <c r="J845" t="s">
        <v>2492</v>
      </c>
    </row>
    <row r="846" spans="1:10" x14ac:dyDescent="0.15">
      <c r="A846">
        <v>32562749</v>
      </c>
      <c r="B846" s="3" t="str">
        <f>HYPERLINK("https://github.com/anacrolix/utp", "https://github.com/anacrolix/utp")</f>
        <v>https://github.com/anacrolix/utp</v>
      </c>
      <c r="D846">
        <v>148</v>
      </c>
      <c r="E846" t="s">
        <v>2493</v>
      </c>
      <c r="F846" t="s">
        <v>2494</v>
      </c>
      <c r="G846">
        <v>24</v>
      </c>
      <c r="H846" s="2">
        <v>42083.194004629629</v>
      </c>
      <c r="I846" s="2">
        <v>43580.347986111112</v>
      </c>
      <c r="J846" t="s">
        <v>2495</v>
      </c>
    </row>
    <row r="847" spans="1:10" x14ac:dyDescent="0.15">
      <c r="A847">
        <v>33915633</v>
      </c>
      <c r="B847" s="3" t="str">
        <f>HYPERLINK("https://github.com/elithrar/simple-scrypt", "https://github.com/elithrar/simple-scrypt")</f>
        <v>https://github.com/elithrar/simple-scrypt</v>
      </c>
      <c r="D847">
        <v>148</v>
      </c>
      <c r="E847" t="s">
        <v>2496</v>
      </c>
      <c r="F847" t="s">
        <v>2497</v>
      </c>
      <c r="G847">
        <v>17</v>
      </c>
      <c r="H847" s="2">
        <v>42108.286354166667</v>
      </c>
      <c r="I847" s="2">
        <v>43570.966203703712</v>
      </c>
      <c r="J847" t="s">
        <v>2498</v>
      </c>
    </row>
    <row r="848" spans="1:10" x14ac:dyDescent="0.15">
      <c r="A848">
        <v>62676285</v>
      </c>
      <c r="B848" s="3" t="str">
        <f>HYPERLINK("https://github.com/adam-hanna/jwt-auth", "https://github.com/adam-hanna/jwt-auth")</f>
        <v>https://github.com/adam-hanna/jwt-auth</v>
      </c>
      <c r="D848">
        <v>146</v>
      </c>
      <c r="E848" t="s">
        <v>2499</v>
      </c>
      <c r="F848" t="s">
        <v>2500</v>
      </c>
      <c r="G848">
        <v>22</v>
      </c>
      <c r="H848" s="2">
        <v>42556.980358796303</v>
      </c>
      <c r="I848" s="2">
        <v>43572.810115740736</v>
      </c>
      <c r="J848" t="s">
        <v>2501</v>
      </c>
    </row>
    <row r="849" spans="1:10" x14ac:dyDescent="0.15">
      <c r="A849">
        <v>34825795</v>
      </c>
      <c r="B849" s="3" t="str">
        <f>HYPERLINK("https://github.com/variadico/scaneo", "https://github.com/variadico/scaneo")</f>
        <v>https://github.com/variadico/scaneo</v>
      </c>
      <c r="D849">
        <v>145</v>
      </c>
      <c r="E849" t="s">
        <v>2502</v>
      </c>
      <c r="F849" t="s">
        <v>2503</v>
      </c>
      <c r="G849">
        <v>12</v>
      </c>
      <c r="H849" s="2">
        <v>42124.025312500002</v>
      </c>
      <c r="I849" s="2">
        <v>43565.394699074073</v>
      </c>
      <c r="J849" t="s">
        <v>2504</v>
      </c>
    </row>
    <row r="850" spans="1:10" x14ac:dyDescent="0.15">
      <c r="A850">
        <v>126595133</v>
      </c>
      <c r="B850" s="3" t="str">
        <f>HYPERLINK("https://github.com/mum4k/termdash", "https://github.com/mum4k/termdash")</f>
        <v>https://github.com/mum4k/termdash</v>
      </c>
      <c r="D850">
        <v>143</v>
      </c>
      <c r="E850" t="s">
        <v>2505</v>
      </c>
      <c r="F850" t="s">
        <v>2506</v>
      </c>
      <c r="G850">
        <v>6</v>
      </c>
      <c r="H850" s="2">
        <v>43183.501261574071</v>
      </c>
      <c r="I850" s="2">
        <v>43580.043958333343</v>
      </c>
      <c r="J850" t="s">
        <v>2507</v>
      </c>
    </row>
    <row r="851" spans="1:10" x14ac:dyDescent="0.15">
      <c r="A851">
        <v>54856356</v>
      </c>
      <c r="B851" s="3" t="str">
        <f>HYPERLINK("https://github.com/paulmach/orb", "https://github.com/paulmach/orb")</f>
        <v>https://github.com/paulmach/orb</v>
      </c>
      <c r="D851">
        <v>143</v>
      </c>
      <c r="E851" t="s">
        <v>2508</v>
      </c>
      <c r="F851" t="s">
        <v>2509</v>
      </c>
      <c r="G851">
        <v>19</v>
      </c>
      <c r="H851" s="2">
        <v>42457.054872685178</v>
      </c>
      <c r="I851" s="2">
        <v>43580.267094907409</v>
      </c>
      <c r="J851" t="s">
        <v>2510</v>
      </c>
    </row>
    <row r="852" spans="1:10" x14ac:dyDescent="0.15">
      <c r="A852">
        <v>70380227</v>
      </c>
      <c r="B852" s="3" t="str">
        <f>HYPERLINK("https://github.com/antchfx/xquery", "https://github.com/antchfx/xquery")</f>
        <v>https://github.com/antchfx/xquery</v>
      </c>
      <c r="C852" s="6">
        <v>1</v>
      </c>
      <c r="D852">
        <v>143</v>
      </c>
      <c r="E852" t="s">
        <v>2511</v>
      </c>
      <c r="F852" t="s">
        <v>2512</v>
      </c>
      <c r="G852">
        <v>25</v>
      </c>
      <c r="H852" s="2">
        <v>42652.245949074073</v>
      </c>
      <c r="I852" s="2">
        <v>43577.480763888889</v>
      </c>
      <c r="J852" t="s">
        <v>2513</v>
      </c>
    </row>
    <row r="853" spans="1:10" x14ac:dyDescent="0.15">
      <c r="A853">
        <v>139308927</v>
      </c>
      <c r="B853" s="3" t="str">
        <f>HYPERLINK("https://github.com/gookit/color", "https://github.com/gookit/color")</f>
        <v>https://github.com/gookit/color</v>
      </c>
      <c r="D853">
        <v>142</v>
      </c>
      <c r="E853" t="s">
        <v>473</v>
      </c>
      <c r="F853" t="s">
        <v>2514</v>
      </c>
      <c r="G853">
        <v>16</v>
      </c>
      <c r="H853" s="2">
        <v>43282.311307870368</v>
      </c>
      <c r="I853" s="2">
        <v>43575.159618055557</v>
      </c>
      <c r="J853" t="s">
        <v>2515</v>
      </c>
    </row>
    <row r="854" spans="1:10" x14ac:dyDescent="0.15">
      <c r="A854">
        <v>86551474</v>
      </c>
      <c r="B854" s="3" t="str">
        <f>HYPERLINK("https://github.com/alexeyco/simpletable", "https://github.com/alexeyco/simpletable")</f>
        <v>https://github.com/alexeyco/simpletable</v>
      </c>
      <c r="D854">
        <v>142</v>
      </c>
      <c r="E854" t="s">
        <v>2516</v>
      </c>
      <c r="F854" t="s">
        <v>2517</v>
      </c>
      <c r="G854">
        <v>7</v>
      </c>
      <c r="H854" s="2">
        <v>42823.310682870368</v>
      </c>
      <c r="I854" s="2">
        <v>43572.584016203713</v>
      </c>
      <c r="J854" t="s">
        <v>2518</v>
      </c>
    </row>
    <row r="855" spans="1:10" x14ac:dyDescent="0.15">
      <c r="A855">
        <v>18082164</v>
      </c>
      <c r="B855" s="3" t="str">
        <f>HYPERLINK("https://github.com/mholt/golang-graphics", "https://github.com/mholt/golang-graphics")</f>
        <v>https://github.com/mholt/golang-graphics</v>
      </c>
      <c r="D855">
        <v>141</v>
      </c>
      <c r="E855" t="s">
        <v>2519</v>
      </c>
      <c r="F855" t="s">
        <v>2520</v>
      </c>
      <c r="G855">
        <v>11</v>
      </c>
      <c r="H855" s="2">
        <v>41722.965891203698</v>
      </c>
      <c r="I855" s="2">
        <v>43520.272106481483</v>
      </c>
      <c r="J855" t="s">
        <v>2521</v>
      </c>
    </row>
    <row r="856" spans="1:10" x14ac:dyDescent="0.15">
      <c r="A856">
        <v>34357835</v>
      </c>
      <c r="B856" s="3" t="str">
        <f>HYPERLINK("https://github.com/vrischmann/envconfig", "https://github.com/vrischmann/envconfig")</f>
        <v>https://github.com/vrischmann/envconfig</v>
      </c>
      <c r="D856">
        <v>140</v>
      </c>
      <c r="E856" t="s">
        <v>601</v>
      </c>
      <c r="F856" t="s">
        <v>2522</v>
      </c>
      <c r="G856">
        <v>13</v>
      </c>
      <c r="H856" s="2">
        <v>42115.984224537038</v>
      </c>
      <c r="I856" s="2">
        <v>43572.818888888891</v>
      </c>
      <c r="J856" t="s">
        <v>2523</v>
      </c>
    </row>
    <row r="857" spans="1:10" x14ac:dyDescent="0.15">
      <c r="A857">
        <v>15195776</v>
      </c>
      <c r="B857" s="3" t="str">
        <f>HYPERLINK("https://github.com/robfig/soy", "https://github.com/robfig/soy")</f>
        <v>https://github.com/robfig/soy</v>
      </c>
      <c r="D857">
        <v>140</v>
      </c>
      <c r="E857" t="s">
        <v>2524</v>
      </c>
      <c r="F857" t="s">
        <v>2525</v>
      </c>
      <c r="G857">
        <v>30</v>
      </c>
      <c r="H857" s="2">
        <v>41623.051944444444</v>
      </c>
      <c r="I857" s="2">
        <v>43532.677395833343</v>
      </c>
      <c r="J857" t="s">
        <v>2526</v>
      </c>
    </row>
    <row r="858" spans="1:10" x14ac:dyDescent="0.15">
      <c r="A858">
        <v>21888151</v>
      </c>
      <c r="B858" s="3" t="str">
        <f>HYPERLINK("https://github.com/timkaye11/goRecommend", "https://github.com/timkaye11/goRecommend")</f>
        <v>https://github.com/timkaye11/goRecommend</v>
      </c>
      <c r="D858">
        <v>139</v>
      </c>
      <c r="E858" t="s">
        <v>2527</v>
      </c>
      <c r="F858" t="s">
        <v>2528</v>
      </c>
      <c r="G858">
        <v>15</v>
      </c>
      <c r="H858" s="2">
        <v>41836.230821759258</v>
      </c>
      <c r="I858" s="2">
        <v>43553.23033564815</v>
      </c>
      <c r="J858" t="s">
        <v>2529</v>
      </c>
    </row>
    <row r="859" spans="1:10" x14ac:dyDescent="0.15">
      <c r="A859">
        <v>88002579</v>
      </c>
      <c r="B859" s="3" t="str">
        <f>HYPERLINK("https://github.com/cbergoon/merkletree", "https://github.com/cbergoon/merkletree")</f>
        <v>https://github.com/cbergoon/merkletree</v>
      </c>
      <c r="D859">
        <v>138</v>
      </c>
      <c r="E859" t="s">
        <v>2530</v>
      </c>
      <c r="F859" t="s">
        <v>2531</v>
      </c>
      <c r="G859">
        <v>27</v>
      </c>
      <c r="H859" s="2">
        <v>42837.11818287037</v>
      </c>
      <c r="I859" s="2">
        <v>43577.768738425933</v>
      </c>
      <c r="J859" t="s">
        <v>2532</v>
      </c>
    </row>
    <row r="860" spans="1:10" x14ac:dyDescent="0.15">
      <c r="A860">
        <v>30320843</v>
      </c>
      <c r="B860" s="3" t="str">
        <f>HYPERLINK("https://github.com/2tvenom/myreplication", "https://github.com/2tvenom/myreplication")</f>
        <v>https://github.com/2tvenom/myreplication</v>
      </c>
      <c r="D860">
        <v>135</v>
      </c>
      <c r="E860" t="s">
        <v>2533</v>
      </c>
      <c r="F860" t="s">
        <v>2534</v>
      </c>
      <c r="G860">
        <v>39</v>
      </c>
      <c r="H860" s="2">
        <v>42039.874872685177</v>
      </c>
      <c r="I860" s="2">
        <v>43576.505543981482</v>
      </c>
      <c r="J860" t="s">
        <v>2535</v>
      </c>
    </row>
    <row r="861" spans="1:10" x14ac:dyDescent="0.15">
      <c r="A861">
        <v>46234623</v>
      </c>
      <c r="B861" s="3" t="str">
        <f>HYPERLINK("https://github.com/smancke/guble", "https://github.com/smancke/guble")</f>
        <v>https://github.com/smancke/guble</v>
      </c>
      <c r="D861">
        <v>135</v>
      </c>
      <c r="E861" t="s">
        <v>2536</v>
      </c>
      <c r="F861" t="s">
        <v>2537</v>
      </c>
      <c r="G861">
        <v>15</v>
      </c>
      <c r="H861" s="2">
        <v>42323.856041666673</v>
      </c>
      <c r="I861" s="2">
        <v>43578.500474537039</v>
      </c>
      <c r="J861" t="s">
        <v>2538</v>
      </c>
    </row>
    <row r="862" spans="1:10" x14ac:dyDescent="0.15">
      <c r="A862">
        <v>82510193</v>
      </c>
      <c r="B862" s="3" t="str">
        <f>HYPERLINK("https://github.com/andrewstuart/goq", "https://github.com/andrewstuart/goq")</f>
        <v>https://github.com/andrewstuart/goq</v>
      </c>
      <c r="D862">
        <v>135</v>
      </c>
      <c r="E862" t="s">
        <v>2539</v>
      </c>
      <c r="F862" t="s">
        <v>2540</v>
      </c>
      <c r="G862">
        <v>9</v>
      </c>
      <c r="H862" s="2">
        <v>42786.121296296304</v>
      </c>
      <c r="I862" s="2">
        <v>43580.044618055559</v>
      </c>
      <c r="J862" t="s">
        <v>2541</v>
      </c>
    </row>
    <row r="863" spans="1:10" x14ac:dyDescent="0.15">
      <c r="A863">
        <v>38739169</v>
      </c>
      <c r="B863" s="3" t="str">
        <f>HYPERLINK("https://github.com/DATA-DOG/go-txdb", "https://github.com/DATA-DOG/go-txdb")</f>
        <v>https://github.com/DATA-DOG/go-txdb</v>
      </c>
      <c r="D863">
        <v>134</v>
      </c>
      <c r="E863" t="s">
        <v>2542</v>
      </c>
      <c r="F863" t="s">
        <v>2543</v>
      </c>
      <c r="G863">
        <v>10</v>
      </c>
      <c r="H863" s="2">
        <v>42193.315891203703</v>
      </c>
      <c r="I863" s="2">
        <v>43572.802025462966</v>
      </c>
      <c r="J863" t="s">
        <v>2544</v>
      </c>
    </row>
    <row r="864" spans="1:10" x14ac:dyDescent="0.15">
      <c r="A864">
        <v>48792170</v>
      </c>
      <c r="B864" s="3" t="str">
        <f>HYPERLINK("https://github.com/elgs/gojq", "https://github.com/elgs/gojq")</f>
        <v>https://github.com/elgs/gojq</v>
      </c>
      <c r="D864">
        <v>133</v>
      </c>
      <c r="E864" t="s">
        <v>2545</v>
      </c>
      <c r="F864" t="s">
        <v>2546</v>
      </c>
      <c r="G864">
        <v>14</v>
      </c>
      <c r="H864" s="2">
        <v>42368.376539351862</v>
      </c>
      <c r="I864" s="2">
        <v>43577.728148148148</v>
      </c>
      <c r="J864" t="s">
        <v>2547</v>
      </c>
    </row>
    <row r="865" spans="1:10" x14ac:dyDescent="0.15">
      <c r="A865">
        <v>31244198</v>
      </c>
      <c r="B865" s="3" t="str">
        <f>HYPERLINK("https://github.com/zubairhamed/canopus", "https://github.com/zubairhamed/canopus")</f>
        <v>https://github.com/zubairhamed/canopus</v>
      </c>
      <c r="D865">
        <v>133</v>
      </c>
      <c r="E865" t="s">
        <v>2548</v>
      </c>
      <c r="F865" t="s">
        <v>2549</v>
      </c>
      <c r="G865">
        <v>40</v>
      </c>
      <c r="H865" s="2">
        <v>42059.17523148148</v>
      </c>
      <c r="I865" s="2">
        <v>43575.456053240741</v>
      </c>
      <c r="J865" t="s">
        <v>2550</v>
      </c>
    </row>
    <row r="866" spans="1:10" x14ac:dyDescent="0.15">
      <c r="A866">
        <v>70380104</v>
      </c>
      <c r="B866" s="3" t="str">
        <f>HYPERLINK("https://github.com/antchfx/xpath", "https://github.com/antchfx/xpath")</f>
        <v>https://github.com/antchfx/xpath</v>
      </c>
      <c r="D866">
        <v>132</v>
      </c>
      <c r="E866" t="s">
        <v>2551</v>
      </c>
      <c r="F866" t="s">
        <v>2552</v>
      </c>
      <c r="G866">
        <v>20</v>
      </c>
      <c r="H866" s="2">
        <v>42652.244027777779</v>
      </c>
      <c r="I866" s="2">
        <v>43572.814259259263</v>
      </c>
      <c r="J866" t="s">
        <v>2553</v>
      </c>
    </row>
    <row r="867" spans="1:10" x14ac:dyDescent="0.15">
      <c r="A867">
        <v>11254931</v>
      </c>
      <c r="B867" s="3" t="str">
        <f>HYPERLINK("https://github.com/VividCortex/robustly", "https://github.com/VividCortex/robustly")</f>
        <v>https://github.com/VividCortex/robustly</v>
      </c>
      <c r="D867">
        <v>131</v>
      </c>
      <c r="E867" t="s">
        <v>2554</v>
      </c>
      <c r="F867" t="s">
        <v>2555</v>
      </c>
      <c r="G867">
        <v>6</v>
      </c>
      <c r="H867" s="2">
        <v>41463.560532407413</v>
      </c>
      <c r="I867" s="2">
        <v>43547.536365740743</v>
      </c>
      <c r="J867" t="s">
        <v>2556</v>
      </c>
    </row>
    <row r="868" spans="1:10" x14ac:dyDescent="0.15">
      <c r="A868">
        <v>12406004</v>
      </c>
      <c r="B868" s="3" t="str">
        <f>HYPERLINK("https://github.com/subosito/gotenv", "https://github.com/subosito/gotenv")</f>
        <v>https://github.com/subosito/gotenv</v>
      </c>
      <c r="D868">
        <v>131</v>
      </c>
      <c r="E868" t="s">
        <v>2557</v>
      </c>
      <c r="F868" t="s">
        <v>2558</v>
      </c>
      <c r="G868">
        <v>13</v>
      </c>
      <c r="H868" s="2">
        <v>41513.53943287037</v>
      </c>
      <c r="I868" s="2">
        <v>43577.568981481483</v>
      </c>
      <c r="J868" t="s">
        <v>2559</v>
      </c>
    </row>
    <row r="869" spans="1:10" x14ac:dyDescent="0.15">
      <c r="A869">
        <v>24627405</v>
      </c>
      <c r="B869" s="3" t="str">
        <f>HYPERLINK("https://github.com/azer/logger", "https://github.com/azer/logger")</f>
        <v>https://github.com/azer/logger</v>
      </c>
      <c r="D869">
        <v>131</v>
      </c>
      <c r="E869" t="s">
        <v>2560</v>
      </c>
      <c r="F869" t="s">
        <v>2561</v>
      </c>
      <c r="G869">
        <v>13</v>
      </c>
      <c r="H869" s="2">
        <v>41912.281354166669</v>
      </c>
      <c r="I869" s="2">
        <v>43537.270243055558</v>
      </c>
      <c r="J869" t="s">
        <v>2562</v>
      </c>
    </row>
    <row r="870" spans="1:10" x14ac:dyDescent="0.15">
      <c r="A870">
        <v>29797862</v>
      </c>
      <c r="B870" s="3" t="str">
        <f>HYPERLINK("https://github.com/hillu/go-yara", "https://github.com/hillu/go-yara")</f>
        <v>https://github.com/hillu/go-yara</v>
      </c>
      <c r="D870">
        <v>130</v>
      </c>
      <c r="E870" t="s">
        <v>2563</v>
      </c>
      <c r="F870" t="s">
        <v>2564</v>
      </c>
      <c r="G870">
        <v>44</v>
      </c>
      <c r="H870" s="2">
        <v>42029.042488425926</v>
      </c>
      <c r="I870" s="2">
        <v>43576.53429398148</v>
      </c>
      <c r="J870" t="s">
        <v>2565</v>
      </c>
    </row>
    <row r="871" spans="1:10" x14ac:dyDescent="0.15">
      <c r="A871">
        <v>32874517</v>
      </c>
      <c r="B871" s="3" t="str">
        <f>HYPERLINK("https://github.com/kikinteractive/go-bqstreamer", "https://github.com/kikinteractive/go-bqstreamer")</f>
        <v>https://github.com/kikinteractive/go-bqstreamer</v>
      </c>
      <c r="D871">
        <v>130</v>
      </c>
      <c r="E871" t="s">
        <v>2566</v>
      </c>
      <c r="F871" t="s">
        <v>2567</v>
      </c>
      <c r="G871">
        <v>20</v>
      </c>
      <c r="H871" s="2">
        <v>42088.658553240741</v>
      </c>
      <c r="I871" s="2">
        <v>43507.163807870369</v>
      </c>
      <c r="J871" t="s">
        <v>2568</v>
      </c>
    </row>
    <row r="872" spans="1:10" x14ac:dyDescent="0.15">
      <c r="A872">
        <v>105106849</v>
      </c>
      <c r="B872" s="3" t="str">
        <f>HYPERLINK("https://github.com/antchfx/antch", "https://github.com/antchfx/antch")</f>
        <v>https://github.com/antchfx/antch</v>
      </c>
      <c r="D872">
        <v>130</v>
      </c>
      <c r="E872" t="s">
        <v>2569</v>
      </c>
      <c r="F872" t="s">
        <v>2570</v>
      </c>
      <c r="G872">
        <v>30</v>
      </c>
      <c r="H872" s="2">
        <v>43006.239085648151</v>
      </c>
      <c r="I872" s="2">
        <v>43572.974178240736</v>
      </c>
      <c r="J872" t="s">
        <v>2571</v>
      </c>
    </row>
    <row r="873" spans="1:10" x14ac:dyDescent="0.15">
      <c r="A873">
        <v>117634649</v>
      </c>
      <c r="B873" s="3" t="str">
        <f>HYPERLINK("https://github.com/chrislusf/vasto", "https://github.com/chrislusf/vasto")</f>
        <v>https://github.com/chrislusf/vasto</v>
      </c>
      <c r="D873">
        <v>130</v>
      </c>
      <c r="E873" t="s">
        <v>2572</v>
      </c>
      <c r="F873" t="s">
        <v>2573</v>
      </c>
      <c r="G873">
        <v>14</v>
      </c>
      <c r="H873" s="2">
        <v>43116.220104166663</v>
      </c>
      <c r="I873" s="2">
        <v>43580.048460648148</v>
      </c>
      <c r="J873" t="s">
        <v>2574</v>
      </c>
    </row>
    <row r="874" spans="1:10" x14ac:dyDescent="0.15">
      <c r="A874">
        <v>127093867</v>
      </c>
      <c r="B874" s="3" t="str">
        <f>HYPERLINK("https://github.com/Konstantin8105/c4go", "https://github.com/Konstantin8105/c4go")</f>
        <v>https://github.com/Konstantin8105/c4go</v>
      </c>
      <c r="D874">
        <v>129</v>
      </c>
      <c r="E874" t="s">
        <v>2575</v>
      </c>
      <c r="F874" t="s">
        <v>2576</v>
      </c>
      <c r="G874">
        <v>16</v>
      </c>
      <c r="H874" s="2">
        <v>43187.267326388886</v>
      </c>
      <c r="I874" s="2">
        <v>43580.385405092587</v>
      </c>
      <c r="J874" t="s">
        <v>2577</v>
      </c>
    </row>
    <row r="875" spans="1:10" x14ac:dyDescent="0.15">
      <c r="A875">
        <v>5217244</v>
      </c>
      <c r="B875" s="3" t="str">
        <f>HYPERLINK("https://github.com/hawx/img", "https://github.com/hawx/img")</f>
        <v>https://github.com/hawx/img</v>
      </c>
      <c r="D875">
        <v>129</v>
      </c>
      <c r="E875" t="s">
        <v>2578</v>
      </c>
      <c r="F875" t="s">
        <v>2579</v>
      </c>
      <c r="G875">
        <v>8</v>
      </c>
      <c r="H875" s="2">
        <v>41118.831793981481</v>
      </c>
      <c r="I875" s="2">
        <v>43569.971076388887</v>
      </c>
      <c r="J875" t="s">
        <v>2580</v>
      </c>
    </row>
    <row r="876" spans="1:10" x14ac:dyDescent="0.15">
      <c r="A876">
        <v>2623001</v>
      </c>
      <c r="B876" s="3" t="str">
        <f>HYPERLINK("https://github.com/ziutek/blas", "https://github.com/ziutek/blas")</f>
        <v>https://github.com/ziutek/blas</v>
      </c>
      <c r="D876">
        <v>129</v>
      </c>
      <c r="E876" t="s">
        <v>2581</v>
      </c>
      <c r="F876" t="s">
        <v>2582</v>
      </c>
      <c r="G876">
        <v>18</v>
      </c>
      <c r="H876" s="2">
        <v>40837.866064814807</v>
      </c>
      <c r="I876" s="2">
        <v>43535.352407407408</v>
      </c>
      <c r="J876" t="s">
        <v>2583</v>
      </c>
    </row>
    <row r="877" spans="1:10" x14ac:dyDescent="0.15">
      <c r="A877">
        <v>35805166</v>
      </c>
      <c r="B877" s="3" t="str">
        <f>HYPERLINK("https://github.com/goxjs/gl", "https://github.com/goxjs/gl")</f>
        <v>https://github.com/goxjs/gl</v>
      </c>
      <c r="D877">
        <v>128</v>
      </c>
      <c r="E877" t="s">
        <v>1468</v>
      </c>
      <c r="F877" t="s">
        <v>2584</v>
      </c>
      <c r="G877">
        <v>10</v>
      </c>
      <c r="H877" s="2">
        <v>42142.340451388889</v>
      </c>
      <c r="I877" s="2">
        <v>43569.981921296298</v>
      </c>
      <c r="J877" t="s">
        <v>2585</v>
      </c>
    </row>
    <row r="878" spans="1:10" x14ac:dyDescent="0.15">
      <c r="A878">
        <v>91169377</v>
      </c>
      <c r="B878" s="3" t="str">
        <f>HYPERLINK("https://github.com/gulien/orbit", "https://github.com/gulien/orbit")</f>
        <v>https://github.com/gulien/orbit</v>
      </c>
      <c r="D878">
        <v>127</v>
      </c>
      <c r="E878" t="s">
        <v>2586</v>
      </c>
      <c r="F878" t="s">
        <v>2587</v>
      </c>
      <c r="G878">
        <v>8</v>
      </c>
      <c r="H878" s="2">
        <v>42868.475694444453</v>
      </c>
      <c r="I878" s="2">
        <v>43557.837025462963</v>
      </c>
      <c r="J878" t="s">
        <v>2588</v>
      </c>
    </row>
    <row r="879" spans="1:10" x14ac:dyDescent="0.15">
      <c r="A879">
        <v>12553258</v>
      </c>
      <c r="B879" s="3" t="str">
        <f>HYPERLINK("https://github.com/zentures/bloom", "https://github.com/zentures/bloom")</f>
        <v>https://github.com/zentures/bloom</v>
      </c>
      <c r="D879">
        <v>126</v>
      </c>
      <c r="E879" t="s">
        <v>1465</v>
      </c>
      <c r="F879" t="s">
        <v>2589</v>
      </c>
      <c r="G879">
        <v>11</v>
      </c>
      <c r="H879" s="2">
        <v>41520.102488425917</v>
      </c>
      <c r="I879" s="2">
        <v>43579.286134259259</v>
      </c>
      <c r="J879" t="s">
        <v>2590</v>
      </c>
    </row>
    <row r="880" spans="1:10" x14ac:dyDescent="0.15">
      <c r="A880">
        <v>44735328</v>
      </c>
      <c r="B880" s="3" t="str">
        <f>HYPERLINK("https://github.com/rs/xlog", "https://github.com/rs/xlog")</f>
        <v>https://github.com/rs/xlog</v>
      </c>
      <c r="D880">
        <v>126</v>
      </c>
      <c r="E880" t="s">
        <v>2591</v>
      </c>
      <c r="F880" t="s">
        <v>2592</v>
      </c>
      <c r="G880">
        <v>8</v>
      </c>
      <c r="H880" s="2">
        <v>42299.393576388888</v>
      </c>
      <c r="I880" s="2">
        <v>43522.467581018522</v>
      </c>
      <c r="J880" t="s">
        <v>2593</v>
      </c>
    </row>
    <row r="881" spans="1:10" x14ac:dyDescent="0.15">
      <c r="A881">
        <v>53757596</v>
      </c>
      <c r="B881" s="3" t="str">
        <f>HYPERLINK("https://github.com/distatus/battery", "https://github.com/distatus/battery")</f>
        <v>https://github.com/distatus/battery</v>
      </c>
      <c r="D881">
        <v>126</v>
      </c>
      <c r="E881" t="s">
        <v>2594</v>
      </c>
      <c r="F881" t="s">
        <v>2595</v>
      </c>
      <c r="G881">
        <v>12</v>
      </c>
      <c r="H881" s="2">
        <v>42441.960879629631</v>
      </c>
      <c r="I881" s="2">
        <v>43577.572893518518</v>
      </c>
      <c r="J881" t="s">
        <v>2596</v>
      </c>
    </row>
    <row r="882" spans="1:10" x14ac:dyDescent="0.15">
      <c r="A882">
        <v>31878325</v>
      </c>
      <c r="B882" s="3" t="str">
        <f>HYPERLINK("https://github.com/vrecan/death", "https://github.com/vrecan/death")</f>
        <v>https://github.com/vrecan/death</v>
      </c>
      <c r="D882">
        <v>125</v>
      </c>
      <c r="E882" t="s">
        <v>2597</v>
      </c>
      <c r="F882" t="s">
        <v>2598</v>
      </c>
      <c r="G882">
        <v>13</v>
      </c>
      <c r="H882" s="2">
        <v>42072.160185185188</v>
      </c>
      <c r="I882" s="2">
        <v>43578.519375000003</v>
      </c>
      <c r="J882" t="s">
        <v>2599</v>
      </c>
    </row>
    <row r="883" spans="1:10" x14ac:dyDescent="0.15">
      <c r="A883">
        <v>34211333</v>
      </c>
      <c r="B883" s="3" t="str">
        <f>HYPERLINK("https://github.com/wellington/go-libsass", "https://github.com/wellington/go-libsass")</f>
        <v>https://github.com/wellington/go-libsass</v>
      </c>
      <c r="D883">
        <v>124</v>
      </c>
      <c r="E883" t="s">
        <v>2600</v>
      </c>
      <c r="F883" t="s">
        <v>2601</v>
      </c>
      <c r="G883">
        <v>22</v>
      </c>
      <c r="H883" s="2">
        <v>42113.631793981483</v>
      </c>
      <c r="I883" s="2">
        <v>43577.695416666669</v>
      </c>
      <c r="J883" t="s">
        <v>2602</v>
      </c>
    </row>
    <row r="884" spans="1:10" x14ac:dyDescent="0.15">
      <c r="A884">
        <v>72677969</v>
      </c>
      <c r="B884" s="3" t="str">
        <f>HYPERLINK("https://github.com/kamilsk/retry", "https://github.com/kamilsk/retry")</f>
        <v>https://github.com/kamilsk/retry</v>
      </c>
      <c r="D884">
        <v>124</v>
      </c>
      <c r="E884" t="s">
        <v>2603</v>
      </c>
      <c r="F884" t="s">
        <v>2604</v>
      </c>
      <c r="G884">
        <v>6</v>
      </c>
      <c r="H884" s="2">
        <v>42676.847719907397</v>
      </c>
      <c r="I884" s="2">
        <v>43577.664074074077</v>
      </c>
      <c r="J884" t="s">
        <v>2605</v>
      </c>
    </row>
    <row r="885" spans="1:10" x14ac:dyDescent="0.15">
      <c r="A885">
        <v>11124874</v>
      </c>
      <c r="B885" s="3" t="str">
        <f>HYPERLINK("https://github.com/VividCortex/gohistogram", "https://github.com/VividCortex/gohistogram")</f>
        <v>https://github.com/VividCortex/gohistogram</v>
      </c>
      <c r="D885">
        <v>123</v>
      </c>
      <c r="E885" t="s">
        <v>2606</v>
      </c>
      <c r="F885" t="s">
        <v>2607</v>
      </c>
      <c r="G885">
        <v>24</v>
      </c>
      <c r="H885" s="2">
        <v>41457.537060185183</v>
      </c>
      <c r="I885" s="2">
        <v>43562.387870370367</v>
      </c>
      <c r="J885" t="s">
        <v>2608</v>
      </c>
    </row>
    <row r="886" spans="1:10" x14ac:dyDescent="0.15">
      <c r="A886">
        <v>46433503</v>
      </c>
      <c r="B886" s="3" t="str">
        <f>HYPERLINK("https://github.com/topfreegames/apm", "https://github.com/topfreegames/apm")</f>
        <v>https://github.com/topfreegames/apm</v>
      </c>
      <c r="D886">
        <v>123</v>
      </c>
      <c r="E886" t="s">
        <v>2609</v>
      </c>
      <c r="F886" t="s">
        <v>2610</v>
      </c>
      <c r="G886">
        <v>40</v>
      </c>
      <c r="H886" s="2">
        <v>42326.706111111111</v>
      </c>
      <c r="I886" s="2">
        <v>43579.559814814813</v>
      </c>
      <c r="J886" t="s">
        <v>2611</v>
      </c>
    </row>
    <row r="887" spans="1:10" x14ac:dyDescent="0.15">
      <c r="A887">
        <v>84272132</v>
      </c>
      <c r="B887" s="3" t="str">
        <f>HYPERLINK("https://github.com/sdcoffey/techan", "https://github.com/sdcoffey/techan")</f>
        <v>https://github.com/sdcoffey/techan</v>
      </c>
      <c r="D887">
        <v>122</v>
      </c>
      <c r="E887" t="s">
        <v>2612</v>
      </c>
      <c r="F887" t="s">
        <v>2613</v>
      </c>
      <c r="G887">
        <v>17</v>
      </c>
      <c r="H887" s="2">
        <v>42802.127870370372</v>
      </c>
      <c r="I887" s="2">
        <v>43577.009270833332</v>
      </c>
      <c r="J887" t="s">
        <v>2614</v>
      </c>
    </row>
    <row r="888" spans="1:10" x14ac:dyDescent="0.15">
      <c r="A888">
        <v>67125409</v>
      </c>
      <c r="B888" s="3" t="str">
        <f>HYPERLINK("https://github.com/yaronsumel/grapes", "https://github.com/yaronsumel/grapes")</f>
        <v>https://github.com/yaronsumel/grapes</v>
      </c>
      <c r="D888">
        <v>122</v>
      </c>
      <c r="E888" t="s">
        <v>2615</v>
      </c>
      <c r="F888" t="s">
        <v>2616</v>
      </c>
      <c r="G888">
        <v>6</v>
      </c>
      <c r="H888" s="2">
        <v>42614.478321759263</v>
      </c>
      <c r="I888" s="2">
        <v>43578.822546296287</v>
      </c>
      <c r="J888" t="s">
        <v>2617</v>
      </c>
    </row>
    <row r="889" spans="1:10" x14ac:dyDescent="0.15">
      <c r="A889">
        <v>9354270</v>
      </c>
      <c r="B889" s="3" t="str">
        <f>HYPERLINK("https://github.com/eaigner/shield", "https://github.com/eaigner/shield")</f>
        <v>https://github.com/eaigner/shield</v>
      </c>
      <c r="D889">
        <v>121</v>
      </c>
      <c r="E889" t="s">
        <v>2618</v>
      </c>
      <c r="F889" t="s">
        <v>2619</v>
      </c>
      <c r="G889">
        <v>23</v>
      </c>
      <c r="H889" s="2">
        <v>41374.818240740737</v>
      </c>
      <c r="I889" s="2">
        <v>43564.707569444443</v>
      </c>
      <c r="J889" t="s">
        <v>2620</v>
      </c>
    </row>
    <row r="890" spans="1:10" x14ac:dyDescent="0.15">
      <c r="A890">
        <v>171062239</v>
      </c>
      <c r="B890" s="3" t="str">
        <f>HYPERLINK("https://github.com/snwfdhmp/errlog", "https://github.com/snwfdhmp/errlog")</f>
        <v>https://github.com/snwfdhmp/errlog</v>
      </c>
      <c r="D890">
        <v>120</v>
      </c>
      <c r="E890" t="s">
        <v>2621</v>
      </c>
      <c r="F890" t="s">
        <v>2622</v>
      </c>
      <c r="G890">
        <v>5</v>
      </c>
      <c r="H890" s="2">
        <v>43512.971585648149</v>
      </c>
      <c r="I890" s="2">
        <v>43578.422094907408</v>
      </c>
      <c r="J890" t="s">
        <v>2623</v>
      </c>
    </row>
    <row r="891" spans="1:10" x14ac:dyDescent="0.15">
      <c r="A891">
        <v>115539456</v>
      </c>
      <c r="B891" s="3" t="str">
        <f>HYPERLINK("https://github.com/huandu/go-sqlbuilder", "https://github.com/huandu/go-sqlbuilder")</f>
        <v>https://github.com/huandu/go-sqlbuilder</v>
      </c>
      <c r="D891">
        <v>120</v>
      </c>
      <c r="E891" t="s">
        <v>2624</v>
      </c>
      <c r="F891" t="s">
        <v>2625</v>
      </c>
      <c r="G891">
        <v>17</v>
      </c>
      <c r="H891" s="2">
        <v>43096.692916666667</v>
      </c>
      <c r="I891" s="2">
        <v>43580.456134259257</v>
      </c>
      <c r="J891" t="s">
        <v>2626</v>
      </c>
    </row>
    <row r="892" spans="1:10" x14ac:dyDescent="0.15">
      <c r="A892">
        <v>92232508</v>
      </c>
      <c r="B892" s="3" t="str">
        <f>HYPERLINK("https://github.com/shomali11/util", "https://github.com/shomali11/util")</f>
        <v>https://github.com/shomali11/util</v>
      </c>
      <c r="C892" s="6">
        <v>1</v>
      </c>
      <c r="D892">
        <v>120</v>
      </c>
      <c r="E892" t="s">
        <v>2627</v>
      </c>
      <c r="F892" t="s">
        <v>2628</v>
      </c>
      <c r="G892">
        <v>17</v>
      </c>
      <c r="H892" s="2">
        <v>42879.014918981477</v>
      </c>
      <c r="I892" s="2">
        <v>43580.364884259259</v>
      </c>
      <c r="J892" t="s">
        <v>2629</v>
      </c>
    </row>
    <row r="893" spans="1:10" x14ac:dyDescent="0.15">
      <c r="A893">
        <v>72982532</v>
      </c>
      <c r="B893" s="3" t="str">
        <f>HYPERLINK("https://github.com/oklahomer/go-sarah", "https://github.com/oklahomer/go-sarah")</f>
        <v>https://github.com/oklahomer/go-sarah</v>
      </c>
      <c r="D893">
        <v>119</v>
      </c>
      <c r="E893" t="s">
        <v>2630</v>
      </c>
      <c r="F893" t="s">
        <v>2631</v>
      </c>
      <c r="G893">
        <v>5</v>
      </c>
      <c r="H893" s="2">
        <v>42680.419942129629</v>
      </c>
      <c r="I893" s="2">
        <v>43570.281458333331</v>
      </c>
      <c r="J893" t="s">
        <v>2632</v>
      </c>
    </row>
    <row r="894" spans="1:10" x14ac:dyDescent="0.15">
      <c r="A894">
        <v>25038806</v>
      </c>
      <c r="B894" s="3" t="str">
        <f>HYPERLINK("https://github.com/bsm/redis-lock", "https://github.com/bsm/redis-lock")</f>
        <v>https://github.com/bsm/redis-lock</v>
      </c>
      <c r="D894">
        <v>119</v>
      </c>
      <c r="E894" t="s">
        <v>2633</v>
      </c>
      <c r="G894">
        <v>32</v>
      </c>
      <c r="H894" s="2">
        <v>41922.599166666667</v>
      </c>
      <c r="I894" s="2">
        <v>43578.604733796303</v>
      </c>
      <c r="J894" t="s">
        <v>2634</v>
      </c>
    </row>
    <row r="895" spans="1:10" x14ac:dyDescent="0.15">
      <c r="A895">
        <v>25714210</v>
      </c>
      <c r="B895" s="3" t="str">
        <f>HYPERLINK("https://github.com/monoculum/formam", "https://github.com/monoculum/formam")</f>
        <v>https://github.com/monoculum/formam</v>
      </c>
      <c r="D895">
        <v>119</v>
      </c>
      <c r="E895" t="s">
        <v>2635</v>
      </c>
      <c r="F895" t="s">
        <v>2636</v>
      </c>
      <c r="G895">
        <v>11</v>
      </c>
      <c r="H895" s="2">
        <v>41937.016319444447</v>
      </c>
      <c r="I895" s="2">
        <v>43579.633252314823</v>
      </c>
      <c r="J895" t="s">
        <v>2637</v>
      </c>
    </row>
    <row r="896" spans="1:10" x14ac:dyDescent="0.15">
      <c r="A896">
        <v>30799930</v>
      </c>
      <c r="B896" s="3" t="str">
        <f>HYPERLINK("https://github.com/go-ffmt/ffmt", "https://github.com/go-ffmt/ffmt")</f>
        <v>https://github.com/go-ffmt/ffmt</v>
      </c>
      <c r="D896">
        <v>119</v>
      </c>
      <c r="E896" t="s">
        <v>2638</v>
      </c>
      <c r="F896" t="s">
        <v>2639</v>
      </c>
      <c r="G896">
        <v>11</v>
      </c>
      <c r="H896" s="2">
        <v>42049.638715277782</v>
      </c>
      <c r="I896" s="2">
        <v>43580.211435185192</v>
      </c>
      <c r="J896" t="s">
        <v>2640</v>
      </c>
    </row>
    <row r="897" spans="1:10" x14ac:dyDescent="0.15">
      <c r="A897">
        <v>42474825</v>
      </c>
      <c r="B897" s="3" t="str">
        <f>HYPERLINK("https://github.com/go-playground/stats", "https://github.com/go-playground/stats")</f>
        <v>https://github.com/go-playground/stats</v>
      </c>
      <c r="D897">
        <v>118</v>
      </c>
      <c r="E897" t="s">
        <v>928</v>
      </c>
      <c r="F897" t="s">
        <v>2641</v>
      </c>
      <c r="G897">
        <v>14</v>
      </c>
      <c r="H897" s="2">
        <v>42261.847453703696</v>
      </c>
      <c r="I897" s="2">
        <v>43576.683715277781</v>
      </c>
      <c r="J897" t="s">
        <v>2642</v>
      </c>
    </row>
    <row r="898" spans="1:10" x14ac:dyDescent="0.15">
      <c r="A898">
        <v>11581061</v>
      </c>
      <c r="B898" s="3" t="str">
        <f>HYPERLINK("https://github.com/jsgilmore/gostorm", "https://github.com/jsgilmore/gostorm")</f>
        <v>https://github.com/jsgilmore/gostorm</v>
      </c>
      <c r="D898">
        <v>118</v>
      </c>
      <c r="E898" t="s">
        <v>2643</v>
      </c>
      <c r="F898" t="s">
        <v>2644</v>
      </c>
      <c r="G898">
        <v>21</v>
      </c>
      <c r="H898" s="2">
        <v>41477.530335648153</v>
      </c>
      <c r="I898" s="2">
        <v>43561.402569444443</v>
      </c>
      <c r="J898" t="s">
        <v>2645</v>
      </c>
    </row>
    <row r="899" spans="1:10" x14ac:dyDescent="0.15">
      <c r="A899">
        <v>63700025</v>
      </c>
      <c r="B899" s="3" t="str">
        <f>HYPERLINK("https://github.com/qntfy/kazaam", "https://github.com/qntfy/kazaam")</f>
        <v>https://github.com/qntfy/kazaam</v>
      </c>
      <c r="D899">
        <v>118</v>
      </c>
      <c r="E899" t="s">
        <v>2646</v>
      </c>
      <c r="F899" t="s">
        <v>2647</v>
      </c>
      <c r="G899">
        <v>27</v>
      </c>
      <c r="H899" s="2">
        <v>42570.596562500003</v>
      </c>
      <c r="I899" s="2">
        <v>43577.775937500002</v>
      </c>
      <c r="J899" t="s">
        <v>2648</v>
      </c>
    </row>
    <row r="900" spans="1:10" x14ac:dyDescent="0.15">
      <c r="A900">
        <v>144078031</v>
      </c>
      <c r="B900" s="3" t="str">
        <f>HYPERLINK("https://github.com/stellar/kelp", "https://github.com/stellar/kelp")</f>
        <v>https://github.com/stellar/kelp</v>
      </c>
      <c r="D900">
        <v>117</v>
      </c>
      <c r="E900" t="s">
        <v>2649</v>
      </c>
      <c r="F900" t="s">
        <v>2650</v>
      </c>
      <c r="G900">
        <v>34</v>
      </c>
      <c r="H900" s="2">
        <v>43320.980069444442</v>
      </c>
      <c r="I900" s="2">
        <v>43576.465324074074</v>
      </c>
      <c r="J900" t="s">
        <v>2651</v>
      </c>
    </row>
    <row r="901" spans="1:10" x14ac:dyDescent="0.15">
      <c r="A901">
        <v>135612140</v>
      </c>
      <c r="B901" s="3" t="str">
        <f>HYPERLINK("https://github.com/assafmo/joincap", "https://github.com/assafmo/joincap")</f>
        <v>https://github.com/assafmo/joincap</v>
      </c>
      <c r="D901">
        <v>117</v>
      </c>
      <c r="E901" t="s">
        <v>2652</v>
      </c>
      <c r="F901" t="s">
        <v>2653</v>
      </c>
      <c r="G901">
        <v>9</v>
      </c>
      <c r="H901" s="2">
        <v>43251.706504629627</v>
      </c>
      <c r="I901" s="2">
        <v>43543.545983796299</v>
      </c>
      <c r="J901" t="s">
        <v>2654</v>
      </c>
    </row>
    <row r="902" spans="1:10" x14ac:dyDescent="0.15">
      <c r="A902">
        <v>25364060</v>
      </c>
      <c r="B902" s="3" t="str">
        <f>HYPERLINK("https://github.com/DamnWidget/VenGO", "https://github.com/DamnWidget/VenGO")</f>
        <v>https://github.com/DamnWidget/VenGO</v>
      </c>
      <c r="D902">
        <v>115</v>
      </c>
      <c r="E902" t="s">
        <v>2655</v>
      </c>
      <c r="F902" t="s">
        <v>2656</v>
      </c>
      <c r="G902">
        <v>9</v>
      </c>
      <c r="H902" s="2">
        <v>41929.638229166667</v>
      </c>
      <c r="I902" s="2">
        <v>43528.765081018522</v>
      </c>
      <c r="J902" t="s">
        <v>2657</v>
      </c>
    </row>
    <row r="903" spans="1:10" x14ac:dyDescent="0.15">
      <c r="A903">
        <v>7295448</v>
      </c>
      <c r="B903" s="3" t="str">
        <f>HYPERLINK("https://github.com/yvasiyarov/php_session_decoder", "https://github.com/yvasiyarov/php_session_decoder")</f>
        <v>https://github.com/yvasiyarov/php_session_decoder</v>
      </c>
      <c r="D903">
        <v>115</v>
      </c>
      <c r="E903" t="s">
        <v>2658</v>
      </c>
      <c r="F903" t="s">
        <v>2659</v>
      </c>
      <c r="G903">
        <v>36</v>
      </c>
      <c r="H903" s="2">
        <v>41266.586400462962</v>
      </c>
      <c r="I903" s="2">
        <v>43565.3121875</v>
      </c>
      <c r="J903" t="s">
        <v>2660</v>
      </c>
    </row>
    <row r="904" spans="1:10" x14ac:dyDescent="0.15">
      <c r="A904">
        <v>89779028</v>
      </c>
      <c r="B904" s="3" t="str">
        <f>HYPERLINK("https://github.com/nikepan/clickhouse-bulk", "https://github.com/nikepan/clickhouse-bulk")</f>
        <v>https://github.com/nikepan/clickhouse-bulk</v>
      </c>
      <c r="D904">
        <v>114</v>
      </c>
      <c r="E904" t="s">
        <v>2661</v>
      </c>
      <c r="F904" t="s">
        <v>2662</v>
      </c>
      <c r="G904">
        <v>22</v>
      </c>
      <c r="H904" s="2">
        <v>42854.443530092591</v>
      </c>
      <c r="I904" s="2">
        <v>43578.317824074067</v>
      </c>
      <c r="J904" t="s">
        <v>2663</v>
      </c>
    </row>
    <row r="905" spans="1:10" x14ac:dyDescent="0.15">
      <c r="A905">
        <v>9724058</v>
      </c>
      <c r="B905" s="3" t="str">
        <f>HYPERLINK("https://github.com/daneharrigan/hipchat", "https://github.com/daneharrigan/hipchat")</f>
        <v>https://github.com/daneharrigan/hipchat</v>
      </c>
      <c r="D905">
        <v>114</v>
      </c>
      <c r="E905" t="s">
        <v>2664</v>
      </c>
      <c r="F905" t="s">
        <v>2665</v>
      </c>
      <c r="G905">
        <v>41</v>
      </c>
      <c r="H905" s="2">
        <v>41392.094687500001</v>
      </c>
      <c r="I905" s="2">
        <v>43572.805590277778</v>
      </c>
      <c r="J905" t="s">
        <v>2666</v>
      </c>
    </row>
    <row r="906" spans="1:10" x14ac:dyDescent="0.15">
      <c r="A906">
        <v>5017662</v>
      </c>
      <c r="B906" s="3" t="str">
        <f>HYPERLINK("https://github.com/ungerik/go-rest", "https://github.com/ungerik/go-rest")</f>
        <v>https://github.com/ungerik/go-rest</v>
      </c>
      <c r="D906">
        <v>114</v>
      </c>
      <c r="E906" t="s">
        <v>2667</v>
      </c>
      <c r="F906" t="s">
        <v>2668</v>
      </c>
      <c r="G906">
        <v>10</v>
      </c>
      <c r="H906" s="2">
        <v>41103.418229166673</v>
      </c>
      <c r="I906" s="2">
        <v>43572.50104166667</v>
      </c>
      <c r="J906" t="s">
        <v>2669</v>
      </c>
    </row>
    <row r="907" spans="1:10" x14ac:dyDescent="0.15">
      <c r="A907">
        <v>52485980</v>
      </c>
      <c r="B907" s="3" t="str">
        <f>HYPERLINK("https://github.com/tylertreat/go-benchmarks", "https://github.com/tylertreat/go-benchmarks")</f>
        <v>https://github.com/tylertreat/go-benchmarks</v>
      </c>
      <c r="D907">
        <v>114</v>
      </c>
      <c r="E907" t="s">
        <v>2670</v>
      </c>
      <c r="F907" t="s">
        <v>2671</v>
      </c>
      <c r="G907">
        <v>16</v>
      </c>
      <c r="H907" s="2">
        <v>42425.04210648148</v>
      </c>
      <c r="I907" s="2">
        <v>43557.873206018521</v>
      </c>
      <c r="J907" t="s">
        <v>2672</v>
      </c>
    </row>
    <row r="908" spans="1:10" x14ac:dyDescent="0.15">
      <c r="A908">
        <v>124531976</v>
      </c>
      <c r="B908" s="3" t="str">
        <f>HYPERLINK("https://github.com/novalagung/gubrak", "https://github.com/novalagung/gubrak")</f>
        <v>https://github.com/novalagung/gubrak</v>
      </c>
      <c r="D908">
        <v>112</v>
      </c>
      <c r="E908" t="s">
        <v>2673</v>
      </c>
      <c r="F908" t="s">
        <v>2674</v>
      </c>
      <c r="G908">
        <v>8</v>
      </c>
      <c r="H908" s="2">
        <v>43168.477835648147</v>
      </c>
      <c r="I908" s="2">
        <v>43580.304699074077</v>
      </c>
      <c r="J908" t="s">
        <v>2675</v>
      </c>
    </row>
    <row r="909" spans="1:10" x14ac:dyDescent="0.15">
      <c r="A909">
        <v>40902332</v>
      </c>
      <c r="B909" s="3" t="str">
        <f>HYPERLINK("https://github.com/go-gcfg/gcfg", "https://github.com/go-gcfg/gcfg")</f>
        <v>https://github.com/go-gcfg/gcfg</v>
      </c>
      <c r="D909">
        <v>111</v>
      </c>
      <c r="E909" t="s">
        <v>2676</v>
      </c>
      <c r="F909" t="s">
        <v>2677</v>
      </c>
      <c r="G909">
        <v>29</v>
      </c>
      <c r="H909" s="2">
        <v>42233.611747685187</v>
      </c>
      <c r="I909" s="2">
        <v>43576.126134259262</v>
      </c>
      <c r="J909" t="s">
        <v>2678</v>
      </c>
    </row>
    <row r="910" spans="1:10" x14ac:dyDescent="0.15">
      <c r="A910">
        <v>60642086</v>
      </c>
      <c r="B910" s="3" t="str">
        <f>HYPERLINK("https://github.com/udhos/jazigo", "https://github.com/udhos/jazigo")</f>
        <v>https://github.com/udhos/jazigo</v>
      </c>
      <c r="D910">
        <v>111</v>
      </c>
      <c r="E910" t="s">
        <v>2679</v>
      </c>
      <c r="F910" t="s">
        <v>2680</v>
      </c>
      <c r="G910">
        <v>10</v>
      </c>
      <c r="H910" s="2">
        <v>42528.829085648147</v>
      </c>
      <c r="I910" s="2">
        <v>43578.55332175926</v>
      </c>
      <c r="J910" t="s">
        <v>2681</v>
      </c>
    </row>
    <row r="911" spans="1:10" x14ac:dyDescent="0.15">
      <c r="A911">
        <v>383869</v>
      </c>
      <c r="B911" s="3" t="str">
        <f>HYPERLINK("https://github.com/luontola/gospec", "https://github.com/luontola/gospec")</f>
        <v>https://github.com/luontola/gospec</v>
      </c>
      <c r="D911">
        <v>111</v>
      </c>
      <c r="E911" t="s">
        <v>2682</v>
      </c>
      <c r="F911" t="s">
        <v>2683</v>
      </c>
      <c r="G911">
        <v>15</v>
      </c>
      <c r="H911" s="2">
        <v>40141.582939814813</v>
      </c>
      <c r="I911" s="2">
        <v>43558.125972222217</v>
      </c>
      <c r="J911" t="s">
        <v>2684</v>
      </c>
    </row>
    <row r="912" spans="1:10" x14ac:dyDescent="0.15">
      <c r="A912">
        <v>43227348</v>
      </c>
      <c r="B912" s="3" t="str">
        <f>HYPERLINK("https://github.com/Medium/medium-sdk-go", "https://github.com/Medium/medium-sdk-go")</f>
        <v>https://github.com/Medium/medium-sdk-go</v>
      </c>
      <c r="D912">
        <v>111</v>
      </c>
      <c r="E912" t="s">
        <v>2685</v>
      </c>
      <c r="F912" t="s">
        <v>2686</v>
      </c>
      <c r="G912">
        <v>19</v>
      </c>
      <c r="H912" s="2">
        <v>42273.990115740737</v>
      </c>
      <c r="I912" s="2">
        <v>43578.097048611111</v>
      </c>
      <c r="J912" t="s">
        <v>2687</v>
      </c>
    </row>
    <row r="913" spans="1:10" x14ac:dyDescent="0.15">
      <c r="A913">
        <v>50911581</v>
      </c>
      <c r="B913" s="3" t="str">
        <f>HYPERLINK("https://github.com/zhuangsirui/binpacker", "https://github.com/zhuangsirui/binpacker")</f>
        <v>https://github.com/zhuangsirui/binpacker</v>
      </c>
      <c r="D913">
        <v>110</v>
      </c>
      <c r="E913" t="s">
        <v>2688</v>
      </c>
      <c r="F913" t="s">
        <v>2689</v>
      </c>
      <c r="G913">
        <v>18</v>
      </c>
      <c r="H913" s="2">
        <v>42402.420960648153</v>
      </c>
      <c r="I913" s="2">
        <v>43523.683969907397</v>
      </c>
      <c r="J913" t="s">
        <v>2690</v>
      </c>
    </row>
    <row r="914" spans="1:10" x14ac:dyDescent="0.15">
      <c r="A914">
        <v>72210430</v>
      </c>
      <c r="B914" s="3" t="str">
        <f>HYPERLINK("https://github.com/osamingo/jsonrpc", "https://github.com/osamingo/jsonrpc")</f>
        <v>https://github.com/osamingo/jsonrpc</v>
      </c>
      <c r="D914">
        <v>110</v>
      </c>
      <c r="E914" t="s">
        <v>2691</v>
      </c>
      <c r="F914" t="s">
        <v>2692</v>
      </c>
      <c r="G914">
        <v>9</v>
      </c>
      <c r="H914" s="2">
        <v>42671.567349537043</v>
      </c>
      <c r="I914" s="2">
        <v>43577.464560185188</v>
      </c>
      <c r="J914" t="s">
        <v>2693</v>
      </c>
    </row>
    <row r="915" spans="1:10" x14ac:dyDescent="0.15">
      <c r="A915">
        <v>44497407</v>
      </c>
      <c r="B915" s="3" t="str">
        <f>HYPERLINK("https://github.com/eduardonunesp/sslb", "https://github.com/eduardonunesp/sslb")</f>
        <v>https://github.com/eduardonunesp/sslb</v>
      </c>
      <c r="D915">
        <v>110</v>
      </c>
      <c r="E915" t="s">
        <v>2694</v>
      </c>
      <c r="F915" t="s">
        <v>2695</v>
      </c>
      <c r="G915">
        <v>22</v>
      </c>
      <c r="H915" s="2">
        <v>42295.896631944437</v>
      </c>
      <c r="I915" s="2">
        <v>43495.302118055559</v>
      </c>
      <c r="J915" t="s">
        <v>2696</v>
      </c>
    </row>
    <row r="916" spans="1:10" x14ac:dyDescent="0.15">
      <c r="A916">
        <v>26699749</v>
      </c>
      <c r="B916" s="3" t="str">
        <f>HYPERLINK("https://github.com/daryl/zeus", "https://github.com/daryl/zeus")</f>
        <v>https://github.com/daryl/zeus</v>
      </c>
      <c r="D916">
        <v>110</v>
      </c>
      <c r="E916" t="s">
        <v>2697</v>
      </c>
      <c r="F916" t="s">
        <v>2698</v>
      </c>
      <c r="G916">
        <v>14</v>
      </c>
      <c r="H916" s="2">
        <v>41959.051504629628</v>
      </c>
      <c r="I916" s="2">
        <v>43571.643379629633</v>
      </c>
      <c r="J916" t="s">
        <v>2699</v>
      </c>
    </row>
    <row r="917" spans="1:10" x14ac:dyDescent="0.15">
      <c r="A917">
        <v>24574595</v>
      </c>
      <c r="B917" s="3" t="str">
        <f>HYPERLINK("https://github.com/bouk/gonerics", "https://github.com/bouk/gonerics")</f>
        <v>https://github.com/bouk/gonerics</v>
      </c>
      <c r="D917">
        <v>109</v>
      </c>
      <c r="E917" t="s">
        <v>2700</v>
      </c>
      <c r="F917" t="s">
        <v>2701</v>
      </c>
      <c r="G917">
        <v>7</v>
      </c>
      <c r="H917" s="2">
        <v>41911.032905092587</v>
      </c>
      <c r="I917" s="2">
        <v>43567.501875000002</v>
      </c>
      <c r="J917" t="s">
        <v>2702</v>
      </c>
    </row>
    <row r="918" spans="1:10" x14ac:dyDescent="0.15">
      <c r="A918">
        <v>6312328</v>
      </c>
      <c r="B918" s="3" t="str">
        <f>HYPERLINK("https://github.com/andybons/hipchat", "https://github.com/andybons/hipchat")</f>
        <v>https://github.com/andybons/hipchat</v>
      </c>
      <c r="D918">
        <v>109</v>
      </c>
      <c r="E918" t="s">
        <v>2664</v>
      </c>
      <c r="F918" t="s">
        <v>2703</v>
      </c>
      <c r="G918">
        <v>19</v>
      </c>
      <c r="H918" s="2">
        <v>41202.773680555547</v>
      </c>
      <c r="I918" s="2">
        <v>43542.053773148153</v>
      </c>
      <c r="J918" t="s">
        <v>2704</v>
      </c>
    </row>
    <row r="919" spans="1:10" x14ac:dyDescent="0.15">
      <c r="A919">
        <v>104993127</v>
      </c>
      <c r="B919" s="3" t="str">
        <f>HYPERLINK("https://github.com/PaesslerAG/gval", "https://github.com/PaesslerAG/gval")</f>
        <v>https://github.com/PaesslerAG/gval</v>
      </c>
      <c r="D919">
        <v>108</v>
      </c>
      <c r="E919" t="s">
        <v>2705</v>
      </c>
      <c r="F919" t="s">
        <v>2706</v>
      </c>
      <c r="G919">
        <v>13</v>
      </c>
      <c r="H919" s="2">
        <v>43005.356122685182</v>
      </c>
      <c r="I919" s="2">
        <v>43578.349004629628</v>
      </c>
      <c r="J919" t="s">
        <v>2707</v>
      </c>
    </row>
    <row r="920" spans="1:10" x14ac:dyDescent="0.15">
      <c r="A920">
        <v>123949959</v>
      </c>
      <c r="B920" s="3" t="str">
        <f>HYPERLINK("https://github.com/Fs02/grimoire", "https://github.com/Fs02/grimoire")</f>
        <v>https://github.com/Fs02/grimoire</v>
      </c>
      <c r="D920">
        <v>108</v>
      </c>
      <c r="E920" t="s">
        <v>2708</v>
      </c>
      <c r="F920" t="s">
        <v>2709</v>
      </c>
      <c r="G920">
        <v>11</v>
      </c>
      <c r="H920" s="2">
        <v>43164.703009259261</v>
      </c>
      <c r="I920" s="2">
        <v>43572.807800925933</v>
      </c>
      <c r="J920" t="s">
        <v>2710</v>
      </c>
    </row>
    <row r="921" spans="1:10" x14ac:dyDescent="0.15">
      <c r="A921">
        <v>76410271</v>
      </c>
      <c r="B921" s="3" t="str">
        <f>HYPERLINK("https://github.com/anacrolix/dht", "https://github.com/anacrolix/dht")</f>
        <v>https://github.com/anacrolix/dht</v>
      </c>
      <c r="D921">
        <v>108</v>
      </c>
      <c r="E921" t="s">
        <v>2711</v>
      </c>
      <c r="F921" t="s">
        <v>2712</v>
      </c>
      <c r="G921">
        <v>24</v>
      </c>
      <c r="H921" s="2">
        <v>42718.024097222216</v>
      </c>
      <c r="I921" s="2">
        <v>43579.042569444442</v>
      </c>
      <c r="J921" t="s">
        <v>2713</v>
      </c>
    </row>
    <row r="922" spans="1:10" x14ac:dyDescent="0.15">
      <c r="A922">
        <v>53163695</v>
      </c>
      <c r="B922" s="3" t="str">
        <f>HYPERLINK("https://github.com/steinbacher/goose", "https://github.com/steinbacher/goose")</f>
        <v>https://github.com/steinbacher/goose</v>
      </c>
      <c r="D922">
        <v>107</v>
      </c>
      <c r="E922" t="s">
        <v>2714</v>
      </c>
      <c r="F922" t="s">
        <v>2715</v>
      </c>
      <c r="G922">
        <v>17</v>
      </c>
      <c r="H922" s="2">
        <v>42433.856412037043</v>
      </c>
      <c r="I922" s="2">
        <v>43562.499155092592</v>
      </c>
      <c r="J922" t="s">
        <v>2716</v>
      </c>
    </row>
    <row r="923" spans="1:10" x14ac:dyDescent="0.15">
      <c r="A923">
        <v>35709351</v>
      </c>
      <c r="B923" s="3" t="str">
        <f>HYPERLINK("https://github.com/shurcooL/github_flavored_markdown", "https://github.com/shurcooL/github_flavored_markdown")</f>
        <v>https://github.com/shurcooL/github_flavored_markdown</v>
      </c>
      <c r="D923">
        <v>107</v>
      </c>
      <c r="E923" t="s">
        <v>2717</v>
      </c>
      <c r="F923" t="s">
        <v>2718</v>
      </c>
      <c r="G923">
        <v>20</v>
      </c>
      <c r="H923" s="2">
        <v>42140.172997685193</v>
      </c>
      <c r="I923" s="2">
        <v>43567.610150462962</v>
      </c>
      <c r="J923" t="s">
        <v>2719</v>
      </c>
    </row>
    <row r="924" spans="1:10" x14ac:dyDescent="0.15">
      <c r="A924">
        <v>44776974</v>
      </c>
      <c r="B924" s="3" t="str">
        <f>HYPERLINK("https://github.com/go-ozzo/ozzo-log", "https://github.com/go-ozzo/ozzo-log")</f>
        <v>https://github.com/go-ozzo/ozzo-log</v>
      </c>
      <c r="D924">
        <v>105</v>
      </c>
      <c r="E924" t="s">
        <v>2720</v>
      </c>
      <c r="F924" t="s">
        <v>2721</v>
      </c>
      <c r="G924">
        <v>25</v>
      </c>
      <c r="H924" s="2">
        <v>42299.936828703707</v>
      </c>
      <c r="I924" s="2">
        <v>43569.304942129631</v>
      </c>
      <c r="J924" t="s">
        <v>2722</v>
      </c>
    </row>
    <row r="925" spans="1:10" x14ac:dyDescent="0.15">
      <c r="A925">
        <v>74068053</v>
      </c>
      <c r="B925" s="3" t="str">
        <f>HYPERLINK("https://github.com/antham/chyle", "https://github.com/antham/chyle")</f>
        <v>https://github.com/antham/chyle</v>
      </c>
      <c r="D925">
        <v>105</v>
      </c>
      <c r="E925" t="s">
        <v>2723</v>
      </c>
      <c r="F925" t="s">
        <v>2724</v>
      </c>
      <c r="G925">
        <v>5</v>
      </c>
      <c r="H925" s="2">
        <v>42691.885231481479</v>
      </c>
      <c r="I925" s="2">
        <v>43571.82744212963</v>
      </c>
      <c r="J925" t="s">
        <v>2725</v>
      </c>
    </row>
    <row r="926" spans="1:10" x14ac:dyDescent="0.15">
      <c r="A926">
        <v>73284578</v>
      </c>
      <c r="B926" s="3" t="str">
        <f>HYPERLINK("https://github.com/aerogo/aero", "https://github.com/aerogo/aero")</f>
        <v>https://github.com/aerogo/aero</v>
      </c>
      <c r="D926">
        <v>105</v>
      </c>
      <c r="E926" t="s">
        <v>2726</v>
      </c>
      <c r="F926" t="s">
        <v>2727</v>
      </c>
      <c r="G926">
        <v>4</v>
      </c>
      <c r="H926" s="2">
        <v>42683.543206018519</v>
      </c>
      <c r="I926" s="2">
        <v>43580.015844907408</v>
      </c>
      <c r="J926" t="s">
        <v>2728</v>
      </c>
    </row>
    <row r="927" spans="1:10" x14ac:dyDescent="0.15">
      <c r="A927">
        <v>70086171</v>
      </c>
      <c r="B927" s="3" t="str">
        <f>HYPERLINK("https://github.com/fabiorphp/cachego", "https://github.com/fabiorphp/cachego")</f>
        <v>https://github.com/fabiorphp/cachego</v>
      </c>
      <c r="D927">
        <v>104</v>
      </c>
      <c r="E927" t="s">
        <v>2729</v>
      </c>
      <c r="F927" t="s">
        <v>2730</v>
      </c>
      <c r="G927">
        <v>4</v>
      </c>
      <c r="H927" s="2">
        <v>42648.756979166668</v>
      </c>
      <c r="I927" s="2">
        <v>43556.511122685188</v>
      </c>
      <c r="J927" t="s">
        <v>2731</v>
      </c>
    </row>
    <row r="928" spans="1:10" x14ac:dyDescent="0.15">
      <c r="A928">
        <v>44119517</v>
      </c>
      <c r="B928" s="3" t="str">
        <f>HYPERLINK("https://github.com/ikeikeikeike/go-sitemap-generator", "https://github.com/ikeikeikeike/go-sitemap-generator")</f>
        <v>https://github.com/ikeikeikeike/go-sitemap-generator</v>
      </c>
      <c r="D928">
        <v>103</v>
      </c>
      <c r="E928" t="s">
        <v>2732</v>
      </c>
      <c r="F928" t="s">
        <v>2733</v>
      </c>
      <c r="G928">
        <v>30</v>
      </c>
      <c r="H928" s="2">
        <v>42289.682789351849</v>
      </c>
      <c r="I928" s="2">
        <v>43561.118379629632</v>
      </c>
      <c r="J928" t="s">
        <v>2734</v>
      </c>
    </row>
    <row r="929" spans="1:10" x14ac:dyDescent="0.15">
      <c r="A929">
        <v>50749924</v>
      </c>
      <c r="B929" s="3" t="str">
        <f>HYPERLINK("https://github.com/gernest/alien", "https://github.com/gernest/alien")</f>
        <v>https://github.com/gernest/alien</v>
      </c>
      <c r="D929">
        <v>103</v>
      </c>
      <c r="E929" t="s">
        <v>2735</v>
      </c>
      <c r="F929" t="s">
        <v>2736</v>
      </c>
      <c r="G929">
        <v>9</v>
      </c>
      <c r="H929" s="2">
        <v>42399.974421296298</v>
      </c>
      <c r="I929" s="2">
        <v>43578.272499999999</v>
      </c>
      <c r="J929" t="s">
        <v>2737</v>
      </c>
    </row>
    <row r="930" spans="1:10" x14ac:dyDescent="0.15">
      <c r="A930">
        <v>76778648</v>
      </c>
      <c r="B930" s="3" t="str">
        <f>HYPERLINK("https://github.com/crgimenes/goconfig", "https://github.com/crgimenes/goconfig")</f>
        <v>https://github.com/crgimenes/goconfig</v>
      </c>
      <c r="D930">
        <v>101</v>
      </c>
      <c r="E930" t="s">
        <v>2738</v>
      </c>
      <c r="F930" t="s">
        <v>2739</v>
      </c>
      <c r="G930">
        <v>16</v>
      </c>
      <c r="H930" s="2">
        <v>42722.474085648151</v>
      </c>
      <c r="I930" s="2">
        <v>43577.497152777767</v>
      </c>
      <c r="J930" t="s">
        <v>2740</v>
      </c>
    </row>
    <row r="931" spans="1:10" x14ac:dyDescent="0.15">
      <c r="A931">
        <v>63350884</v>
      </c>
      <c r="B931" s="3" t="str">
        <f>HYPERLINK("https://github.com/hyperboloide/lk", "https://github.com/hyperboloide/lk")</f>
        <v>https://github.com/hyperboloide/lk</v>
      </c>
      <c r="D931">
        <v>101</v>
      </c>
      <c r="E931" t="s">
        <v>2741</v>
      </c>
      <c r="F931" t="s">
        <v>2742</v>
      </c>
      <c r="G931">
        <v>16</v>
      </c>
      <c r="H931" s="2">
        <v>42565.670914351853</v>
      </c>
      <c r="I931" s="2">
        <v>43578.250555555547</v>
      </c>
      <c r="J931" t="s">
        <v>2743</v>
      </c>
    </row>
    <row r="932" spans="1:10" x14ac:dyDescent="0.15">
      <c r="A932">
        <v>61626385</v>
      </c>
      <c r="B932" s="3" t="str">
        <f>HYPERLINK("https://github.com/melihmucuk/geocache", "https://github.com/melihmucuk/geocache")</f>
        <v>https://github.com/melihmucuk/geocache</v>
      </c>
      <c r="D932">
        <v>101</v>
      </c>
      <c r="E932" t="s">
        <v>2744</v>
      </c>
      <c r="F932" t="s">
        <v>2745</v>
      </c>
      <c r="G932">
        <v>7</v>
      </c>
      <c r="H932" s="2">
        <v>42542.45039351852</v>
      </c>
      <c r="I932" s="2">
        <v>43579.882951388892</v>
      </c>
      <c r="J932" t="s">
        <v>2746</v>
      </c>
    </row>
    <row r="933" spans="1:10" x14ac:dyDescent="0.15">
      <c r="A933">
        <v>12406292</v>
      </c>
      <c r="B933" s="3" t="str">
        <f>HYPERLINK("https://github.com/nakagami/firebirdsql", "https://github.com/nakagami/firebirdsql")</f>
        <v>https://github.com/nakagami/firebirdsql</v>
      </c>
      <c r="D933">
        <v>100</v>
      </c>
      <c r="E933" t="s">
        <v>2747</v>
      </c>
      <c r="F933" s="4" t="s">
        <v>2748</v>
      </c>
      <c r="G933">
        <v>29</v>
      </c>
      <c r="H933" s="2">
        <v>41513.548078703701</v>
      </c>
      <c r="I933" s="2">
        <v>43576.652314814812</v>
      </c>
      <c r="J933" t="s">
        <v>2749</v>
      </c>
    </row>
    <row r="934" spans="1:10" x14ac:dyDescent="0.15">
      <c r="A934">
        <v>113114020</v>
      </c>
      <c r="B934" s="3" t="str">
        <f>HYPERLINK("https://github.com/antchfx/htmlquery", "https://github.com/antchfx/htmlquery")</f>
        <v>https://github.com/antchfx/htmlquery</v>
      </c>
      <c r="D934">
        <v>99</v>
      </c>
      <c r="E934" t="s">
        <v>2750</v>
      </c>
      <c r="F934" t="s">
        <v>2751</v>
      </c>
      <c r="G934">
        <v>16</v>
      </c>
      <c r="H934" s="2">
        <v>43074.047696759262</v>
      </c>
      <c r="I934" s="2">
        <v>43577.49796296296</v>
      </c>
      <c r="J934" t="s">
        <v>2752</v>
      </c>
    </row>
    <row r="935" spans="1:10" x14ac:dyDescent="0.15">
      <c r="A935">
        <v>68359729</v>
      </c>
      <c r="B935" s="3" t="str">
        <f>HYPERLINK("https://github.com/sbstjn/hanu", "https://github.com/sbstjn/hanu")</f>
        <v>https://github.com/sbstjn/hanu</v>
      </c>
      <c r="D935">
        <v>98</v>
      </c>
      <c r="E935" t="s">
        <v>2753</v>
      </c>
      <c r="F935" t="s">
        <v>2754</v>
      </c>
      <c r="G935">
        <v>8</v>
      </c>
      <c r="H935" s="2">
        <v>42629.299097222232</v>
      </c>
      <c r="I935" s="2">
        <v>43571.778460648151</v>
      </c>
      <c r="J935" t="s">
        <v>2755</v>
      </c>
    </row>
    <row r="936" spans="1:10" x14ac:dyDescent="0.15">
      <c r="A936">
        <v>22727684</v>
      </c>
      <c r="B936" s="3" t="str">
        <f>HYPERLINK("https://github.com/albrow/forms", "https://github.com/albrow/forms")</f>
        <v>https://github.com/albrow/forms</v>
      </c>
      <c r="D936">
        <v>98</v>
      </c>
      <c r="E936" t="s">
        <v>2756</v>
      </c>
      <c r="F936" t="s">
        <v>2757</v>
      </c>
      <c r="G936">
        <v>10</v>
      </c>
      <c r="H936" s="2">
        <v>41858.67465277778</v>
      </c>
      <c r="I936" s="2">
        <v>43563.592905092592</v>
      </c>
      <c r="J936" t="s">
        <v>2758</v>
      </c>
    </row>
    <row r="937" spans="1:10" x14ac:dyDescent="0.15">
      <c r="A937">
        <v>1465410</v>
      </c>
      <c r="B937" s="3" t="str">
        <f>HYPERLINK("https://github.com/white-pony/go-fann", "https://github.com/white-pony/go-fann")</f>
        <v>https://github.com/white-pony/go-fann</v>
      </c>
      <c r="D937">
        <v>98</v>
      </c>
      <c r="E937" t="s">
        <v>2759</v>
      </c>
      <c r="F937" t="s">
        <v>2760</v>
      </c>
      <c r="G937">
        <v>21</v>
      </c>
      <c r="H937" s="2">
        <v>40612.880868055552</v>
      </c>
      <c r="I937" s="2">
        <v>43487.790405092594</v>
      </c>
      <c r="J937" t="s">
        <v>2761</v>
      </c>
    </row>
    <row r="938" spans="1:10" x14ac:dyDescent="0.15">
      <c r="A938">
        <v>21847668</v>
      </c>
      <c r="B938" s="3" t="str">
        <f>HYPERLINK("https://github.com/jaschaephraim/lrserver", "https://github.com/jaschaephraim/lrserver")</f>
        <v>https://github.com/jaschaephraim/lrserver</v>
      </c>
      <c r="D938">
        <v>98</v>
      </c>
      <c r="E938" t="s">
        <v>2762</v>
      </c>
      <c r="F938" t="s">
        <v>2763</v>
      </c>
      <c r="G938">
        <v>9</v>
      </c>
      <c r="H938" s="2">
        <v>41835.233946759261</v>
      </c>
      <c r="I938" s="2">
        <v>43522.814988425933</v>
      </c>
      <c r="J938" t="s">
        <v>2764</v>
      </c>
    </row>
    <row r="939" spans="1:10" x14ac:dyDescent="0.15">
      <c r="A939">
        <v>58877778</v>
      </c>
      <c r="B939" s="3" t="str">
        <f>HYPERLINK("https://github.com/bogem/id3v2", "https://github.com/bogem/id3v2")</f>
        <v>https://github.com/bogem/id3v2</v>
      </c>
      <c r="D939">
        <v>97</v>
      </c>
      <c r="E939" t="s">
        <v>2765</v>
      </c>
      <c r="F939" t="s">
        <v>2766</v>
      </c>
      <c r="G939">
        <v>18</v>
      </c>
      <c r="H939" s="2">
        <v>42505.775613425933</v>
      </c>
      <c r="I939" s="2">
        <v>43579.240451388891</v>
      </c>
      <c r="J939" t="s">
        <v>2767</v>
      </c>
    </row>
    <row r="940" spans="1:10" x14ac:dyDescent="0.15">
      <c r="A940">
        <v>38526780</v>
      </c>
      <c r="B940" s="3" t="str">
        <f>HYPERLINK("https://github.com/andygrunwald/go-trending", "https://github.com/andygrunwald/go-trending")</f>
        <v>https://github.com/andygrunwald/go-trending</v>
      </c>
      <c r="D940">
        <v>97</v>
      </c>
      <c r="E940" t="s">
        <v>2768</v>
      </c>
      <c r="F940" t="s">
        <v>2769</v>
      </c>
      <c r="G940">
        <v>11</v>
      </c>
      <c r="H940" s="2">
        <v>42189.338055555563</v>
      </c>
      <c r="I940" s="2">
        <v>43579.694155092591</v>
      </c>
      <c r="J940" t="s">
        <v>2770</v>
      </c>
    </row>
    <row r="941" spans="1:10" x14ac:dyDescent="0.15">
      <c r="A941">
        <v>136219460</v>
      </c>
      <c r="B941" s="3" t="str">
        <f>HYPERLINK("https://github.com/a8m/rql", "https://github.com/a8m/rql")</f>
        <v>https://github.com/a8m/rql</v>
      </c>
      <c r="D941">
        <v>96</v>
      </c>
      <c r="E941" t="s">
        <v>2771</v>
      </c>
      <c r="F941" t="s">
        <v>2772</v>
      </c>
      <c r="G941">
        <v>5</v>
      </c>
      <c r="H941" s="2">
        <v>43256.776030092587</v>
      </c>
      <c r="I941" s="2">
        <v>43578.061030092591</v>
      </c>
      <c r="J941" t="s">
        <v>2773</v>
      </c>
    </row>
    <row r="942" spans="1:10" x14ac:dyDescent="0.15">
      <c r="A942">
        <v>69170316</v>
      </c>
      <c r="B942" s="3" t="str">
        <f>HYPERLINK("https://github.com/kamildrazkiewicz/go-flow", "https://github.com/kamildrazkiewicz/go-flow")</f>
        <v>https://github.com/kamildrazkiewicz/go-flow</v>
      </c>
      <c r="D942">
        <v>96</v>
      </c>
      <c r="E942" t="s">
        <v>2774</v>
      </c>
      <c r="F942" t="s">
        <v>2775</v>
      </c>
      <c r="G942">
        <v>14</v>
      </c>
      <c r="H942" s="2">
        <v>42638.615381944437</v>
      </c>
      <c r="I942" s="2">
        <v>43552.790983796287</v>
      </c>
      <c r="J942" t="s">
        <v>2776</v>
      </c>
    </row>
    <row r="943" spans="1:10" x14ac:dyDescent="0.15">
      <c r="A943">
        <v>6172548</v>
      </c>
      <c r="B943" s="3" t="str">
        <f>HYPERLINK("https://github.com/GeertJohan/yubigo", "https://github.com/GeertJohan/yubigo")</f>
        <v>https://github.com/GeertJohan/yubigo</v>
      </c>
      <c r="D943">
        <v>96</v>
      </c>
      <c r="E943" t="s">
        <v>2777</v>
      </c>
      <c r="F943" t="s">
        <v>2778</v>
      </c>
      <c r="G943">
        <v>14</v>
      </c>
      <c r="H943" s="2">
        <v>41193.461053240739</v>
      </c>
      <c r="I943" s="2">
        <v>43453.614444444444</v>
      </c>
      <c r="J943" t="s">
        <v>2779</v>
      </c>
    </row>
    <row r="944" spans="1:10" x14ac:dyDescent="0.15">
      <c r="A944">
        <v>36570417</v>
      </c>
      <c r="B944" s="3" t="str">
        <f>HYPERLINK("https://github.com/ukautz/clif", "https://github.com/ukautz/clif")</f>
        <v>https://github.com/ukautz/clif</v>
      </c>
      <c r="D944">
        <v>96</v>
      </c>
      <c r="E944" t="s">
        <v>2780</v>
      </c>
      <c r="F944" t="s">
        <v>2781</v>
      </c>
      <c r="G944">
        <v>11</v>
      </c>
      <c r="H944" s="2">
        <v>42154.770925925928</v>
      </c>
      <c r="I944" s="2">
        <v>43539.355914351851</v>
      </c>
      <c r="J944" t="s">
        <v>2782</v>
      </c>
    </row>
    <row r="945" spans="1:10" x14ac:dyDescent="0.15">
      <c r="A945">
        <v>6496448</v>
      </c>
      <c r="B945" s="3" t="str">
        <f>HYPERLINK("https://github.com/mewkiz/flac", "https://github.com/mewkiz/flac")</f>
        <v>https://github.com/mewkiz/flac</v>
      </c>
      <c r="D945">
        <v>95</v>
      </c>
      <c r="E945" t="s">
        <v>2783</v>
      </c>
      <c r="F945" t="s">
        <v>2784</v>
      </c>
      <c r="G945">
        <v>17</v>
      </c>
      <c r="H945" s="2">
        <v>41214.843032407407</v>
      </c>
      <c r="I945" s="2">
        <v>43559.103252314817</v>
      </c>
      <c r="J945" t="s">
        <v>2785</v>
      </c>
    </row>
    <row r="946" spans="1:10" x14ac:dyDescent="0.15">
      <c r="A946">
        <v>70079873</v>
      </c>
      <c r="B946" s="3" t="str">
        <f>HYPERLINK("https://github.com/cosiner/flag", "https://github.com/cosiner/flag")</f>
        <v>https://github.com/cosiner/flag</v>
      </c>
      <c r="D946">
        <v>95</v>
      </c>
      <c r="E946" t="s">
        <v>2786</v>
      </c>
      <c r="F946" t="s">
        <v>2787</v>
      </c>
      <c r="G946">
        <v>5</v>
      </c>
      <c r="H946" s="2">
        <v>42648.701168981483</v>
      </c>
      <c r="I946" s="2">
        <v>43572.814305555563</v>
      </c>
      <c r="J946" t="s">
        <v>2788</v>
      </c>
    </row>
    <row r="947" spans="1:10" x14ac:dyDescent="0.15">
      <c r="A947">
        <v>68050916</v>
      </c>
      <c r="B947" s="3" t="str">
        <f>HYPERLINK("https://github.com/arl/go-rquad", "https://github.com/arl/go-rquad")</f>
        <v>https://github.com/arl/go-rquad</v>
      </c>
      <c r="D947">
        <v>95</v>
      </c>
      <c r="E947" t="s">
        <v>2789</v>
      </c>
      <c r="F947" t="s">
        <v>2790</v>
      </c>
      <c r="G947">
        <v>2</v>
      </c>
      <c r="H947" s="2">
        <v>42625.907372685193</v>
      </c>
      <c r="I947" s="2">
        <v>43578.944571759261</v>
      </c>
      <c r="J947" t="s">
        <v>2791</v>
      </c>
    </row>
    <row r="948" spans="1:10" x14ac:dyDescent="0.15">
      <c r="A948">
        <v>8204684</v>
      </c>
      <c r="B948" s="3" t="str">
        <f>HYPERLINK("https://github.com/songgao/colorgo", "https://github.com/songgao/colorgo")</f>
        <v>https://github.com/songgao/colorgo</v>
      </c>
      <c r="D948">
        <v>95</v>
      </c>
      <c r="E948" t="s">
        <v>2792</v>
      </c>
      <c r="F948" t="s">
        <v>2793</v>
      </c>
      <c r="G948">
        <v>8</v>
      </c>
      <c r="H948" s="2">
        <v>41319.754282407397</v>
      </c>
      <c r="I948" s="2">
        <v>43451.135509259257</v>
      </c>
      <c r="J948" t="s">
        <v>2794</v>
      </c>
    </row>
    <row r="949" spans="1:10" x14ac:dyDescent="0.15">
      <c r="A949">
        <v>15558950</v>
      </c>
      <c r="B949" s="3" t="str">
        <f>HYPERLINK("https://github.com/qiniu/checkstyle", "https://github.com/qiniu/checkstyle")</f>
        <v>https://github.com/qiniu/checkstyle</v>
      </c>
      <c r="D949">
        <v>94</v>
      </c>
      <c r="E949" t="s">
        <v>2795</v>
      </c>
      <c r="F949" t="s">
        <v>2796</v>
      </c>
      <c r="G949">
        <v>13</v>
      </c>
      <c r="H949" s="2">
        <v>41640.048229166663</v>
      </c>
      <c r="I949" s="2">
        <v>43579.183449074073</v>
      </c>
      <c r="J949" t="s">
        <v>2797</v>
      </c>
    </row>
    <row r="950" spans="1:10" x14ac:dyDescent="0.15">
      <c r="A950">
        <v>42638124</v>
      </c>
      <c r="B950" s="3" t="str">
        <f>HYPERLINK("https://github.com/smallnest/goreq", "https://github.com/smallnest/goreq")</f>
        <v>https://github.com/smallnest/goreq</v>
      </c>
      <c r="D950">
        <v>94</v>
      </c>
      <c r="E950" t="s">
        <v>1351</v>
      </c>
      <c r="F950" t="s">
        <v>2798</v>
      </c>
      <c r="G950">
        <v>34</v>
      </c>
      <c r="H950" s="2">
        <v>42264.25472222222</v>
      </c>
      <c r="I950" s="2">
        <v>43551.028009259258</v>
      </c>
      <c r="J950" t="s">
        <v>2799</v>
      </c>
    </row>
    <row r="951" spans="1:10" x14ac:dyDescent="0.15">
      <c r="A951">
        <v>39947173</v>
      </c>
      <c r="B951" s="3" t="str">
        <f>HYPERLINK("https://github.com/go-playground/overalls", "https://github.com/go-playground/overalls")</f>
        <v>https://github.com/go-playground/overalls</v>
      </c>
      <c r="D951">
        <v>94</v>
      </c>
      <c r="E951" t="s">
        <v>2800</v>
      </c>
      <c r="F951" t="s">
        <v>2801</v>
      </c>
      <c r="G951">
        <v>26</v>
      </c>
      <c r="H951" s="2">
        <v>42215.47929398148</v>
      </c>
      <c r="I951" s="2">
        <v>43352.972129629627</v>
      </c>
      <c r="J951" t="s">
        <v>2802</v>
      </c>
    </row>
    <row r="952" spans="1:10" x14ac:dyDescent="0.15">
      <c r="A952">
        <v>26262263</v>
      </c>
      <c r="B952" s="3" t="str">
        <f>HYPERLINK("https://github.com/dailymotion/oplog", "https://github.com/dailymotion/oplog")</f>
        <v>https://github.com/dailymotion/oplog</v>
      </c>
      <c r="D952">
        <v>94</v>
      </c>
      <c r="E952" t="s">
        <v>2803</v>
      </c>
      <c r="F952" t="s">
        <v>2804</v>
      </c>
      <c r="G952">
        <v>10</v>
      </c>
      <c r="H952" s="2">
        <v>41949.3828125</v>
      </c>
      <c r="I952" s="2">
        <v>43521.113437499997</v>
      </c>
      <c r="J952" t="s">
        <v>2805</v>
      </c>
    </row>
    <row r="953" spans="1:10" x14ac:dyDescent="0.15">
      <c r="A953">
        <v>37734350</v>
      </c>
      <c r="B953" s="3" t="str">
        <f>HYPERLINK("https://github.com/nbari/violetear", "https://github.com/nbari/violetear")</f>
        <v>https://github.com/nbari/violetear</v>
      </c>
      <c r="D953">
        <v>94</v>
      </c>
      <c r="E953" t="s">
        <v>2806</v>
      </c>
      <c r="F953" t="s">
        <v>2807</v>
      </c>
      <c r="G953">
        <v>7</v>
      </c>
      <c r="H953" s="2">
        <v>42174.701168981483</v>
      </c>
      <c r="I953" s="2">
        <v>43572.802245370367</v>
      </c>
      <c r="J953" t="s">
        <v>2808</v>
      </c>
    </row>
    <row r="954" spans="1:10" x14ac:dyDescent="0.15">
      <c r="A954">
        <v>32673998</v>
      </c>
      <c r="B954" s="3" t="str">
        <f>HYPERLINK("https://github.com/gosuri/go-store", "https://github.com/gosuri/go-store")</f>
        <v>https://github.com/gosuri/go-store</v>
      </c>
      <c r="D954">
        <v>92</v>
      </c>
      <c r="E954" t="s">
        <v>2809</v>
      </c>
      <c r="F954" t="s">
        <v>2810</v>
      </c>
      <c r="G954">
        <v>8</v>
      </c>
      <c r="H954" s="2">
        <v>42085.505196759259</v>
      </c>
      <c r="I954" s="2">
        <v>43488.499560185177</v>
      </c>
      <c r="J954" t="s">
        <v>2811</v>
      </c>
    </row>
    <row r="955" spans="1:10" x14ac:dyDescent="0.15">
      <c r="A955">
        <v>69080103</v>
      </c>
      <c r="B955" s="3" t="str">
        <f>HYPERLINK("https://github.com/adlio/trello", "https://github.com/adlio/trello")</f>
        <v>https://github.com/adlio/trello</v>
      </c>
      <c r="D955">
        <v>92</v>
      </c>
      <c r="E955" t="s">
        <v>2812</v>
      </c>
      <c r="F955" t="s">
        <v>2813</v>
      </c>
      <c r="G955">
        <v>42</v>
      </c>
      <c r="H955" s="2">
        <v>42637.191782407397</v>
      </c>
      <c r="I955" s="2">
        <v>43577.972662037027</v>
      </c>
      <c r="J955" t="s">
        <v>2814</v>
      </c>
    </row>
    <row r="956" spans="1:10" x14ac:dyDescent="0.15">
      <c r="A956">
        <v>99737692</v>
      </c>
      <c r="B956" s="3" t="str">
        <f>HYPERLINK("https://github.com/gotestyourself/gotest.tools", "https://github.com/gotestyourself/gotest.tools")</f>
        <v>https://github.com/gotestyourself/gotest.tools</v>
      </c>
      <c r="D956">
        <v>92</v>
      </c>
      <c r="E956" t="s">
        <v>2815</v>
      </c>
      <c r="F956" t="s">
        <v>2816</v>
      </c>
      <c r="G956">
        <v>21</v>
      </c>
      <c r="H956" s="2">
        <v>42955.895069444443</v>
      </c>
      <c r="I956" s="2">
        <v>43578.859895833331</v>
      </c>
      <c r="J956" t="s">
        <v>2817</v>
      </c>
    </row>
    <row r="957" spans="1:10" x14ac:dyDescent="0.15">
      <c r="A957">
        <v>12982088</v>
      </c>
      <c r="B957" s="3" t="str">
        <f>HYPERLINK("https://github.com/zentures/encoding", "https://github.com/zentures/encoding")</f>
        <v>https://github.com/zentures/encoding</v>
      </c>
      <c r="D957">
        <v>92</v>
      </c>
      <c r="E957" t="s">
        <v>2818</v>
      </c>
      <c r="F957" t="s">
        <v>2819</v>
      </c>
      <c r="G957">
        <v>9</v>
      </c>
      <c r="H957" s="2">
        <v>41537.812465277777</v>
      </c>
      <c r="I957" s="2">
        <v>43522.097071759257</v>
      </c>
      <c r="J957" t="s">
        <v>2820</v>
      </c>
    </row>
    <row r="958" spans="1:10" x14ac:dyDescent="0.15">
      <c r="A958">
        <v>104856705</v>
      </c>
      <c r="B958" s="3" t="str">
        <f>HYPERLINK("https://github.com/google/gnxi", "https://github.com/google/gnxi")</f>
        <v>https://github.com/google/gnxi</v>
      </c>
      <c r="D958">
        <v>92</v>
      </c>
      <c r="E958" t="s">
        <v>2821</v>
      </c>
      <c r="F958" t="s">
        <v>2822</v>
      </c>
      <c r="G958">
        <v>36</v>
      </c>
      <c r="H958" s="2">
        <v>43004.347002314818</v>
      </c>
      <c r="I958" s="2">
        <v>43579.762499999997</v>
      </c>
      <c r="J958" t="s">
        <v>2823</v>
      </c>
    </row>
    <row r="959" spans="1:10" x14ac:dyDescent="0.15">
      <c r="A959">
        <v>91417764</v>
      </c>
      <c r="B959" s="3" t="str">
        <f>HYPERLINK("https://github.com/amimof/huego", "https://github.com/amimof/huego")</f>
        <v>https://github.com/amimof/huego</v>
      </c>
      <c r="D959">
        <v>92</v>
      </c>
      <c r="E959" t="s">
        <v>2824</v>
      </c>
      <c r="F959" t="s">
        <v>2825</v>
      </c>
      <c r="G959">
        <v>6</v>
      </c>
      <c r="H959" s="2">
        <v>42871.230381944442</v>
      </c>
      <c r="I959" s="2">
        <v>43578.365451388891</v>
      </c>
      <c r="J959" t="s">
        <v>2826</v>
      </c>
    </row>
    <row r="960" spans="1:10" x14ac:dyDescent="0.15">
      <c r="A960">
        <v>78738671</v>
      </c>
      <c r="B960" s="3" t="str">
        <f>HYPERLINK("https://github.com/antham/envh", "https://github.com/antham/envh")</f>
        <v>https://github.com/antham/envh</v>
      </c>
      <c r="D960">
        <v>92</v>
      </c>
      <c r="E960" t="s">
        <v>2827</v>
      </c>
      <c r="F960" t="s">
        <v>2828</v>
      </c>
      <c r="G960">
        <v>0</v>
      </c>
      <c r="H960" s="2">
        <v>42747.47625</v>
      </c>
      <c r="I960" s="2">
        <v>43558.428124999999</v>
      </c>
      <c r="J960" t="s">
        <v>2829</v>
      </c>
    </row>
    <row r="961" spans="1:10" x14ac:dyDescent="0.15">
      <c r="A961">
        <v>70187842</v>
      </c>
      <c r="B961" s="3" t="str">
        <f>HYPERLINK("https://github.com/InVisionApp/rye", "https://github.com/InVisionApp/rye")</f>
        <v>https://github.com/InVisionApp/rye</v>
      </c>
      <c r="D961">
        <v>91</v>
      </c>
      <c r="E961" t="s">
        <v>2830</v>
      </c>
      <c r="F961" t="s">
        <v>2831</v>
      </c>
      <c r="G961">
        <v>10</v>
      </c>
      <c r="H961" s="2">
        <v>42649.827766203707</v>
      </c>
      <c r="I961" s="2">
        <v>43530.402604166673</v>
      </c>
      <c r="J961" t="s">
        <v>2832</v>
      </c>
    </row>
    <row r="962" spans="1:10" x14ac:dyDescent="0.15">
      <c r="A962">
        <v>59203554</v>
      </c>
      <c r="B962" s="3" t="str">
        <f>HYPERLINK("https://github.com/claygod/Bxog", "https://github.com/claygod/Bxog")</f>
        <v>https://github.com/claygod/Bxog</v>
      </c>
      <c r="D962">
        <v>91</v>
      </c>
      <c r="E962" t="s">
        <v>2833</v>
      </c>
      <c r="F962" t="s">
        <v>2834</v>
      </c>
      <c r="G962">
        <v>5</v>
      </c>
      <c r="H962" s="2">
        <v>42509.513981481483</v>
      </c>
      <c r="I962" s="2">
        <v>43533.435208333343</v>
      </c>
      <c r="J962" t="s">
        <v>2835</v>
      </c>
    </row>
    <row r="963" spans="1:10" x14ac:dyDescent="0.15">
      <c r="A963">
        <v>1790224</v>
      </c>
      <c r="B963" s="3" t="str">
        <f>HYPERLINK("https://github.com/feyeleanor/gospeed", "https://github.com/feyeleanor/gospeed")</f>
        <v>https://github.com/feyeleanor/gospeed</v>
      </c>
      <c r="D963">
        <v>91</v>
      </c>
      <c r="E963" t="s">
        <v>2836</v>
      </c>
      <c r="F963" t="s">
        <v>2837</v>
      </c>
      <c r="G963">
        <v>6</v>
      </c>
      <c r="H963" s="2">
        <v>40686.886238425926</v>
      </c>
      <c r="I963" s="2">
        <v>43572.261990740742</v>
      </c>
      <c r="J963" t="s">
        <v>2838</v>
      </c>
    </row>
    <row r="964" spans="1:10" x14ac:dyDescent="0.15">
      <c r="A964">
        <v>48951516</v>
      </c>
      <c r="B964" s="3" t="str">
        <f>HYPERLINK("https://github.com/go-mix/mix", "https://github.com/go-mix/mix")</f>
        <v>https://github.com/go-mix/mix</v>
      </c>
      <c r="D964">
        <v>90</v>
      </c>
      <c r="E964" t="s">
        <v>2839</v>
      </c>
      <c r="F964" t="s">
        <v>2840</v>
      </c>
      <c r="G964">
        <v>17</v>
      </c>
      <c r="H964" s="2">
        <v>42372.662465277783</v>
      </c>
      <c r="I964" s="2">
        <v>43564.674421296288</v>
      </c>
      <c r="J964" t="s">
        <v>2841</v>
      </c>
    </row>
    <row r="965" spans="1:10" x14ac:dyDescent="0.15">
      <c r="A965">
        <v>27300428</v>
      </c>
      <c r="B965" s="3" t="str">
        <f>HYPERLINK("https://github.com/tomazk/envcfg", "https://github.com/tomazk/envcfg")</f>
        <v>https://github.com/tomazk/envcfg</v>
      </c>
      <c r="D965">
        <v>90</v>
      </c>
      <c r="E965" t="s">
        <v>2842</v>
      </c>
      <c r="F965" t="s">
        <v>2843</v>
      </c>
      <c r="G965">
        <v>6</v>
      </c>
      <c r="H965" s="2">
        <v>41972.488807870373</v>
      </c>
      <c r="I965" s="2">
        <v>43572.81890046296</v>
      </c>
      <c r="J965" t="s">
        <v>2844</v>
      </c>
    </row>
    <row r="966" spans="1:10" x14ac:dyDescent="0.15">
      <c r="A966">
        <v>88305795</v>
      </c>
      <c r="B966" s="3" t="str">
        <f>HYPERLINK("https://github.com/adelowo/onecache", "https://github.com/adelowo/onecache")</f>
        <v>https://github.com/adelowo/onecache</v>
      </c>
      <c r="D966">
        <v>90</v>
      </c>
      <c r="E966" t="s">
        <v>2845</v>
      </c>
      <c r="F966" t="s">
        <v>2846</v>
      </c>
      <c r="G966">
        <v>6</v>
      </c>
      <c r="H966" s="2">
        <v>42839.909201388888</v>
      </c>
      <c r="I966" s="2">
        <v>43578.524826388893</v>
      </c>
      <c r="J966" t="s">
        <v>2847</v>
      </c>
    </row>
    <row r="967" spans="1:10" x14ac:dyDescent="0.15">
      <c r="A967">
        <v>9075543</v>
      </c>
      <c r="B967" s="3" t="str">
        <f>HYPERLINK("https://github.com/davecheney/autobench", "https://github.com/davecheney/autobench")</f>
        <v>https://github.com/davecheney/autobench</v>
      </c>
      <c r="D967">
        <v>89</v>
      </c>
      <c r="E967" t="s">
        <v>2848</v>
      </c>
      <c r="F967" t="s">
        <v>2849</v>
      </c>
      <c r="G967">
        <v>26</v>
      </c>
      <c r="H967" s="2">
        <v>41361.470150462963</v>
      </c>
      <c r="I967" s="2">
        <v>43426.53466435185</v>
      </c>
      <c r="J967" t="s">
        <v>2850</v>
      </c>
    </row>
    <row r="968" spans="1:10" x14ac:dyDescent="0.15">
      <c r="A968">
        <v>59030162</v>
      </c>
      <c r="B968" s="3" t="str">
        <f>HYPERLINK("https://github.com/gammazero/workerpool", "https://github.com/gammazero/workerpool")</f>
        <v>https://github.com/gammazero/workerpool</v>
      </c>
      <c r="D968">
        <v>88</v>
      </c>
      <c r="E968" t="s">
        <v>2851</v>
      </c>
      <c r="F968" t="s">
        <v>2852</v>
      </c>
      <c r="G968">
        <v>18</v>
      </c>
      <c r="H968" s="2">
        <v>42507.605624999997</v>
      </c>
      <c r="I968" s="2">
        <v>43578.26421296296</v>
      </c>
      <c r="J968" t="s">
        <v>2853</v>
      </c>
    </row>
    <row r="969" spans="1:10" x14ac:dyDescent="0.15">
      <c r="A969">
        <v>13415256</v>
      </c>
      <c r="B969" s="3" t="str">
        <f>HYPERLINK("https://github.com/krig/go-sox", "https://github.com/krig/go-sox")</f>
        <v>https://github.com/krig/go-sox</v>
      </c>
      <c r="D969">
        <v>88</v>
      </c>
      <c r="E969" t="s">
        <v>2854</v>
      </c>
      <c r="F969" t="s">
        <v>2855</v>
      </c>
      <c r="G969">
        <v>20</v>
      </c>
      <c r="H969" s="2">
        <v>41555.59101851852</v>
      </c>
      <c r="I969" s="2">
        <v>43532.601678240739</v>
      </c>
      <c r="J969" t="s">
        <v>2856</v>
      </c>
    </row>
    <row r="970" spans="1:10" x14ac:dyDescent="0.15">
      <c r="A970">
        <v>47995080</v>
      </c>
      <c r="B970" s="3" t="str">
        <f>HYPERLINK("https://github.com/rs/xmux", "https://github.com/rs/xmux")</f>
        <v>https://github.com/rs/xmux</v>
      </c>
      <c r="D970">
        <v>87</v>
      </c>
      <c r="E970" t="s">
        <v>2857</v>
      </c>
      <c r="F970" t="s">
        <v>2858</v>
      </c>
      <c r="G970">
        <v>8</v>
      </c>
      <c r="H970" s="2">
        <v>42352.79241898148</v>
      </c>
      <c r="I970" s="2">
        <v>43457.886874999997</v>
      </c>
      <c r="J970" t="s">
        <v>2859</v>
      </c>
    </row>
    <row r="971" spans="1:10" x14ac:dyDescent="0.15">
      <c r="A971">
        <v>83750646</v>
      </c>
      <c r="B971" s="3" t="str">
        <f>HYPERLINK("https://github.com/appleboy/easyssh-proxy", "https://github.com/appleboy/easyssh-proxy")</f>
        <v>https://github.com/appleboy/easyssh-proxy</v>
      </c>
      <c r="D971">
        <v>87</v>
      </c>
      <c r="E971" t="s">
        <v>2860</v>
      </c>
      <c r="F971" t="s">
        <v>2861</v>
      </c>
      <c r="G971">
        <v>17</v>
      </c>
      <c r="H971" s="2">
        <v>42797.123773148152</v>
      </c>
      <c r="I971" s="2">
        <v>43576.962245370371</v>
      </c>
      <c r="J971" t="s">
        <v>2862</v>
      </c>
    </row>
    <row r="972" spans="1:10" x14ac:dyDescent="0.15">
      <c r="A972">
        <v>84874313</v>
      </c>
      <c r="B972" s="3" t="str">
        <f>HYPERLINK("https://github.com/skibish/ddns", "https://github.com/skibish/ddns")</f>
        <v>https://github.com/skibish/ddns</v>
      </c>
      <c r="D972">
        <v>87</v>
      </c>
      <c r="E972" t="s">
        <v>2863</v>
      </c>
      <c r="F972" t="s">
        <v>2864</v>
      </c>
      <c r="G972">
        <v>9</v>
      </c>
      <c r="H972" s="2">
        <v>42807.876701388886</v>
      </c>
      <c r="I972" s="2">
        <v>43577.045706018522</v>
      </c>
      <c r="J972" t="s">
        <v>2865</v>
      </c>
    </row>
    <row r="973" spans="1:10" x14ac:dyDescent="0.15">
      <c r="A973">
        <v>40384839</v>
      </c>
      <c r="B973" s="3" t="str">
        <f>HYPERLINK("https://github.com/ricardolonga/jsongo", "https://github.com/ricardolonga/jsongo")</f>
        <v>https://github.com/ricardolonga/jsongo</v>
      </c>
      <c r="D973">
        <v>87</v>
      </c>
      <c r="E973" t="s">
        <v>2866</v>
      </c>
      <c r="F973" t="s">
        <v>2867</v>
      </c>
      <c r="G973">
        <v>8</v>
      </c>
      <c r="H973" s="2">
        <v>42223.974502314813</v>
      </c>
      <c r="I973" s="2">
        <v>43556.866087962961</v>
      </c>
      <c r="J973" t="s">
        <v>2868</v>
      </c>
    </row>
    <row r="974" spans="1:10" x14ac:dyDescent="0.15">
      <c r="A974">
        <v>7039830</v>
      </c>
      <c r="B974" s="3" t="str">
        <f>HYPERLINK("https://github.com/minus5/gofreetds", "https://github.com/minus5/gofreetds")</f>
        <v>https://github.com/minus5/gofreetds</v>
      </c>
      <c r="D974">
        <v>86</v>
      </c>
      <c r="E974" t="s">
        <v>2869</v>
      </c>
      <c r="F974" t="s">
        <v>2870</v>
      </c>
      <c r="G974">
        <v>38</v>
      </c>
      <c r="H974" s="2">
        <v>41249.728773148148</v>
      </c>
      <c r="I974" s="2">
        <v>43545.313321759262</v>
      </c>
      <c r="J974" t="s">
        <v>2871</v>
      </c>
    </row>
    <row r="975" spans="1:10" x14ac:dyDescent="0.15">
      <c r="A975">
        <v>35538481</v>
      </c>
      <c r="B975" s="3" t="str">
        <f>HYPERLINK("https://github.com/danhper/structomap", "https://github.com/danhper/structomap")</f>
        <v>https://github.com/danhper/structomap</v>
      </c>
      <c r="D975">
        <v>86</v>
      </c>
      <c r="E975" t="s">
        <v>2872</v>
      </c>
      <c r="F975" t="s">
        <v>2873</v>
      </c>
      <c r="G975">
        <v>9</v>
      </c>
      <c r="H975" s="2">
        <v>42137.37096064815</v>
      </c>
      <c r="I975" s="2">
        <v>43557.100601851853</v>
      </c>
      <c r="J975" t="s">
        <v>2874</v>
      </c>
    </row>
    <row r="976" spans="1:10" x14ac:dyDescent="0.15">
      <c r="A976">
        <v>73375722</v>
      </c>
      <c r="B976" s="3" t="str">
        <f>HYPERLINK("https://github.com/ybbus/jsonrpc", "https://github.com/ybbus/jsonrpc")</f>
        <v>https://github.com/ybbus/jsonrpc</v>
      </c>
      <c r="D976">
        <v>85</v>
      </c>
      <c r="E976" t="s">
        <v>2691</v>
      </c>
      <c r="F976" t="s">
        <v>2875</v>
      </c>
      <c r="G976">
        <v>32</v>
      </c>
      <c r="H976" s="2">
        <v>42684.477719907409</v>
      </c>
      <c r="I976" s="2">
        <v>43578.85533564815</v>
      </c>
      <c r="J976" t="s">
        <v>2876</v>
      </c>
    </row>
    <row r="977" spans="1:10" x14ac:dyDescent="0.15">
      <c r="A977">
        <v>5513553</v>
      </c>
      <c r="B977" s="3" t="str">
        <f>HYPERLINK("https://github.com/ungerik/go-cairo", "https://github.com/ungerik/go-cairo")</f>
        <v>https://github.com/ungerik/go-cairo</v>
      </c>
      <c r="D977">
        <v>85</v>
      </c>
      <c r="E977" t="s">
        <v>2877</v>
      </c>
      <c r="F977" t="s">
        <v>2878</v>
      </c>
      <c r="G977">
        <v>22</v>
      </c>
      <c r="H977" s="2">
        <v>41143.768761574072</v>
      </c>
      <c r="I977" s="2">
        <v>43547.199131944442</v>
      </c>
      <c r="J977" t="s">
        <v>2879</v>
      </c>
    </row>
    <row r="978" spans="1:10" x14ac:dyDescent="0.15">
      <c r="A978">
        <v>27945817</v>
      </c>
      <c r="B978" s="3" t="str">
        <f>HYPERLINK("https://github.com/ReneKroon/ttlcache", "https://github.com/ReneKroon/ttlcache")</f>
        <v>https://github.com/ReneKroon/ttlcache</v>
      </c>
      <c r="D978">
        <v>85</v>
      </c>
      <c r="E978" t="s">
        <v>2880</v>
      </c>
      <c r="F978" t="s">
        <v>2881</v>
      </c>
      <c r="G978">
        <v>13</v>
      </c>
      <c r="H978" s="2">
        <v>41986.080324074072</v>
      </c>
      <c r="I978" s="2">
        <v>43580.493043981478</v>
      </c>
      <c r="J978" t="s">
        <v>2882</v>
      </c>
    </row>
    <row r="979" spans="1:10" x14ac:dyDescent="0.15">
      <c r="A979">
        <v>2770074</v>
      </c>
      <c r="B979" s="3" t="str">
        <f>HYPERLINK("https://github.com/mattn/go-adodb", "https://github.com/mattn/go-adodb")</f>
        <v>https://github.com/mattn/go-adodb</v>
      </c>
      <c r="D979">
        <v>85</v>
      </c>
      <c r="E979" t="s">
        <v>2883</v>
      </c>
      <c r="F979" t="s">
        <v>2884</v>
      </c>
      <c r="G979">
        <v>25</v>
      </c>
      <c r="H979" s="2">
        <v>40861.189467592587</v>
      </c>
      <c r="I979" s="2">
        <v>43549.091365740736</v>
      </c>
      <c r="J979" t="s">
        <v>2885</v>
      </c>
    </row>
    <row r="980" spans="1:10" x14ac:dyDescent="0.15">
      <c r="A980">
        <v>31387611</v>
      </c>
      <c r="B980" s="3" t="str">
        <f>HYPERLINK("https://github.com/tcolgate/mp3", "https://github.com/tcolgate/mp3")</f>
        <v>https://github.com/tcolgate/mp3</v>
      </c>
      <c r="D980">
        <v>85</v>
      </c>
      <c r="E980" t="s">
        <v>2886</v>
      </c>
      <c r="F980" t="s">
        <v>2887</v>
      </c>
      <c r="G980">
        <v>9</v>
      </c>
      <c r="H980" s="2">
        <v>42061.859456018523</v>
      </c>
      <c r="I980" s="2">
        <v>43578.273125</v>
      </c>
      <c r="J980" t="s">
        <v>2888</v>
      </c>
    </row>
    <row r="981" spans="1:10" x14ac:dyDescent="0.15">
      <c r="A981">
        <v>138414869</v>
      </c>
      <c r="B981" s="3" t="str">
        <f>HYPERLINK("https://github.com/MauriceGit/skiplist", "https://github.com/MauriceGit/skiplist")</f>
        <v>https://github.com/MauriceGit/skiplist</v>
      </c>
      <c r="D981">
        <v>85</v>
      </c>
      <c r="E981" t="s">
        <v>2889</v>
      </c>
      <c r="F981" t="s">
        <v>2890</v>
      </c>
      <c r="G981">
        <v>8</v>
      </c>
      <c r="H981" s="2">
        <v>43274.667951388888</v>
      </c>
      <c r="I981" s="2">
        <v>43555.330034722218</v>
      </c>
      <c r="J981" t="s">
        <v>2891</v>
      </c>
    </row>
    <row r="982" spans="1:10" x14ac:dyDescent="0.15">
      <c r="A982">
        <v>167767543</v>
      </c>
      <c r="B982" s="3" t="str">
        <f>HYPERLINK("https://github.com/TheTannerRyan/ring", "https://github.com/TheTannerRyan/ring")</f>
        <v>https://github.com/TheTannerRyan/ring</v>
      </c>
      <c r="D982">
        <v>84</v>
      </c>
      <c r="E982" t="s">
        <v>2892</v>
      </c>
      <c r="F982" t="s">
        <v>2893</v>
      </c>
      <c r="G982">
        <v>4</v>
      </c>
      <c r="H982" s="2">
        <v>43492.168287037042</v>
      </c>
      <c r="I982" s="2">
        <v>43574.113020833327</v>
      </c>
      <c r="J982" t="s">
        <v>2894</v>
      </c>
    </row>
    <row r="983" spans="1:10" x14ac:dyDescent="0.15">
      <c r="A983">
        <v>60078594</v>
      </c>
      <c r="B983" s="3" t="str">
        <f>HYPERLINK("https://github.com/icza/bitio", "https://github.com/icza/bitio")</f>
        <v>https://github.com/icza/bitio</v>
      </c>
      <c r="D983">
        <v>84</v>
      </c>
      <c r="E983" t="s">
        <v>2895</v>
      </c>
      <c r="F983" t="s">
        <v>2896</v>
      </c>
      <c r="G983">
        <v>11</v>
      </c>
      <c r="H983" s="2">
        <v>42521.418402777781</v>
      </c>
      <c r="I983" s="2">
        <v>43576.268888888888</v>
      </c>
      <c r="J983" t="s">
        <v>2897</v>
      </c>
    </row>
    <row r="984" spans="1:10" x14ac:dyDescent="0.15">
      <c r="A984">
        <v>10626391</v>
      </c>
      <c r="B984" s="3" t="str">
        <f>HYPERLINK("https://github.com/belogik/goes", "https://github.com/belogik/goes")</f>
        <v>https://github.com/belogik/goes</v>
      </c>
      <c r="D984">
        <v>84</v>
      </c>
      <c r="E984" t="s">
        <v>2898</v>
      </c>
      <c r="F984" t="s">
        <v>2899</v>
      </c>
      <c r="G984">
        <v>35</v>
      </c>
      <c r="H984" s="2">
        <v>41436.713391203702</v>
      </c>
      <c r="I984" s="2">
        <v>43537.545844907407</v>
      </c>
      <c r="J984" t="s">
        <v>2900</v>
      </c>
    </row>
    <row r="985" spans="1:10" x14ac:dyDescent="0.15">
      <c r="A985">
        <v>47895104</v>
      </c>
      <c r="B985" s="3" t="str">
        <f>HYPERLINK("https://github.com/gonutz/d3d9", "https://github.com/gonutz/d3d9")</f>
        <v>https://github.com/gonutz/d3d9</v>
      </c>
      <c r="D985">
        <v>83</v>
      </c>
      <c r="E985" t="s">
        <v>2901</v>
      </c>
      <c r="F985" t="s">
        <v>2902</v>
      </c>
      <c r="G985">
        <v>4</v>
      </c>
      <c r="H985" s="2">
        <v>42350.892106481479</v>
      </c>
      <c r="I985" s="2">
        <v>43565.553368055553</v>
      </c>
      <c r="J985" t="s">
        <v>2903</v>
      </c>
    </row>
    <row r="986" spans="1:10" x14ac:dyDescent="0.15">
      <c r="A986">
        <v>39495964</v>
      </c>
      <c r="B986" s="3" t="str">
        <f>HYPERLINK("https://github.com/adrianmo/go-nmea", "https://github.com/adrianmo/go-nmea")</f>
        <v>https://github.com/adrianmo/go-nmea</v>
      </c>
      <c r="D986">
        <v>83</v>
      </c>
      <c r="E986" t="s">
        <v>2904</v>
      </c>
      <c r="F986" t="s">
        <v>2905</v>
      </c>
      <c r="G986">
        <v>28</v>
      </c>
      <c r="H986" s="2">
        <v>42207.372152777767</v>
      </c>
      <c r="I986" s="2">
        <v>43574.858576388891</v>
      </c>
      <c r="J986" t="s">
        <v>2906</v>
      </c>
    </row>
    <row r="987" spans="1:10" x14ac:dyDescent="0.15">
      <c r="A987">
        <v>33070003</v>
      </c>
      <c r="B987" s="3" t="str">
        <f>HYPERLINK("https://github.com/firstrow/logvoyage", "https://github.com/firstrow/logvoyage")</f>
        <v>https://github.com/firstrow/logvoyage</v>
      </c>
      <c r="D987">
        <v>83</v>
      </c>
      <c r="E987" t="s">
        <v>2907</v>
      </c>
      <c r="F987" t="s">
        <v>2908</v>
      </c>
      <c r="G987">
        <v>9</v>
      </c>
      <c r="H987" s="2">
        <v>42092.461909722217</v>
      </c>
      <c r="I987" s="2">
        <v>43498.089930555558</v>
      </c>
      <c r="J987" t="s">
        <v>2909</v>
      </c>
    </row>
    <row r="988" spans="1:10" x14ac:dyDescent="0.15">
      <c r="A988">
        <v>51287865</v>
      </c>
      <c r="B988" s="3" t="str">
        <f>HYPERLINK("https://github.com/icza/session", "https://github.com/icza/session")</f>
        <v>https://github.com/icza/session</v>
      </c>
      <c r="D988">
        <v>83</v>
      </c>
      <c r="E988" t="s">
        <v>2910</v>
      </c>
      <c r="F988" t="s">
        <v>2911</v>
      </c>
      <c r="G988">
        <v>8</v>
      </c>
      <c r="H988" s="2">
        <v>42408.379942129628</v>
      </c>
      <c r="I988" s="2">
        <v>43578.026250000003</v>
      </c>
      <c r="J988" t="s">
        <v>2912</v>
      </c>
    </row>
    <row r="989" spans="1:10" x14ac:dyDescent="0.15">
      <c r="A989">
        <v>54620819</v>
      </c>
      <c r="B989" s="3" t="str">
        <f>HYPERLINK("https://github.com/raydac/mvn-golang", "https://github.com/raydac/mvn-golang")</f>
        <v>https://github.com/raydac/mvn-golang</v>
      </c>
      <c r="D989">
        <v>82</v>
      </c>
      <c r="E989" t="s">
        <v>2913</v>
      </c>
      <c r="F989" t="s">
        <v>2914</v>
      </c>
      <c r="G989">
        <v>14</v>
      </c>
      <c r="H989" s="2">
        <v>42453.282731481479</v>
      </c>
      <c r="I989" s="2">
        <v>43577.904016203713</v>
      </c>
      <c r="J989" t="s">
        <v>2915</v>
      </c>
    </row>
    <row r="990" spans="1:10" x14ac:dyDescent="0.15">
      <c r="A990">
        <v>76157510</v>
      </c>
      <c r="B990" s="3" t="str">
        <f>HYPERLINK("https://github.com/olebedev/go-tgbot", "https://github.com/olebedev/go-tgbot")</f>
        <v>https://github.com/olebedev/go-tgbot</v>
      </c>
      <c r="D990">
        <v>82</v>
      </c>
      <c r="E990" t="s">
        <v>2916</v>
      </c>
      <c r="F990" t="s">
        <v>2917</v>
      </c>
      <c r="G990">
        <v>3</v>
      </c>
      <c r="H990" s="2">
        <v>42715.254537037043</v>
      </c>
      <c r="I990" s="2">
        <v>43564.577256944453</v>
      </c>
      <c r="J990" t="s">
        <v>2918</v>
      </c>
    </row>
    <row r="991" spans="1:10" x14ac:dyDescent="0.15">
      <c r="A991">
        <v>86171692</v>
      </c>
      <c r="B991" s="3" t="str">
        <f>HYPERLINK("https://github.com/dannyvankooten/grender", "https://github.com/dannyvankooten/grender")</f>
        <v>https://github.com/dannyvankooten/grender</v>
      </c>
      <c r="D991">
        <v>82</v>
      </c>
      <c r="E991" t="s">
        <v>2919</v>
      </c>
      <c r="F991" t="s">
        <v>2920</v>
      </c>
      <c r="G991">
        <v>4</v>
      </c>
      <c r="H991" s="2">
        <v>42819.687986111108</v>
      </c>
      <c r="I991" s="2">
        <v>43509.222199074073</v>
      </c>
      <c r="J991" t="s">
        <v>2921</v>
      </c>
    </row>
    <row r="992" spans="1:10" x14ac:dyDescent="0.15">
      <c r="A992">
        <v>77734068</v>
      </c>
      <c r="B992" s="3" t="str">
        <f>HYPERLINK("https://github.com/emersion/go-message", "https://github.com/emersion/go-message")</f>
        <v>https://github.com/emersion/go-message</v>
      </c>
      <c r="D992">
        <v>82</v>
      </c>
      <c r="E992" t="s">
        <v>2922</v>
      </c>
      <c r="F992" t="s">
        <v>2923</v>
      </c>
      <c r="G992">
        <v>27</v>
      </c>
      <c r="H992" s="2">
        <v>42735.397129629629</v>
      </c>
      <c r="I992" s="2">
        <v>43573.308159722219</v>
      </c>
      <c r="J992" t="s">
        <v>2924</v>
      </c>
    </row>
    <row r="993" spans="1:10" x14ac:dyDescent="0.15">
      <c r="A993">
        <v>139199201</v>
      </c>
      <c r="B993" s="3" t="str">
        <f>HYPERLINK("https://github.com/philippgille/ln-paywall", "https://github.com/philippgille/ln-paywall")</f>
        <v>https://github.com/philippgille/ln-paywall</v>
      </c>
      <c r="D993">
        <v>82</v>
      </c>
      <c r="E993" t="s">
        <v>2925</v>
      </c>
      <c r="F993" t="s">
        <v>2926</v>
      </c>
      <c r="G993">
        <v>3</v>
      </c>
      <c r="H993" s="2">
        <v>43280.910416666673</v>
      </c>
      <c r="I993" s="2">
        <v>43562.835972222223</v>
      </c>
      <c r="J993" t="s">
        <v>2927</v>
      </c>
    </row>
    <row r="994" spans="1:10" x14ac:dyDescent="0.15">
      <c r="A994">
        <v>111885079</v>
      </c>
      <c r="B994" s="3" t="str">
        <f>HYPERLINK("https://github.com/akamensky/argparse", "https://github.com/akamensky/argparse")</f>
        <v>https://github.com/akamensky/argparse</v>
      </c>
      <c r="D994">
        <v>82</v>
      </c>
      <c r="E994" t="s">
        <v>2928</v>
      </c>
      <c r="F994" t="s">
        <v>2929</v>
      </c>
      <c r="G994">
        <v>12</v>
      </c>
      <c r="H994" s="2">
        <v>43063.279398148137</v>
      </c>
      <c r="I994" s="2">
        <v>43580.131041666667</v>
      </c>
      <c r="J994" t="s">
        <v>2930</v>
      </c>
    </row>
    <row r="995" spans="1:10" x14ac:dyDescent="0.15">
      <c r="A995">
        <v>5655994</v>
      </c>
      <c r="B995" s="3" t="str">
        <f>HYPERLINK("https://github.com/ungerik/pkgreflect", "https://github.com/ungerik/pkgreflect")</f>
        <v>https://github.com/ungerik/pkgreflect</v>
      </c>
      <c r="D995">
        <v>82</v>
      </c>
      <c r="E995" t="s">
        <v>2931</v>
      </c>
      <c r="F995" t="s">
        <v>2932</v>
      </c>
      <c r="G995">
        <v>12</v>
      </c>
      <c r="H995" s="2">
        <v>41155.328472222223</v>
      </c>
      <c r="I995" s="2">
        <v>43567.677233796298</v>
      </c>
      <c r="J995" t="s">
        <v>2933</v>
      </c>
    </row>
    <row r="996" spans="1:10" x14ac:dyDescent="0.15">
      <c r="A996">
        <v>12249799</v>
      </c>
      <c r="B996" s="3" t="str">
        <f>HYPERLINK("https://github.com/eaburns/flac", "https://github.com/eaburns/flac")</f>
        <v>https://github.com/eaburns/flac</v>
      </c>
      <c r="D996">
        <v>82</v>
      </c>
      <c r="E996" t="s">
        <v>2783</v>
      </c>
      <c r="F996" t="s">
        <v>2934</v>
      </c>
      <c r="G996">
        <v>9</v>
      </c>
      <c r="H996" s="2">
        <v>41506.742337962962</v>
      </c>
      <c r="I996" s="2">
        <v>43555.605868055558</v>
      </c>
      <c r="J996" t="s">
        <v>2935</v>
      </c>
    </row>
    <row r="997" spans="1:10" x14ac:dyDescent="0.15">
      <c r="A997">
        <v>48580192</v>
      </c>
      <c r="B997" s="3" t="str">
        <f>HYPERLINK("https://github.com/alioygur/gores", "https://github.com/alioygur/gores")</f>
        <v>https://github.com/alioygur/gores</v>
      </c>
      <c r="D997">
        <v>81</v>
      </c>
      <c r="E997" t="s">
        <v>2936</v>
      </c>
      <c r="F997" t="s">
        <v>2937</v>
      </c>
      <c r="G997">
        <v>1</v>
      </c>
      <c r="H997" s="2">
        <v>42363.528483796297</v>
      </c>
      <c r="I997" s="2">
        <v>43571.459027777782</v>
      </c>
      <c r="J997" t="s">
        <v>2938</v>
      </c>
    </row>
    <row r="998" spans="1:10" x14ac:dyDescent="0.15">
      <c r="A998">
        <v>122040719</v>
      </c>
      <c r="B998" s="3" t="str">
        <f>HYPERLINK("https://github.com/recoilme/slowpoke", "https://github.com/recoilme/slowpoke")</f>
        <v>https://github.com/recoilme/slowpoke</v>
      </c>
      <c r="D998">
        <v>80</v>
      </c>
      <c r="E998" t="s">
        <v>2939</v>
      </c>
      <c r="F998" t="s">
        <v>2940</v>
      </c>
      <c r="G998">
        <v>7</v>
      </c>
      <c r="H998" s="2">
        <v>43150.390706018523</v>
      </c>
      <c r="I998" s="2">
        <v>43579.60255787037</v>
      </c>
      <c r="J998" t="s">
        <v>2941</v>
      </c>
    </row>
    <row r="999" spans="1:10" x14ac:dyDescent="0.15">
      <c r="A999">
        <v>6854010</v>
      </c>
      <c r="B999" s="3" t="str">
        <f>HYPERLINK("https://github.com/rjohnsondev/vim-compiler-go", "https://github.com/rjohnsondev/vim-compiler-go")</f>
        <v>https://github.com/rjohnsondev/vim-compiler-go</v>
      </c>
      <c r="D999">
        <v>80</v>
      </c>
      <c r="E999" t="s">
        <v>2942</v>
      </c>
      <c r="F999" t="s">
        <v>2943</v>
      </c>
      <c r="G999">
        <v>18</v>
      </c>
      <c r="H999" s="2">
        <v>41238.761018518519</v>
      </c>
      <c r="I999" s="2">
        <v>43577.271238425928</v>
      </c>
      <c r="J999" t="s">
        <v>2944</v>
      </c>
    </row>
    <row r="1000" spans="1:10" x14ac:dyDescent="0.15">
      <c r="A1000">
        <v>38934213</v>
      </c>
      <c r="B1000" s="3" t="str">
        <f>HYPERLINK("https://github.com/volatile/core", "https://github.com/volatile/core")</f>
        <v>https://github.com/volatile/core</v>
      </c>
      <c r="D1000">
        <v>80</v>
      </c>
      <c r="E1000" t="s">
        <v>2945</v>
      </c>
      <c r="F1000" t="s">
        <v>2946</v>
      </c>
      <c r="G1000">
        <v>1</v>
      </c>
      <c r="H1000" s="2">
        <v>42196.724710648137</v>
      </c>
      <c r="I1000" s="2">
        <v>43527.454467592594</v>
      </c>
      <c r="J1000" t="s">
        <v>2947</v>
      </c>
    </row>
    <row r="1001" spans="1:10" x14ac:dyDescent="0.15">
      <c r="A1001">
        <v>95456498</v>
      </c>
      <c r="B1001" s="3" t="str">
        <f>HYPERLINK("https://github.com/osteele/liquid", "https://github.com/osteele/liquid")</f>
        <v>https://github.com/osteele/liquid</v>
      </c>
      <c r="D1001">
        <v>79</v>
      </c>
      <c r="E1001" t="s">
        <v>2948</v>
      </c>
      <c r="F1001" t="s">
        <v>2949</v>
      </c>
      <c r="G1001">
        <v>10</v>
      </c>
      <c r="H1001" s="2">
        <v>42912.611018518517</v>
      </c>
      <c r="I1001" s="2">
        <v>43552.230682870373</v>
      </c>
      <c r="J1001" t="s">
        <v>2950</v>
      </c>
    </row>
    <row r="1002" spans="1:10" x14ac:dyDescent="0.15">
      <c r="A1002">
        <v>139405400</v>
      </c>
      <c r="B1002" s="3" t="str">
        <f>HYPERLINK("https://github.com/gabriel-vasile/mimetype", "https://github.com/gabriel-vasile/mimetype")</f>
        <v>https://github.com/gabriel-vasile/mimetype</v>
      </c>
      <c r="D1002">
        <v>79</v>
      </c>
      <c r="E1002" t="s">
        <v>2951</v>
      </c>
      <c r="F1002" t="s">
        <v>2952</v>
      </c>
      <c r="G1002">
        <v>10</v>
      </c>
      <c r="H1002" s="2">
        <v>43283.302418981482</v>
      </c>
      <c r="I1002" s="2">
        <v>43579.88484953704</v>
      </c>
      <c r="J1002" t="s">
        <v>2953</v>
      </c>
    </row>
    <row r="1003" spans="1:10" x14ac:dyDescent="0.15">
      <c r="A1003">
        <v>134690350</v>
      </c>
      <c r="B1003" s="3" t="str">
        <f>HYPERLINK("https://github.com/TeaEntityLab/fpGo", "https://github.com/TeaEntityLab/fpGo")</f>
        <v>https://github.com/TeaEntityLab/fpGo</v>
      </c>
      <c r="D1003">
        <v>79</v>
      </c>
      <c r="E1003" t="s">
        <v>2954</v>
      </c>
      <c r="F1003" t="s">
        <v>2955</v>
      </c>
      <c r="G1003">
        <v>6</v>
      </c>
      <c r="H1003" s="2">
        <v>43244.381076388891</v>
      </c>
      <c r="I1003" s="2">
        <v>43580.531134259261</v>
      </c>
      <c r="J1003" t="s">
        <v>2956</v>
      </c>
    </row>
    <row r="1004" spans="1:10" x14ac:dyDescent="0.15">
      <c r="A1004">
        <v>55521819</v>
      </c>
      <c r="B1004" s="3" t="str">
        <f>HYPERLINK("https://github.com/GuiaBolso/darwin", "https://github.com/GuiaBolso/darwin")</f>
        <v>https://github.com/GuiaBolso/darwin</v>
      </c>
      <c r="D1004">
        <v>79</v>
      </c>
      <c r="E1004" t="s">
        <v>2957</v>
      </c>
      <c r="F1004" t="s">
        <v>2958</v>
      </c>
      <c r="G1004">
        <v>10</v>
      </c>
      <c r="H1004" s="2">
        <v>42465.665266203701</v>
      </c>
      <c r="I1004" s="2">
        <v>43572.802476851852</v>
      </c>
      <c r="J1004" t="s">
        <v>2959</v>
      </c>
    </row>
    <row r="1005" spans="1:10" x14ac:dyDescent="0.15">
      <c r="A1005">
        <v>1690313</v>
      </c>
      <c r="B1005" s="3" t="str">
        <f>HYPERLINK("https://github.com/nuance/go-nlp", "https://github.com/nuance/go-nlp")</f>
        <v>https://github.com/nuance/go-nlp</v>
      </c>
      <c r="D1005">
        <v>78</v>
      </c>
      <c r="E1005" t="s">
        <v>2960</v>
      </c>
      <c r="F1005" t="s">
        <v>2961</v>
      </c>
      <c r="G1005">
        <v>10</v>
      </c>
      <c r="H1005" s="2">
        <v>40665.280277777783</v>
      </c>
      <c r="I1005" s="2">
        <v>43487.790914351863</v>
      </c>
      <c r="J1005" t="s">
        <v>2962</v>
      </c>
    </row>
    <row r="1006" spans="1:10" x14ac:dyDescent="0.15">
      <c r="A1006">
        <v>75543672</v>
      </c>
      <c r="B1006" s="3" t="str">
        <f>HYPERLINK("https://github.com/octago/sflags", "https://github.com/octago/sflags")</f>
        <v>https://github.com/octago/sflags</v>
      </c>
      <c r="D1006">
        <v>77</v>
      </c>
      <c r="E1006" t="s">
        <v>2963</v>
      </c>
      <c r="F1006" t="s">
        <v>2964</v>
      </c>
      <c r="G1006">
        <v>9</v>
      </c>
      <c r="H1006" s="2">
        <v>42708.617673611108</v>
      </c>
      <c r="I1006" s="2">
        <v>43568.431180555563</v>
      </c>
      <c r="J1006" t="s">
        <v>2965</v>
      </c>
    </row>
    <row r="1007" spans="1:10" x14ac:dyDescent="0.15">
      <c r="A1007">
        <v>1642915</v>
      </c>
      <c r="B1007" s="3" t="str">
        <f>HYPERLINK("https://github.com/runningwild/glop", "https://github.com/runningwild/glop")</f>
        <v>https://github.com/runningwild/glop</v>
      </c>
      <c r="D1007">
        <v>77</v>
      </c>
      <c r="E1007" t="s">
        <v>2966</v>
      </c>
      <c r="F1007" t="s">
        <v>2967</v>
      </c>
      <c r="G1007">
        <v>8</v>
      </c>
      <c r="H1007" s="2">
        <v>40653.95039351852</v>
      </c>
      <c r="I1007" s="2">
        <v>43536.373923611107</v>
      </c>
      <c r="J1007" t="s">
        <v>2968</v>
      </c>
    </row>
    <row r="1008" spans="1:10" x14ac:dyDescent="0.15">
      <c r="A1008">
        <v>53592091</v>
      </c>
      <c r="B1008" s="3" t="str">
        <f>HYPERLINK("https://github.com/galeone/igor", "https://github.com/galeone/igor")</f>
        <v>https://github.com/galeone/igor</v>
      </c>
      <c r="D1008">
        <v>76</v>
      </c>
      <c r="E1008" t="s">
        <v>2969</v>
      </c>
      <c r="F1008" t="s">
        <v>2970</v>
      </c>
      <c r="G1008">
        <v>2</v>
      </c>
      <c r="H1008" s="2">
        <v>42439.614675925928</v>
      </c>
      <c r="I1008" s="2">
        <v>43565.391909722217</v>
      </c>
      <c r="J1008" t="s">
        <v>2971</v>
      </c>
    </row>
    <row r="1009" spans="1:10" x14ac:dyDescent="0.15">
      <c r="A1009">
        <v>101684579</v>
      </c>
      <c r="B1009" s="3" t="str">
        <f>HYPERLINK("https://github.com/viant/endly", "https://github.com/viant/endly")</f>
        <v>https://github.com/viant/endly</v>
      </c>
      <c r="D1009">
        <v>76</v>
      </c>
      <c r="E1009" t="s">
        <v>2972</v>
      </c>
      <c r="F1009" t="s">
        <v>2973</v>
      </c>
      <c r="G1009">
        <v>10</v>
      </c>
      <c r="H1009" s="2">
        <v>42975.850497685176</v>
      </c>
      <c r="I1009" s="2">
        <v>43580.143946759257</v>
      </c>
      <c r="J1009" t="s">
        <v>2974</v>
      </c>
    </row>
    <row r="1010" spans="1:10" x14ac:dyDescent="0.15">
      <c r="A1010">
        <v>172275722</v>
      </c>
      <c r="B1010" s="3" t="str">
        <f>HYPERLINK("https://github.com/gabstv/go-bsdiff", "https://github.com/gabstv/go-bsdiff")</f>
        <v>https://github.com/gabstv/go-bsdiff</v>
      </c>
      <c r="D1010">
        <v>75</v>
      </c>
      <c r="E1010" t="s">
        <v>2975</v>
      </c>
      <c r="F1010" t="s">
        <v>2976</v>
      </c>
      <c r="G1010">
        <v>2</v>
      </c>
      <c r="H1010" s="2">
        <v>43519.981828703712</v>
      </c>
      <c r="I1010" s="2">
        <v>43572.963599537034</v>
      </c>
      <c r="J1010" t="s">
        <v>2977</v>
      </c>
    </row>
    <row r="1011" spans="1:10" x14ac:dyDescent="0.15">
      <c r="A1011">
        <v>69056502</v>
      </c>
      <c r="B1011" s="3" t="str">
        <f>HYPERLINK("https://github.com/go-playground/pure", "https://github.com/go-playground/pure")</f>
        <v>https://github.com/go-playground/pure</v>
      </c>
      <c r="D1011">
        <v>75</v>
      </c>
      <c r="E1011" t="s">
        <v>2978</v>
      </c>
      <c r="F1011" t="s">
        <v>2979</v>
      </c>
      <c r="G1011">
        <v>7</v>
      </c>
      <c r="H1011" s="2">
        <v>42636.831921296303</v>
      </c>
      <c r="I1011" s="2">
        <v>43489.604108796288</v>
      </c>
      <c r="J1011" t="s">
        <v>2980</v>
      </c>
    </row>
    <row r="1012" spans="1:10" x14ac:dyDescent="0.15">
      <c r="A1012">
        <v>61064110</v>
      </c>
      <c r="B1012" s="3" t="str">
        <f>HYPERLINK("https://github.com/viant/toolbox", "https://github.com/viant/toolbox")</f>
        <v>https://github.com/viant/toolbox</v>
      </c>
      <c r="D1012">
        <v>75</v>
      </c>
      <c r="E1012" t="s">
        <v>2981</v>
      </c>
      <c r="F1012" t="s">
        <v>2982</v>
      </c>
      <c r="G1012">
        <v>8</v>
      </c>
      <c r="H1012" s="2">
        <v>42534.814988425933</v>
      </c>
      <c r="I1012" s="2">
        <v>43579.120497685188</v>
      </c>
      <c r="J1012" t="s">
        <v>2983</v>
      </c>
    </row>
    <row r="1013" spans="1:10" x14ac:dyDescent="0.15">
      <c r="A1013">
        <v>44605875</v>
      </c>
      <c r="B1013" s="3" t="str">
        <f>HYPERLINK("https://github.com/tomcraven/goga", "https://github.com/tomcraven/goga")</f>
        <v>https://github.com/tomcraven/goga</v>
      </c>
      <c r="D1013">
        <v>75</v>
      </c>
      <c r="E1013" t="s">
        <v>2984</v>
      </c>
      <c r="F1013" t="s">
        <v>2985</v>
      </c>
      <c r="G1013">
        <v>8</v>
      </c>
      <c r="H1013" s="2">
        <v>42297.535312499997</v>
      </c>
      <c r="I1013" s="2">
        <v>43570.419363425928</v>
      </c>
      <c r="J1013" t="s">
        <v>2986</v>
      </c>
    </row>
    <row r="1014" spans="1:10" x14ac:dyDescent="0.15">
      <c r="A1014">
        <v>55167207</v>
      </c>
      <c r="B1014" s="3" t="str">
        <f>HYPERLINK("https://github.com/xfxdev/xtcp", "https://github.com/xfxdev/xtcp")</f>
        <v>https://github.com/xfxdev/xtcp</v>
      </c>
      <c r="D1014">
        <v>75</v>
      </c>
      <c r="E1014" t="s">
        <v>2987</v>
      </c>
      <c r="F1014" t="s">
        <v>2988</v>
      </c>
      <c r="G1014">
        <v>14</v>
      </c>
      <c r="H1014" s="2">
        <v>42460.701550925929</v>
      </c>
      <c r="I1014" s="2">
        <v>43580.470555555563</v>
      </c>
      <c r="J1014" t="s">
        <v>2989</v>
      </c>
    </row>
    <row r="1015" spans="1:10" x14ac:dyDescent="0.15">
      <c r="A1015">
        <v>56687748</v>
      </c>
      <c r="B1015" s="3" t="str">
        <f>HYPERLINK("https://github.com/dixonwille/wmenu", "https://github.com/dixonwille/wmenu")</f>
        <v>https://github.com/dixonwille/wmenu</v>
      </c>
      <c r="D1015">
        <v>75</v>
      </c>
      <c r="E1015" t="s">
        <v>2990</v>
      </c>
      <c r="F1015" t="s">
        <v>2991</v>
      </c>
      <c r="G1015">
        <v>11</v>
      </c>
      <c r="H1015" s="2">
        <v>42480.548425925917</v>
      </c>
      <c r="I1015" s="2">
        <v>43567.267361111109</v>
      </c>
      <c r="J1015" t="s">
        <v>2992</v>
      </c>
    </row>
    <row r="1016" spans="1:10" x14ac:dyDescent="0.15">
      <c r="A1016">
        <v>106636480</v>
      </c>
      <c r="B1016" s="3" t="str">
        <f>HYPERLINK("https://github.com/jaffee/commandeer", "https://github.com/jaffee/commandeer")</f>
        <v>https://github.com/jaffee/commandeer</v>
      </c>
      <c r="D1016">
        <v>75</v>
      </c>
      <c r="E1016" t="s">
        <v>2993</v>
      </c>
      <c r="F1016" t="s">
        <v>2994</v>
      </c>
      <c r="G1016">
        <v>4</v>
      </c>
      <c r="H1016" s="2">
        <v>43020.118807870371</v>
      </c>
      <c r="I1016" s="2">
        <v>43578.403865740736</v>
      </c>
      <c r="J1016" t="s">
        <v>2995</v>
      </c>
    </row>
    <row r="1017" spans="1:10" x14ac:dyDescent="0.15">
      <c r="A1017">
        <v>99968554</v>
      </c>
      <c r="B1017" s="3" t="str">
        <f>HYPERLINK("https://github.com/abice/go-enum", "https://github.com/abice/go-enum")</f>
        <v>https://github.com/abice/go-enum</v>
      </c>
      <c r="D1017">
        <v>74</v>
      </c>
      <c r="E1017" t="s">
        <v>2996</v>
      </c>
      <c r="F1017" t="s">
        <v>2997</v>
      </c>
      <c r="G1017">
        <v>7</v>
      </c>
      <c r="H1017" s="2">
        <v>42957.921886574077</v>
      </c>
      <c r="I1017" s="2">
        <v>43575.371944444443</v>
      </c>
      <c r="J1017" t="s">
        <v>2998</v>
      </c>
    </row>
    <row r="1018" spans="1:10" x14ac:dyDescent="0.15">
      <c r="A1018">
        <v>102909380</v>
      </c>
      <c r="B1018" s="3" t="str">
        <f>HYPERLINK("https://github.com/hackebrot/turtle", "https://github.com/hackebrot/turtle")</f>
        <v>https://github.com/hackebrot/turtle</v>
      </c>
      <c r="D1018">
        <v>73</v>
      </c>
      <c r="E1018" t="s">
        <v>2999</v>
      </c>
      <c r="F1018" t="s">
        <v>3000</v>
      </c>
      <c r="G1018">
        <v>7</v>
      </c>
      <c r="H1018" s="2">
        <v>42986.934398148151</v>
      </c>
      <c r="I1018" s="2">
        <v>43565.311168981483</v>
      </c>
      <c r="J1018" t="s">
        <v>3001</v>
      </c>
    </row>
    <row r="1019" spans="1:10" x14ac:dyDescent="0.15">
      <c r="A1019">
        <v>125506740</v>
      </c>
      <c r="B1019" s="3" t="str">
        <f>HYPERLINK("https://github.com/hidevopsio/hiboot", "https://github.com/hidevopsio/hiboot")</f>
        <v>https://github.com/hidevopsio/hiboot</v>
      </c>
      <c r="D1019">
        <v>73</v>
      </c>
      <c r="E1019" t="s">
        <v>3002</v>
      </c>
      <c r="F1019" t="s">
        <v>3003</v>
      </c>
      <c r="G1019">
        <v>14</v>
      </c>
      <c r="H1019" s="2">
        <v>43175.473449074067</v>
      </c>
      <c r="I1019" s="2">
        <v>43577.583622685182</v>
      </c>
      <c r="J1019" t="s">
        <v>3004</v>
      </c>
    </row>
    <row r="1020" spans="1:10" x14ac:dyDescent="0.15">
      <c r="A1020">
        <v>1847204</v>
      </c>
      <c r="B1020" s="3" t="str">
        <f>HYPERLINK("https://github.com/davemeehan/Neo4j-GO", "https://github.com/davemeehan/Neo4j-GO")</f>
        <v>https://github.com/davemeehan/Neo4j-GO</v>
      </c>
      <c r="D1020">
        <v>72</v>
      </c>
      <c r="E1020" t="s">
        <v>3005</v>
      </c>
      <c r="F1020" t="s">
        <v>3006</v>
      </c>
      <c r="G1020">
        <v>13</v>
      </c>
      <c r="H1020" s="2">
        <v>40698.672627314823</v>
      </c>
      <c r="I1020" s="2">
        <v>43487.064687500002</v>
      </c>
      <c r="J1020" t="s">
        <v>3007</v>
      </c>
    </row>
    <row r="1021" spans="1:10" x14ac:dyDescent="0.15">
      <c r="A1021">
        <v>34182174</v>
      </c>
      <c r="B1021" s="3" t="str">
        <f>HYPERLINK("https://github.com/tejo/boxed", "https://github.com/tejo/boxed")</f>
        <v>https://github.com/tejo/boxed</v>
      </c>
      <c r="D1021">
        <v>72</v>
      </c>
      <c r="E1021" t="s">
        <v>3008</v>
      </c>
      <c r="F1021" t="s">
        <v>3009</v>
      </c>
      <c r="G1021">
        <v>7</v>
      </c>
      <c r="H1021" s="2">
        <v>42112.867199074077</v>
      </c>
      <c r="I1021" s="2">
        <v>43495.726458333331</v>
      </c>
      <c r="J1021" t="s">
        <v>3010</v>
      </c>
    </row>
    <row r="1022" spans="1:10" x14ac:dyDescent="0.15">
      <c r="A1022">
        <v>143207784</v>
      </c>
      <c r="B1022" s="3" t="str">
        <f>HYPERLINK("https://github.com/garyburd/redigo", "https://github.com/garyburd/redigo")</f>
        <v>https://github.com/garyburd/redigo</v>
      </c>
      <c r="D1022">
        <v>72</v>
      </c>
      <c r="E1022" t="s">
        <v>225</v>
      </c>
      <c r="F1022" t="s">
        <v>226</v>
      </c>
      <c r="G1022">
        <v>37</v>
      </c>
      <c r="H1022" s="2">
        <v>43313.871770833342</v>
      </c>
      <c r="I1022" s="2">
        <v>43580.532604166663</v>
      </c>
      <c r="J1022" t="s">
        <v>3011</v>
      </c>
    </row>
    <row r="1023" spans="1:10" x14ac:dyDescent="0.15">
      <c r="A1023">
        <v>125059824</v>
      </c>
      <c r="B1023" s="3" t="str">
        <f>HYPERLINK("https://github.com/raja/argon2pw", "https://github.com/raja/argon2pw")</f>
        <v>https://github.com/raja/argon2pw</v>
      </c>
      <c r="D1023">
        <v>71</v>
      </c>
      <c r="E1023" t="s">
        <v>3012</v>
      </c>
      <c r="F1023" t="s">
        <v>3013</v>
      </c>
      <c r="G1023">
        <v>6</v>
      </c>
      <c r="H1023" s="2">
        <v>43172.580972222233</v>
      </c>
      <c r="I1023" s="2">
        <v>43565.634930555563</v>
      </c>
      <c r="J1023" t="s">
        <v>3014</v>
      </c>
    </row>
    <row r="1024" spans="1:10" x14ac:dyDescent="0.15">
      <c r="A1024">
        <v>28334401</v>
      </c>
      <c r="B1024" s="3" t="str">
        <f>HYPERLINK("https://github.com/sebest/xff", "https://github.com/sebest/xff")</f>
        <v>https://github.com/sebest/xff</v>
      </c>
      <c r="D1024">
        <v>71</v>
      </c>
      <c r="E1024" t="s">
        <v>3015</v>
      </c>
      <c r="F1024" t="s">
        <v>3016</v>
      </c>
      <c r="G1024">
        <v>14</v>
      </c>
      <c r="H1024" s="2">
        <v>41995.436863425923</v>
      </c>
      <c r="I1024" s="2">
        <v>43537.289097222223</v>
      </c>
      <c r="J1024" t="s">
        <v>3017</v>
      </c>
    </row>
    <row r="1025" spans="1:10" x14ac:dyDescent="0.15">
      <c r="A1025">
        <v>63011213</v>
      </c>
      <c r="B1025" s="3" t="str">
        <f>HYPERLINK("https://github.com/seborama/govcr", "https://github.com/seborama/govcr")</f>
        <v>https://github.com/seborama/govcr</v>
      </c>
      <c r="D1025">
        <v>70</v>
      </c>
      <c r="E1025" t="s">
        <v>3018</v>
      </c>
      <c r="F1025" t="s">
        <v>3019</v>
      </c>
      <c r="G1025">
        <v>10</v>
      </c>
      <c r="H1025" s="2">
        <v>42561.741446759261</v>
      </c>
      <c r="I1025" s="2">
        <v>43565.822002314817</v>
      </c>
      <c r="J1025" t="s">
        <v>3020</v>
      </c>
    </row>
    <row r="1026" spans="1:10" x14ac:dyDescent="0.15">
      <c r="A1026">
        <v>1146158</v>
      </c>
      <c r="B1026" s="3" t="str">
        <f>HYPERLINK("https://github.com/ziutek/kasia.go", "https://github.com/ziutek/kasia.go")</f>
        <v>https://github.com/ziutek/kasia.go</v>
      </c>
      <c r="D1026">
        <v>70</v>
      </c>
      <c r="E1026" t="s">
        <v>3021</v>
      </c>
      <c r="F1026" t="s">
        <v>3022</v>
      </c>
      <c r="G1026">
        <v>5</v>
      </c>
      <c r="H1026" s="2">
        <v>40519.44866898148</v>
      </c>
      <c r="I1026" s="2">
        <v>43311.353252314817</v>
      </c>
      <c r="J1026" t="s">
        <v>3023</v>
      </c>
    </row>
    <row r="1027" spans="1:10" x14ac:dyDescent="0.15">
      <c r="A1027">
        <v>55195161</v>
      </c>
      <c r="B1027" s="3" t="str">
        <f>HYPERLINK("https://github.com/plar/go-adaptive-radix-tree", "https://github.com/plar/go-adaptive-radix-tree")</f>
        <v>https://github.com/plar/go-adaptive-radix-tree</v>
      </c>
      <c r="D1027">
        <v>70</v>
      </c>
      <c r="E1027" t="s">
        <v>3024</v>
      </c>
      <c r="F1027" t="s">
        <v>3025</v>
      </c>
      <c r="G1027">
        <v>10</v>
      </c>
      <c r="H1027" s="2">
        <v>42461.069907407407</v>
      </c>
      <c r="I1027" s="2">
        <v>43580.190057870372</v>
      </c>
      <c r="J1027" t="s">
        <v>3026</v>
      </c>
    </row>
    <row r="1028" spans="1:10" x14ac:dyDescent="0.15">
      <c r="A1028">
        <v>48094950</v>
      </c>
      <c r="B1028" s="3" t="str">
        <f>HYPERLINK("https://github.com/bnkamalesh/webgo", "https://github.com/bnkamalesh/webgo")</f>
        <v>https://github.com/bnkamalesh/webgo</v>
      </c>
      <c r="D1028">
        <v>70</v>
      </c>
      <c r="E1028" t="s">
        <v>3027</v>
      </c>
      <c r="F1028" t="s">
        <v>3028</v>
      </c>
      <c r="G1028">
        <v>6</v>
      </c>
      <c r="H1028" s="2">
        <v>42354.315995370373</v>
      </c>
      <c r="I1028" s="2">
        <v>43578.131909722222</v>
      </c>
      <c r="J1028" t="s">
        <v>3029</v>
      </c>
    </row>
    <row r="1029" spans="1:10" x14ac:dyDescent="0.15">
      <c r="A1029">
        <v>99607677</v>
      </c>
      <c r="B1029" s="3" t="str">
        <f>HYPERLINK("https://github.com/bradleyjkemp/cupaloy", "https://github.com/bradleyjkemp/cupaloy")</f>
        <v>https://github.com/bradleyjkemp/cupaloy</v>
      </c>
      <c r="D1029">
        <v>70</v>
      </c>
      <c r="E1029" t="s">
        <v>3030</v>
      </c>
      <c r="F1029" t="s">
        <v>3031</v>
      </c>
      <c r="G1029">
        <v>7</v>
      </c>
      <c r="H1029" s="2">
        <v>42954.770891203712</v>
      </c>
      <c r="I1029" s="2">
        <v>43572.078819444447</v>
      </c>
      <c r="J1029" t="s">
        <v>3032</v>
      </c>
    </row>
    <row r="1030" spans="1:10" x14ac:dyDescent="0.15">
      <c r="A1030">
        <v>130621116</v>
      </c>
      <c r="B1030" s="3" t="str">
        <f>HYPERLINK("https://github.com/nitishm/go-rejson", "https://github.com/nitishm/go-rejson")</f>
        <v>https://github.com/nitishm/go-rejson</v>
      </c>
      <c r="D1030">
        <v>70</v>
      </c>
      <c r="E1030" t="s">
        <v>3033</v>
      </c>
      <c r="F1030" t="s">
        <v>3034</v>
      </c>
      <c r="G1030">
        <v>7</v>
      </c>
      <c r="H1030" s="2">
        <v>43213.035474537042</v>
      </c>
      <c r="I1030" s="2">
        <v>43572.102650462963</v>
      </c>
      <c r="J1030" t="s">
        <v>3035</v>
      </c>
    </row>
    <row r="1031" spans="1:10" x14ac:dyDescent="0.15">
      <c r="A1031">
        <v>70327650</v>
      </c>
      <c r="B1031" s="3" t="str">
        <f>HYPERLINK("https://github.com/kamilsk/semaphore", "https://github.com/kamilsk/semaphore")</f>
        <v>https://github.com/kamilsk/semaphore</v>
      </c>
      <c r="D1031">
        <v>70</v>
      </c>
      <c r="E1031" t="s">
        <v>3036</v>
      </c>
      <c r="F1031" t="s">
        <v>3037</v>
      </c>
      <c r="G1031">
        <v>7</v>
      </c>
      <c r="H1031" s="2">
        <v>42651.491805555554</v>
      </c>
      <c r="I1031" s="2">
        <v>43579.627650462957</v>
      </c>
      <c r="J1031" t="s">
        <v>3038</v>
      </c>
    </row>
    <row r="1032" spans="1:10" x14ac:dyDescent="0.15">
      <c r="A1032">
        <v>90438490</v>
      </c>
      <c r="B1032" s="3" t="str">
        <f>HYPERLINK("https://github.com/esemplastic/unis", "https://github.com/esemplastic/unis")</f>
        <v>https://github.com/esemplastic/unis</v>
      </c>
      <c r="D1032">
        <v>68</v>
      </c>
      <c r="E1032" t="s">
        <v>3039</v>
      </c>
      <c r="F1032" t="s">
        <v>3040</v>
      </c>
      <c r="G1032">
        <v>3</v>
      </c>
      <c r="H1032" s="2">
        <v>42861.209062499998</v>
      </c>
      <c r="I1032" s="2">
        <v>43549.175798611112</v>
      </c>
      <c r="J1032" t="s">
        <v>3041</v>
      </c>
    </row>
    <row r="1033" spans="1:10" x14ac:dyDescent="0.15">
      <c r="A1033">
        <v>31865514</v>
      </c>
      <c r="B1033" s="3" t="str">
        <f>HYPERLINK("https://github.com/rjeczalik/gh", "https://github.com/rjeczalik/gh")</f>
        <v>https://github.com/rjeczalik/gh</v>
      </c>
      <c r="D1033">
        <v>68</v>
      </c>
      <c r="E1033" t="s">
        <v>3042</v>
      </c>
      <c r="F1033" t="s">
        <v>3043</v>
      </c>
      <c r="G1033">
        <v>10</v>
      </c>
      <c r="H1033" s="2">
        <v>42071.877835648149</v>
      </c>
      <c r="I1033" s="2">
        <v>43578.305173611108</v>
      </c>
      <c r="J1033" t="s">
        <v>3044</v>
      </c>
    </row>
    <row r="1034" spans="1:10" x14ac:dyDescent="0.15">
      <c r="A1034">
        <v>100711370</v>
      </c>
      <c r="B1034" s="3" t="str">
        <f>HYPERLINK("https://github.com/etherlabsio/healthcheck", "https://github.com/etherlabsio/healthcheck")</f>
        <v>https://github.com/etherlabsio/healthcheck</v>
      </c>
      <c r="D1034">
        <v>67</v>
      </c>
      <c r="E1034" t="s">
        <v>3045</v>
      </c>
      <c r="F1034" t="s">
        <v>3046</v>
      </c>
      <c r="G1034">
        <v>20</v>
      </c>
      <c r="H1034" s="2">
        <v>42965.533796296288</v>
      </c>
      <c r="I1034" s="2">
        <v>43563.72991898148</v>
      </c>
      <c r="J1034" t="s">
        <v>3047</v>
      </c>
    </row>
    <row r="1035" spans="1:10" x14ac:dyDescent="0.15">
      <c r="A1035">
        <v>14472928</v>
      </c>
      <c r="B1035" s="3" t="str">
        <f>HYPERLINK("https://github.com/VividCortex/pm", "https://github.com/VividCortex/pm")</f>
        <v>https://github.com/VividCortex/pm</v>
      </c>
      <c r="D1035">
        <v>67</v>
      </c>
      <c r="E1035" t="s">
        <v>3048</v>
      </c>
      <c r="F1035" t="s">
        <v>3049</v>
      </c>
      <c r="G1035">
        <v>5</v>
      </c>
      <c r="H1035" s="2">
        <v>41595.803483796299</v>
      </c>
      <c r="I1035" s="2">
        <v>43522.524155092593</v>
      </c>
      <c r="J1035" t="s">
        <v>3050</v>
      </c>
    </row>
    <row r="1036" spans="1:10" x14ac:dyDescent="0.15">
      <c r="A1036">
        <v>50740314</v>
      </c>
      <c r="B1036" s="3" t="str">
        <f>HYPERLINK("https://github.com/fulldump/golax", "https://github.com/fulldump/golax")</f>
        <v>https://github.com/fulldump/golax</v>
      </c>
      <c r="D1036">
        <v>67</v>
      </c>
      <c r="E1036" t="s">
        <v>3051</v>
      </c>
      <c r="F1036" t="s">
        <v>3052</v>
      </c>
      <c r="G1036">
        <v>4</v>
      </c>
      <c r="H1036" s="2">
        <v>42399.799756944441</v>
      </c>
      <c r="I1036" s="2">
        <v>43560.649143518523</v>
      </c>
      <c r="J1036" t="s">
        <v>3053</v>
      </c>
    </row>
    <row r="1037" spans="1:10" x14ac:dyDescent="0.15">
      <c r="A1037">
        <v>10431493</v>
      </c>
      <c r="B1037" s="3" t="str">
        <f>HYPERLINK("https://github.com/sourcegraph/go-vcs", "https://github.com/sourcegraph/go-vcs")</f>
        <v>https://github.com/sourcegraph/go-vcs</v>
      </c>
      <c r="D1037">
        <v>66</v>
      </c>
      <c r="E1037" t="s">
        <v>3054</v>
      </c>
      <c r="F1037" t="s">
        <v>3055</v>
      </c>
      <c r="G1037">
        <v>18</v>
      </c>
      <c r="H1037" s="2">
        <v>41427.108541666668</v>
      </c>
      <c r="I1037" s="2">
        <v>43564.304722222223</v>
      </c>
      <c r="J1037" t="s">
        <v>3056</v>
      </c>
    </row>
    <row r="1038" spans="1:10" x14ac:dyDescent="0.15">
      <c r="A1038">
        <v>77626334</v>
      </c>
      <c r="B1038" s="3" t="str">
        <f>HYPERLINK("https://github.com/gobuffalo/velvet", "https://github.com/gobuffalo/velvet")</f>
        <v>https://github.com/gobuffalo/velvet</v>
      </c>
      <c r="D1038">
        <v>66</v>
      </c>
      <c r="E1038" t="s">
        <v>3057</v>
      </c>
      <c r="F1038" t="s">
        <v>3058</v>
      </c>
      <c r="G1038">
        <v>5</v>
      </c>
      <c r="H1038" s="2">
        <v>42733.699270833327</v>
      </c>
      <c r="I1038" s="2">
        <v>43579.751273148147</v>
      </c>
      <c r="J1038" t="s">
        <v>3059</v>
      </c>
    </row>
    <row r="1039" spans="1:10" x14ac:dyDescent="0.15">
      <c r="A1039">
        <v>36073472</v>
      </c>
      <c r="B1039" s="3" t="str">
        <f>HYPERLINK("https://github.com/monmohan/xferspdy", "https://github.com/monmohan/xferspdy")</f>
        <v>https://github.com/monmohan/xferspdy</v>
      </c>
      <c r="D1039">
        <v>66</v>
      </c>
      <c r="E1039" t="s">
        <v>3060</v>
      </c>
      <c r="F1039" t="s">
        <v>3061</v>
      </c>
      <c r="G1039">
        <v>5</v>
      </c>
      <c r="H1039" s="2">
        <v>42146.558032407411</v>
      </c>
      <c r="I1039" s="2">
        <v>43567.713240740741</v>
      </c>
      <c r="J1039" t="s">
        <v>3062</v>
      </c>
    </row>
    <row r="1040" spans="1:10" x14ac:dyDescent="0.15">
      <c r="A1040">
        <v>111691308</v>
      </c>
      <c r="B1040" s="3" t="str">
        <f>HYPERLINK("https://github.com/marusama/semaphore", "https://github.com/marusama/semaphore")</f>
        <v>https://github.com/marusama/semaphore</v>
      </c>
      <c r="D1040">
        <v>66</v>
      </c>
      <c r="E1040" t="s">
        <v>3036</v>
      </c>
      <c r="F1040" t="s">
        <v>3063</v>
      </c>
      <c r="G1040">
        <v>4</v>
      </c>
      <c r="H1040" s="2">
        <v>43061.584004629629</v>
      </c>
      <c r="I1040" s="2">
        <v>43568.698622685188</v>
      </c>
      <c r="J1040" t="s">
        <v>3064</v>
      </c>
    </row>
    <row r="1041" spans="1:10" x14ac:dyDescent="0.15">
      <c r="A1041">
        <v>6770223</v>
      </c>
      <c r="B1041" s="3" t="str">
        <f>HYPERLINK("https://github.com/wtolson/go-taglib", "https://github.com/wtolson/go-taglib")</f>
        <v>https://github.com/wtolson/go-taglib</v>
      </c>
      <c r="D1041">
        <v>65</v>
      </c>
      <c r="E1041" t="s">
        <v>3065</v>
      </c>
      <c r="F1041" t="s">
        <v>3066</v>
      </c>
      <c r="G1041">
        <v>17</v>
      </c>
      <c r="H1041" s="2">
        <v>41233.044212962966</v>
      </c>
      <c r="I1041" s="2">
        <v>43563.466979166667</v>
      </c>
      <c r="J1041" t="s">
        <v>3067</v>
      </c>
    </row>
    <row r="1042" spans="1:10" x14ac:dyDescent="0.15">
      <c r="A1042">
        <v>43645131</v>
      </c>
      <c r="B1042" s="3" t="str">
        <f>HYPERLINK("https://github.com/solher/arangolite", "https://github.com/solher/arangolite")</f>
        <v>https://github.com/solher/arangolite</v>
      </c>
      <c r="D1042">
        <v>65</v>
      </c>
      <c r="E1042" t="s">
        <v>3068</v>
      </c>
      <c r="F1042" t="s">
        <v>3069</v>
      </c>
      <c r="G1042">
        <v>17</v>
      </c>
      <c r="H1042" s="2">
        <v>42281.727476851847</v>
      </c>
      <c r="I1042" s="2">
        <v>43580.341898148137</v>
      </c>
      <c r="J1042" t="s">
        <v>3070</v>
      </c>
    </row>
    <row r="1043" spans="1:10" x14ac:dyDescent="0.15">
      <c r="A1043">
        <v>45300858</v>
      </c>
      <c r="B1043" s="3" t="str">
        <f>HYPERLINK("https://github.com/andygrunwald/cachet", "https://github.com/andygrunwald/cachet")</f>
        <v>https://github.com/andygrunwald/cachet</v>
      </c>
      <c r="D1043">
        <v>65</v>
      </c>
      <c r="E1043" t="s">
        <v>3071</v>
      </c>
      <c r="F1043" t="s">
        <v>3072</v>
      </c>
      <c r="G1043">
        <v>7</v>
      </c>
      <c r="H1043" s="2">
        <v>42308.520914351851</v>
      </c>
      <c r="I1043" s="2">
        <v>43579.501516203702</v>
      </c>
      <c r="J1043" t="s">
        <v>3073</v>
      </c>
    </row>
    <row r="1044" spans="1:10" x14ac:dyDescent="0.15">
      <c r="A1044">
        <v>89379458</v>
      </c>
      <c r="B1044" s="3" t="str">
        <f>HYPERLINK("https://github.com/relvacode/iso8601", "https://github.com/relvacode/iso8601")</f>
        <v>https://github.com/relvacode/iso8601</v>
      </c>
      <c r="D1044">
        <v>64</v>
      </c>
      <c r="E1044" t="s">
        <v>3074</v>
      </c>
      <c r="F1044" t="s">
        <v>3075</v>
      </c>
      <c r="G1044">
        <v>2</v>
      </c>
      <c r="H1044" s="2">
        <v>42850.662708333337</v>
      </c>
      <c r="I1044" s="2">
        <v>43574.73128472222</v>
      </c>
      <c r="J1044" t="s">
        <v>3076</v>
      </c>
    </row>
    <row r="1045" spans="1:10" x14ac:dyDescent="0.15">
      <c r="A1045">
        <v>4191874</v>
      </c>
      <c r="B1045" s="3" t="str">
        <f>HYPERLINK("https://github.com/fiam/gounidecode", "https://github.com/fiam/gounidecode")</f>
        <v>https://github.com/fiam/gounidecode</v>
      </c>
      <c r="D1045">
        <v>64</v>
      </c>
      <c r="E1045" t="s">
        <v>3077</v>
      </c>
      <c r="F1045" t="s">
        <v>3078</v>
      </c>
      <c r="G1045">
        <v>16</v>
      </c>
      <c r="H1045" s="2">
        <v>41030.499699074076</v>
      </c>
      <c r="I1045" s="2">
        <v>43566.530706018522</v>
      </c>
      <c r="J1045" t="s">
        <v>3079</v>
      </c>
    </row>
    <row r="1046" spans="1:10" x14ac:dyDescent="0.15">
      <c r="A1046">
        <v>79257224</v>
      </c>
      <c r="B1046" s="3" t="str">
        <f>HYPERLINK("https://github.com/khaiql/dbcleaner", "https://github.com/khaiql/dbcleaner")</f>
        <v>https://github.com/khaiql/dbcleaner</v>
      </c>
      <c r="D1046">
        <v>64</v>
      </c>
      <c r="E1046" t="s">
        <v>3080</v>
      </c>
      <c r="F1046" t="s">
        <v>3081</v>
      </c>
      <c r="G1046">
        <v>8</v>
      </c>
      <c r="H1046" s="2">
        <v>42752.762962962966</v>
      </c>
      <c r="I1046" s="2">
        <v>43574.739606481482</v>
      </c>
      <c r="J1046" t="s">
        <v>3082</v>
      </c>
    </row>
    <row r="1047" spans="1:10" x14ac:dyDescent="0.15">
      <c r="A1047">
        <v>31731877</v>
      </c>
      <c r="B1047" s="3" t="str">
        <f>HYPERLINK("https://github.com/e-dard/netbug", "https://github.com/e-dard/netbug")</f>
        <v>https://github.com/e-dard/netbug</v>
      </c>
      <c r="D1047">
        <v>64</v>
      </c>
      <c r="E1047" t="s">
        <v>3083</v>
      </c>
      <c r="F1047" t="s">
        <v>3084</v>
      </c>
      <c r="G1047">
        <v>3</v>
      </c>
      <c r="H1047" s="2">
        <v>42068.810752314806</v>
      </c>
      <c r="I1047" s="2">
        <v>43538.37222222222</v>
      </c>
      <c r="J1047" t="s">
        <v>3085</v>
      </c>
    </row>
    <row r="1048" spans="1:10" x14ac:dyDescent="0.15">
      <c r="A1048">
        <v>60483295</v>
      </c>
      <c r="B1048" s="3" t="str">
        <f>HYPERLINK("https://github.com/robbert229/jwt", "https://github.com/robbert229/jwt")</f>
        <v>https://github.com/robbert229/jwt</v>
      </c>
      <c r="D1048">
        <v>64</v>
      </c>
      <c r="E1048" t="s">
        <v>3086</v>
      </c>
      <c r="F1048" t="s">
        <v>3087</v>
      </c>
      <c r="G1048">
        <v>14</v>
      </c>
      <c r="H1048" s="2">
        <v>42526.91778935185</v>
      </c>
      <c r="I1048" s="2">
        <v>43574.155543981477</v>
      </c>
      <c r="J1048" t="s">
        <v>3088</v>
      </c>
    </row>
    <row r="1049" spans="1:10" x14ac:dyDescent="0.15">
      <c r="A1049">
        <v>179026050</v>
      </c>
      <c r="B1049" s="3" t="str">
        <f>HYPERLINK("https://github.com/pingcap/failpoint", "https://github.com/pingcap/failpoint")</f>
        <v>https://github.com/pingcap/failpoint</v>
      </c>
      <c r="D1049">
        <v>63</v>
      </c>
      <c r="E1049" t="s">
        <v>3089</v>
      </c>
      <c r="F1049" t="s">
        <v>3090</v>
      </c>
      <c r="G1049">
        <v>8</v>
      </c>
      <c r="H1049" s="2">
        <v>43557.325208333343</v>
      </c>
      <c r="I1049" s="2">
        <v>43580.165625000001</v>
      </c>
      <c r="J1049" t="s">
        <v>3091</v>
      </c>
    </row>
    <row r="1050" spans="1:10" x14ac:dyDescent="0.15">
      <c r="A1050">
        <v>35826631</v>
      </c>
      <c r="B1050" s="3" t="str">
        <f>HYPERLINK("https://github.com/underarmour/dynago", "https://github.com/underarmour/dynago")</f>
        <v>https://github.com/underarmour/dynago</v>
      </c>
      <c r="D1050">
        <v>63</v>
      </c>
      <c r="E1050" t="s">
        <v>3092</v>
      </c>
      <c r="F1050" t="s">
        <v>3093</v>
      </c>
      <c r="G1050">
        <v>13</v>
      </c>
      <c r="H1050" s="2">
        <v>42142.653009259258</v>
      </c>
      <c r="I1050" s="2">
        <v>43566.41915509259</v>
      </c>
      <c r="J1050" t="s">
        <v>3094</v>
      </c>
    </row>
    <row r="1051" spans="1:10" x14ac:dyDescent="0.15">
      <c r="A1051">
        <v>35633280</v>
      </c>
      <c r="B1051" s="3" t="str">
        <f>HYPERLINK("https://github.com/codemodus/chain", "https://github.com/codemodus/chain")</f>
        <v>https://github.com/codemodus/chain</v>
      </c>
      <c r="D1051">
        <v>63</v>
      </c>
      <c r="E1051" t="s">
        <v>3095</v>
      </c>
      <c r="F1051" t="s">
        <v>3096</v>
      </c>
      <c r="G1051">
        <v>3</v>
      </c>
      <c r="H1051" s="2">
        <v>42138.828449074077</v>
      </c>
      <c r="I1051" s="2">
        <v>43538.380115740743</v>
      </c>
      <c r="J1051" t="s">
        <v>3097</v>
      </c>
    </row>
    <row r="1052" spans="1:10" x14ac:dyDescent="0.15">
      <c r="A1052">
        <v>130734241</v>
      </c>
      <c r="B1052" s="3" t="str">
        <f>HYPERLINK("https://github.com/whiteShtef/clockwork", "https://github.com/whiteShtef/clockwork")</f>
        <v>https://github.com/whiteShtef/clockwork</v>
      </c>
      <c r="D1052">
        <v>63</v>
      </c>
      <c r="E1052" t="s">
        <v>2261</v>
      </c>
      <c r="F1052" t="s">
        <v>3098</v>
      </c>
      <c r="G1052">
        <v>9</v>
      </c>
      <c r="H1052" s="2">
        <v>43213.738298611112</v>
      </c>
      <c r="I1052" s="2">
        <v>43579.39434027778</v>
      </c>
      <c r="J1052" t="s">
        <v>3099</v>
      </c>
    </row>
    <row r="1053" spans="1:10" x14ac:dyDescent="0.15">
      <c r="A1053">
        <v>77646849</v>
      </c>
      <c r="B1053" s="3" t="str">
        <f>HYPERLINK("https://github.com/InVisionApp/conjungo", "https://github.com/InVisionApp/conjungo")</f>
        <v>https://github.com/InVisionApp/conjungo</v>
      </c>
      <c r="D1053">
        <v>63</v>
      </c>
      <c r="E1053" t="s">
        <v>3100</v>
      </c>
      <c r="F1053" t="s">
        <v>3101</v>
      </c>
      <c r="G1053">
        <v>10</v>
      </c>
      <c r="H1053" s="2">
        <v>42733.993495370371</v>
      </c>
      <c r="I1053" s="2">
        <v>43578.936886574083</v>
      </c>
      <c r="J1053" t="s">
        <v>3102</v>
      </c>
    </row>
    <row r="1054" spans="1:10" x14ac:dyDescent="0.15">
      <c r="A1054">
        <v>103854341</v>
      </c>
      <c r="B1054" s="3" t="str">
        <f>HYPERLINK("https://github.com/dgrr/GoSlaves", "https://github.com/dgrr/GoSlaves")</f>
        <v>https://github.com/dgrr/GoSlaves</v>
      </c>
      <c r="D1054">
        <v>62</v>
      </c>
      <c r="E1054" t="s">
        <v>3103</v>
      </c>
      <c r="F1054" t="s">
        <v>3104</v>
      </c>
      <c r="G1054">
        <v>6</v>
      </c>
      <c r="H1054" s="2">
        <v>42995.795300925929</v>
      </c>
      <c r="I1054" s="2">
        <v>43561.483912037038</v>
      </c>
      <c r="J1054" t="s">
        <v>3105</v>
      </c>
    </row>
    <row r="1055" spans="1:10" x14ac:dyDescent="0.15">
      <c r="A1055">
        <v>66933508</v>
      </c>
      <c r="B1055" s="3" t="str">
        <f>HYPERLINK("https://github.com/antham/gommit", "https://github.com/antham/gommit")</f>
        <v>https://github.com/antham/gommit</v>
      </c>
      <c r="D1055">
        <v>62</v>
      </c>
      <c r="E1055" t="s">
        <v>3106</v>
      </c>
      <c r="F1055" t="s">
        <v>3107</v>
      </c>
      <c r="G1055">
        <v>1</v>
      </c>
      <c r="H1055" s="2">
        <v>42612.465405092589</v>
      </c>
      <c r="I1055" s="2">
        <v>43574.273402777777</v>
      </c>
      <c r="J1055" t="s">
        <v>3108</v>
      </c>
    </row>
    <row r="1056" spans="1:10" x14ac:dyDescent="0.15">
      <c r="A1056">
        <v>34058441</v>
      </c>
      <c r="B1056" s="3" t="str">
        <f>HYPERLINK("https://github.com/cosiner/gomodel", "https://github.com/cosiner/gomodel")</f>
        <v>https://github.com/cosiner/gomodel</v>
      </c>
      <c r="D1056">
        <v>62</v>
      </c>
      <c r="E1056" t="s">
        <v>3109</v>
      </c>
      <c r="F1056" t="s">
        <v>3110</v>
      </c>
      <c r="G1056">
        <v>7</v>
      </c>
      <c r="H1056" s="2">
        <v>42110.575509259259</v>
      </c>
      <c r="I1056" s="2">
        <v>43480.479675925933</v>
      </c>
      <c r="J1056" t="s">
        <v>3111</v>
      </c>
    </row>
    <row r="1057" spans="1:10" x14ac:dyDescent="0.15">
      <c r="A1057">
        <v>116861351</v>
      </c>
      <c r="B1057" s="3" t="str">
        <f>HYPERLINK("https://github.com/DavidBelicza/TextRank", "https://github.com/DavidBelicza/TextRank")</f>
        <v>https://github.com/DavidBelicza/TextRank</v>
      </c>
      <c r="D1057">
        <v>62</v>
      </c>
      <c r="E1057" t="s">
        <v>3112</v>
      </c>
      <c r="F1057" t="s">
        <v>3113</v>
      </c>
      <c r="G1057">
        <v>8</v>
      </c>
      <c r="H1057" s="2">
        <v>43109.816863425927</v>
      </c>
      <c r="I1057" s="2">
        <v>43572.259976851848</v>
      </c>
      <c r="J1057" t="s">
        <v>3114</v>
      </c>
    </row>
    <row r="1058" spans="1:10" x14ac:dyDescent="0.15">
      <c r="A1058">
        <v>58747679</v>
      </c>
      <c r="B1058" s="3" t="str">
        <f>HYPERLINK("https://github.com/gortc/sdp", "https://github.com/gortc/sdp")</f>
        <v>https://github.com/gortc/sdp</v>
      </c>
      <c r="D1058">
        <v>62</v>
      </c>
      <c r="E1058" t="s">
        <v>3115</v>
      </c>
      <c r="F1058" t="s">
        <v>3116</v>
      </c>
      <c r="G1058">
        <v>14</v>
      </c>
      <c r="H1058" s="2">
        <v>42503.607766203713</v>
      </c>
      <c r="I1058" s="2">
        <v>43578.624143518522</v>
      </c>
      <c r="J1058" t="s">
        <v>3117</v>
      </c>
    </row>
    <row r="1059" spans="1:10" x14ac:dyDescent="0.15">
      <c r="A1059">
        <v>121421127</v>
      </c>
      <c r="B1059" s="3" t="str">
        <f>HYPERLINK("https://github.com/Talento90/go-health", "https://github.com/Talento90/go-health")</f>
        <v>https://github.com/Talento90/go-health</v>
      </c>
      <c r="D1059">
        <v>62</v>
      </c>
      <c r="E1059" t="s">
        <v>1690</v>
      </c>
      <c r="F1059" t="s">
        <v>3118</v>
      </c>
      <c r="G1059">
        <v>3</v>
      </c>
      <c r="H1059" s="2">
        <v>43144.778402777767</v>
      </c>
      <c r="I1059" s="2">
        <v>43568.82402777778</v>
      </c>
      <c r="J1059" t="s">
        <v>3119</v>
      </c>
    </row>
    <row r="1060" spans="1:10" x14ac:dyDescent="0.15">
      <c r="A1060">
        <v>14605553</v>
      </c>
      <c r="B1060" s="3" t="str">
        <f>HYPERLINK("https://github.com/mccoyst/validate", "https://github.com/mccoyst/validate")</f>
        <v>https://github.com/mccoyst/validate</v>
      </c>
      <c r="D1060">
        <v>62</v>
      </c>
      <c r="E1060" t="s">
        <v>3120</v>
      </c>
      <c r="F1060" t="s">
        <v>3121</v>
      </c>
      <c r="G1060">
        <v>12</v>
      </c>
      <c r="H1060" s="2">
        <v>41600.061574074083</v>
      </c>
      <c r="I1060" s="2">
        <v>43535.224340277768</v>
      </c>
      <c r="J1060" t="s">
        <v>3122</v>
      </c>
    </row>
    <row r="1061" spans="1:10" x14ac:dyDescent="0.15">
      <c r="A1061">
        <v>86187150</v>
      </c>
      <c r="B1061" s="3" t="str">
        <f>HYPERLINK("https://github.com/cswank/kcli", "https://github.com/cswank/kcli")</f>
        <v>https://github.com/cswank/kcli</v>
      </c>
      <c r="D1061">
        <v>62</v>
      </c>
      <c r="E1061" t="s">
        <v>3123</v>
      </c>
      <c r="F1061" t="s">
        <v>3124</v>
      </c>
      <c r="G1061">
        <v>5</v>
      </c>
      <c r="H1061" s="2">
        <v>42819.862060185187</v>
      </c>
      <c r="I1061" s="2">
        <v>43577.552615740737</v>
      </c>
      <c r="J1061" t="s">
        <v>3125</v>
      </c>
    </row>
    <row r="1062" spans="1:10" x14ac:dyDescent="0.15">
      <c r="A1062">
        <v>98545521</v>
      </c>
      <c r="B1062" s="3" t="str">
        <f>HYPERLINK("https://github.com/GolangUA/gopher-logos", "https://github.com/GolangUA/gopher-logos")</f>
        <v>https://github.com/GolangUA/gopher-logos</v>
      </c>
      <c r="D1062">
        <v>62</v>
      </c>
      <c r="E1062" t="s">
        <v>3126</v>
      </c>
      <c r="F1062" t="s">
        <v>3127</v>
      </c>
      <c r="G1062">
        <v>3</v>
      </c>
      <c r="H1062" s="2">
        <v>42943.602314814823</v>
      </c>
      <c r="I1062" s="2">
        <v>43565.791168981479</v>
      </c>
      <c r="J1062" t="s">
        <v>3128</v>
      </c>
    </row>
    <row r="1063" spans="1:10" x14ac:dyDescent="0.15">
      <c r="A1063">
        <v>24148492</v>
      </c>
      <c r="B1063" s="3" t="str">
        <f>HYPERLINK("https://github.com/glycerine/bambam", "https://github.com/glycerine/bambam")</f>
        <v>https://github.com/glycerine/bambam</v>
      </c>
      <c r="D1063">
        <v>61</v>
      </c>
      <c r="E1063" t="s">
        <v>3129</v>
      </c>
      <c r="F1063" t="s">
        <v>3130</v>
      </c>
      <c r="G1063">
        <v>9</v>
      </c>
      <c r="H1063" s="2">
        <v>41899.610555555562</v>
      </c>
      <c r="I1063" s="2">
        <v>43571.468761574077</v>
      </c>
      <c r="J1063" t="s">
        <v>3131</v>
      </c>
    </row>
    <row r="1064" spans="1:10" x14ac:dyDescent="0.15">
      <c r="A1064">
        <v>62943173</v>
      </c>
      <c r="B1064" s="3" t="str">
        <f>HYPERLINK("https://github.com/surullabs/lint", "https://github.com/surullabs/lint")</f>
        <v>https://github.com/surullabs/lint</v>
      </c>
      <c r="D1064">
        <v>61</v>
      </c>
      <c r="E1064" t="s">
        <v>458</v>
      </c>
      <c r="F1064" t="s">
        <v>3132</v>
      </c>
      <c r="G1064">
        <v>7</v>
      </c>
      <c r="H1064" s="2">
        <v>42560.411562499998</v>
      </c>
      <c r="I1064" s="2">
        <v>43399.57885416667</v>
      </c>
      <c r="J1064" t="s">
        <v>3133</v>
      </c>
    </row>
    <row r="1065" spans="1:10" x14ac:dyDescent="0.15">
      <c r="A1065">
        <v>93867851</v>
      </c>
      <c r="B1065" s="3" t="str">
        <f>HYPERLINK("https://github.com/yourbasic/radix", "https://github.com/yourbasic/radix")</f>
        <v>https://github.com/yourbasic/radix</v>
      </c>
      <c r="D1065">
        <v>61</v>
      </c>
      <c r="E1065" t="s">
        <v>3134</v>
      </c>
      <c r="F1065" t="s">
        <v>3135</v>
      </c>
      <c r="G1065">
        <v>2</v>
      </c>
      <c r="H1065" s="2">
        <v>42895.610393518517</v>
      </c>
      <c r="I1065" s="2">
        <v>43573.973368055558</v>
      </c>
      <c r="J1065" t="s">
        <v>3136</v>
      </c>
    </row>
    <row r="1066" spans="1:10" x14ac:dyDescent="0.15">
      <c r="A1066">
        <v>45334904</v>
      </c>
      <c r="B1066" s="3" t="str">
        <f>HYPERLINK("https://github.com/gen2brain/go-unarr", "https://github.com/gen2brain/go-unarr")</f>
        <v>https://github.com/gen2brain/go-unarr</v>
      </c>
      <c r="D1066">
        <v>61</v>
      </c>
      <c r="E1066" t="s">
        <v>3137</v>
      </c>
      <c r="F1066" t="s">
        <v>3138</v>
      </c>
      <c r="G1066">
        <v>11</v>
      </c>
      <c r="H1066" s="2">
        <v>42309.401817129627</v>
      </c>
      <c r="I1066" s="2">
        <v>43574.698229166657</v>
      </c>
      <c r="J1066" t="s">
        <v>3139</v>
      </c>
    </row>
    <row r="1067" spans="1:10" x14ac:dyDescent="0.15">
      <c r="A1067">
        <v>123494382</v>
      </c>
      <c r="B1067" s="3" t="str">
        <f>HYPERLINK("https://github.com/rylans/getlang", "https://github.com/rylans/getlang")</f>
        <v>https://github.com/rylans/getlang</v>
      </c>
      <c r="D1067">
        <v>61</v>
      </c>
      <c r="E1067" t="s">
        <v>3140</v>
      </c>
      <c r="F1067" t="s">
        <v>3141</v>
      </c>
      <c r="G1067">
        <v>7</v>
      </c>
      <c r="H1067" s="2">
        <v>43160.894097222219</v>
      </c>
      <c r="I1067" s="2">
        <v>43579.402407407397</v>
      </c>
      <c r="J1067" t="s">
        <v>3142</v>
      </c>
    </row>
    <row r="1068" spans="1:10" x14ac:dyDescent="0.15">
      <c r="A1068">
        <v>152130551</v>
      </c>
      <c r="B1068" s="3" t="str">
        <f>HYPERLINK("https://github.com/philippgille/gokv", "https://github.com/philippgille/gokv")</f>
        <v>https://github.com/philippgille/gokv</v>
      </c>
      <c r="D1068">
        <v>61</v>
      </c>
      <c r="E1068" t="s">
        <v>3143</v>
      </c>
      <c r="F1068" t="s">
        <v>3144</v>
      </c>
      <c r="G1068">
        <v>6</v>
      </c>
      <c r="H1068" s="2">
        <v>43381.788449074083</v>
      </c>
      <c r="I1068" s="2">
        <v>43578.579317129632</v>
      </c>
      <c r="J1068" t="s">
        <v>3145</v>
      </c>
    </row>
    <row r="1069" spans="1:10" x14ac:dyDescent="0.15">
      <c r="A1069">
        <v>49815737</v>
      </c>
      <c r="B1069" s="3" t="str">
        <f>HYPERLINK("https://github.com/seiflotfy/skizze", "https://github.com/seiflotfy/skizze")</f>
        <v>https://github.com/seiflotfy/skizze</v>
      </c>
      <c r="D1069">
        <v>61</v>
      </c>
      <c r="E1069" t="s">
        <v>3146</v>
      </c>
      <c r="F1069" t="s">
        <v>3147</v>
      </c>
      <c r="G1069">
        <v>7</v>
      </c>
      <c r="H1069" s="2">
        <v>42386.507407407407</v>
      </c>
      <c r="I1069" s="2">
        <v>43565.174861111111</v>
      </c>
      <c r="J1069" t="s">
        <v>3148</v>
      </c>
    </row>
    <row r="1070" spans="1:10" x14ac:dyDescent="0.15">
      <c r="A1070">
        <v>110340356</v>
      </c>
      <c r="B1070" s="3" t="str">
        <f>HYPERLINK("https://github.com/jandelgado/rabtap", "https://github.com/jandelgado/rabtap")</f>
        <v>https://github.com/jandelgado/rabtap</v>
      </c>
      <c r="D1070">
        <v>60</v>
      </c>
      <c r="E1070" t="s">
        <v>3149</v>
      </c>
      <c r="F1070" t="s">
        <v>3150</v>
      </c>
      <c r="G1070">
        <v>3</v>
      </c>
      <c r="H1070" s="2">
        <v>43050.481006944443</v>
      </c>
      <c r="I1070" s="2">
        <v>43571.473310185182</v>
      </c>
      <c r="J1070" t="s">
        <v>3151</v>
      </c>
    </row>
    <row r="1071" spans="1:10" x14ac:dyDescent="0.15">
      <c r="A1071">
        <v>5918702</v>
      </c>
      <c r="B1071" s="3" t="str">
        <f>HYPERLINK("https://github.com/spate/vectormath", "https://github.com/spate/vectormath")</f>
        <v>https://github.com/spate/vectormath</v>
      </c>
      <c r="D1071">
        <v>60</v>
      </c>
      <c r="E1071" t="s">
        <v>3152</v>
      </c>
      <c r="F1071" t="s">
        <v>3153</v>
      </c>
      <c r="G1071">
        <v>8</v>
      </c>
      <c r="H1071" s="2">
        <v>41175.086944444447</v>
      </c>
      <c r="I1071" s="2">
        <v>43571.377557870372</v>
      </c>
      <c r="J1071" t="s">
        <v>3154</v>
      </c>
    </row>
    <row r="1072" spans="1:10" x14ac:dyDescent="0.15">
      <c r="A1072">
        <v>2590748</v>
      </c>
      <c r="B1072" s="3" t="str">
        <f>HYPERLINK("https://github.com/schuyler/neural-go", "https://github.com/schuyler/neural-go")</f>
        <v>https://github.com/schuyler/neural-go</v>
      </c>
      <c r="D1072">
        <v>60</v>
      </c>
      <c r="E1072" t="s">
        <v>3155</v>
      </c>
      <c r="F1072" t="s">
        <v>3156</v>
      </c>
      <c r="G1072">
        <v>10</v>
      </c>
      <c r="H1072" s="2">
        <v>40833.396909722222</v>
      </c>
      <c r="I1072" s="2">
        <v>43487.79078703704</v>
      </c>
      <c r="J1072" t="s">
        <v>3157</v>
      </c>
    </row>
    <row r="1073" spans="1:10" x14ac:dyDescent="0.15">
      <c r="A1073">
        <v>70398129</v>
      </c>
      <c r="B1073" s="3" t="str">
        <f>HYPERLINK("https://github.com/go-furnace/go-furnace", "https://github.com/go-furnace/go-furnace")</f>
        <v>https://github.com/go-furnace/go-furnace</v>
      </c>
      <c r="D1073">
        <v>60</v>
      </c>
      <c r="E1073" t="s">
        <v>3158</v>
      </c>
      <c r="F1073" t="s">
        <v>3159</v>
      </c>
      <c r="G1073">
        <v>20</v>
      </c>
      <c r="H1073" s="2">
        <v>42652.470370370371</v>
      </c>
      <c r="I1073" s="2">
        <v>43579.330555555563</v>
      </c>
      <c r="J1073" t="s">
        <v>3160</v>
      </c>
    </row>
    <row r="1074" spans="1:10" x14ac:dyDescent="0.15">
      <c r="A1074">
        <v>20007021</v>
      </c>
      <c r="B1074" s="3" t="str">
        <f>HYPERLINK("https://github.com/songgao/ether", "https://github.com/songgao/ether")</f>
        <v>https://github.com/songgao/ether</v>
      </c>
      <c r="D1074">
        <v>60</v>
      </c>
      <c r="E1074" t="s">
        <v>3161</v>
      </c>
      <c r="F1074" t="s">
        <v>3162</v>
      </c>
      <c r="G1074">
        <v>3</v>
      </c>
      <c r="H1074" s="2">
        <v>41780.15729166667</v>
      </c>
      <c r="I1074" s="2">
        <v>43559.208171296297</v>
      </c>
      <c r="J1074" t="s">
        <v>3163</v>
      </c>
    </row>
    <row r="1075" spans="1:10" x14ac:dyDescent="0.15">
      <c r="A1075">
        <v>5903000</v>
      </c>
      <c r="B1075" s="3" t="str">
        <f>HYPERLINK("https://github.com/pebbe/textcat", "https://github.com/pebbe/textcat")</f>
        <v>https://github.com/pebbe/textcat</v>
      </c>
      <c r="D1075">
        <v>60</v>
      </c>
      <c r="E1075" t="s">
        <v>3164</v>
      </c>
      <c r="F1075" t="s">
        <v>3165</v>
      </c>
      <c r="G1075">
        <v>8</v>
      </c>
      <c r="H1075" s="2">
        <v>41173.628298611111</v>
      </c>
      <c r="I1075" s="2">
        <v>43499.93650462963</v>
      </c>
      <c r="J1075" t="s">
        <v>3166</v>
      </c>
    </row>
    <row r="1076" spans="1:10" x14ac:dyDescent="0.15">
      <c r="A1076">
        <v>110151465</v>
      </c>
      <c r="B1076" s="3" t="str">
        <f>HYPERLINK("https://github.com/gen2brain/malgo", "https://github.com/gen2brain/malgo")</f>
        <v>https://github.com/gen2brain/malgo</v>
      </c>
      <c r="D1076">
        <v>60</v>
      </c>
      <c r="E1076" t="s">
        <v>3167</v>
      </c>
      <c r="F1076" t="s">
        <v>3168</v>
      </c>
      <c r="G1076">
        <v>9</v>
      </c>
      <c r="H1076" s="2">
        <v>43048.76935185185</v>
      </c>
      <c r="I1076" s="2">
        <v>43572.600636574083</v>
      </c>
      <c r="J1076" t="s">
        <v>3169</v>
      </c>
    </row>
    <row r="1077" spans="1:10" x14ac:dyDescent="0.15">
      <c r="A1077">
        <v>24876063</v>
      </c>
      <c r="B1077" s="3" t="str">
        <f>HYPERLINK("https://github.com/SaidinWoT/timespan", "https://github.com/SaidinWoT/timespan")</f>
        <v>https://github.com/SaidinWoT/timespan</v>
      </c>
      <c r="D1077">
        <v>60</v>
      </c>
      <c r="E1077" t="s">
        <v>3170</v>
      </c>
      <c r="F1077" t="s">
        <v>3171</v>
      </c>
      <c r="G1077">
        <v>7</v>
      </c>
      <c r="H1077" s="2">
        <v>41919.164606481478</v>
      </c>
      <c r="I1077" s="2">
        <v>43514.009583333333</v>
      </c>
      <c r="J1077" t="s">
        <v>3172</v>
      </c>
    </row>
    <row r="1078" spans="1:10" x14ac:dyDescent="0.15">
      <c r="A1078">
        <v>26818585</v>
      </c>
      <c r="B1078" s="3" t="str">
        <f>HYPERLINK("https://github.com/gansidui/skiplist", "https://github.com/gansidui/skiplist")</f>
        <v>https://github.com/gansidui/skiplist</v>
      </c>
      <c r="D1078">
        <v>60</v>
      </c>
      <c r="E1078" t="s">
        <v>2889</v>
      </c>
      <c r="F1078" t="s">
        <v>3173</v>
      </c>
      <c r="G1078">
        <v>13</v>
      </c>
      <c r="H1078" s="2">
        <v>41961.687418981477</v>
      </c>
      <c r="I1078" s="2">
        <v>43569.21601851852</v>
      </c>
      <c r="J1078" t="s">
        <v>3174</v>
      </c>
    </row>
    <row r="1079" spans="1:10" x14ac:dyDescent="0.15">
      <c r="A1079">
        <v>125414082</v>
      </c>
      <c r="B1079" s="3" t="str">
        <f>HYPERLINK("https://github.com/mingrammer/cfmt", "https://github.com/mingrammer/cfmt")</f>
        <v>https://github.com/mingrammer/cfmt</v>
      </c>
      <c r="D1079">
        <v>60</v>
      </c>
      <c r="E1079" t="s">
        <v>3175</v>
      </c>
      <c r="F1079" t="s">
        <v>3176</v>
      </c>
      <c r="G1079">
        <v>6</v>
      </c>
      <c r="H1079" s="2">
        <v>43174.794756944437</v>
      </c>
      <c r="I1079" s="2">
        <v>43580.379282407397</v>
      </c>
      <c r="J1079" t="s">
        <v>3177</v>
      </c>
    </row>
    <row r="1080" spans="1:10" x14ac:dyDescent="0.15">
      <c r="A1080">
        <v>5242983</v>
      </c>
      <c r="B1080" s="3" t="str">
        <f>HYPERLINK("https://github.com/datastream/libsvm", "https://github.com/datastream/libsvm")</f>
        <v>https://github.com/datastream/libsvm</v>
      </c>
      <c r="D1080">
        <v>60</v>
      </c>
      <c r="E1080" t="s">
        <v>3178</v>
      </c>
      <c r="F1080" t="s">
        <v>3179</v>
      </c>
      <c r="G1080">
        <v>8</v>
      </c>
      <c r="H1080" s="2">
        <v>41121.331793981481</v>
      </c>
      <c r="I1080" s="2">
        <v>43567.509293981479</v>
      </c>
      <c r="J1080" t="s">
        <v>3180</v>
      </c>
    </row>
    <row r="1081" spans="1:10" x14ac:dyDescent="0.15">
      <c r="A1081">
        <v>126172102</v>
      </c>
      <c r="B1081" s="3" t="str">
        <f>HYPERLINK("https://github.com/pascaldekloe/jwt", "https://github.com/pascaldekloe/jwt")</f>
        <v>https://github.com/pascaldekloe/jwt</v>
      </c>
      <c r="D1081">
        <v>59</v>
      </c>
      <c r="E1081" t="s">
        <v>3086</v>
      </c>
      <c r="F1081" t="s">
        <v>3181</v>
      </c>
      <c r="G1081">
        <v>3</v>
      </c>
      <c r="H1081" s="2">
        <v>43180.499918981477</v>
      </c>
      <c r="I1081" s="2">
        <v>43575.56621527778</v>
      </c>
      <c r="J1081" t="s">
        <v>3182</v>
      </c>
    </row>
    <row r="1082" spans="1:10" x14ac:dyDescent="0.15">
      <c r="A1082">
        <v>59467964</v>
      </c>
      <c r="B1082" s="3" t="str">
        <f>HYPERLINK("https://github.com/masterzen/winrm-cli", "https://github.com/masterzen/winrm-cli")</f>
        <v>https://github.com/masterzen/winrm-cli</v>
      </c>
      <c r="D1082">
        <v>59</v>
      </c>
      <c r="E1082" t="s">
        <v>3183</v>
      </c>
      <c r="F1082" t="s">
        <v>3184</v>
      </c>
      <c r="G1082">
        <v>8</v>
      </c>
      <c r="H1082" s="2">
        <v>42513.377256944441</v>
      </c>
      <c r="I1082" s="2">
        <v>43573.356423611112</v>
      </c>
      <c r="J1082" t="s">
        <v>3185</v>
      </c>
    </row>
    <row r="1083" spans="1:10" x14ac:dyDescent="0.15">
      <c r="A1083">
        <v>4060051</v>
      </c>
      <c r="B1083" s="3" t="str">
        <f>HYPERLINK("https://github.com/awsong/MMSEGO", "https://github.com/awsong/MMSEGO")</f>
        <v>https://github.com/awsong/MMSEGO</v>
      </c>
      <c r="D1083">
        <v>58</v>
      </c>
      <c r="E1083" t="s">
        <v>3186</v>
      </c>
      <c r="F1083" t="s">
        <v>3187</v>
      </c>
      <c r="G1083">
        <v>12</v>
      </c>
      <c r="H1083" s="2">
        <v>41017.171076388891</v>
      </c>
      <c r="I1083" s="2">
        <v>43516.739618055559</v>
      </c>
      <c r="J1083" t="s">
        <v>3188</v>
      </c>
    </row>
    <row r="1084" spans="1:10" x14ac:dyDescent="0.15">
      <c r="A1084">
        <v>15083144</v>
      </c>
      <c r="B1084" s="3" t="str">
        <f>HYPERLINK("https://github.com/VividCortex/multitick", "https://github.com/VividCortex/multitick")</f>
        <v>https://github.com/VividCortex/multitick</v>
      </c>
      <c r="D1084">
        <v>58</v>
      </c>
      <c r="E1084" t="s">
        <v>3189</v>
      </c>
      <c r="F1084" t="s">
        <v>3190</v>
      </c>
      <c r="G1084">
        <v>1</v>
      </c>
      <c r="H1084" s="2">
        <v>41618.699606481481</v>
      </c>
      <c r="I1084" s="2">
        <v>43469.863067129627</v>
      </c>
      <c r="J1084" t="s">
        <v>3191</v>
      </c>
    </row>
    <row r="1085" spans="1:10" x14ac:dyDescent="0.15">
      <c r="A1085">
        <v>90520062</v>
      </c>
      <c r="B1085" s="3" t="str">
        <f>HYPERLINK("https://github.com/rafaeljesus/rabbus", "https://github.com/rafaeljesus/rabbus")</f>
        <v>https://github.com/rafaeljesus/rabbus</v>
      </c>
      <c r="D1085">
        <v>58</v>
      </c>
      <c r="E1085" t="s">
        <v>3192</v>
      </c>
      <c r="F1085" t="s">
        <v>3193</v>
      </c>
      <c r="G1085">
        <v>16</v>
      </c>
      <c r="H1085" s="2">
        <v>42862.368877314817</v>
      </c>
      <c r="I1085" s="2">
        <v>43580.099930555552</v>
      </c>
      <c r="J1085" t="s">
        <v>3194</v>
      </c>
    </row>
    <row r="1086" spans="1:10" x14ac:dyDescent="0.15">
      <c r="A1086">
        <v>87746366</v>
      </c>
      <c r="B1086" s="3" t="str">
        <f>HYPERLINK("https://github.com/onatm/clockwerk", "https://github.com/onatm/clockwerk")</f>
        <v>https://github.com/onatm/clockwerk</v>
      </c>
      <c r="D1086">
        <v>58</v>
      </c>
      <c r="E1086" t="s">
        <v>3195</v>
      </c>
      <c r="F1086" t="s">
        <v>3196</v>
      </c>
      <c r="G1086">
        <v>3</v>
      </c>
      <c r="H1086" s="2">
        <v>42834.965833333343</v>
      </c>
      <c r="I1086" s="2">
        <v>43570.069768518522</v>
      </c>
      <c r="J1086" t="s">
        <v>3197</v>
      </c>
    </row>
    <row r="1087" spans="1:10" x14ac:dyDescent="0.15">
      <c r="A1087">
        <v>61441685</v>
      </c>
      <c r="B1087" s="3" t="str">
        <f>HYPERLINK("https://github.com/dannyvankooten/vat", "https://github.com/dannyvankooten/vat")</f>
        <v>https://github.com/dannyvankooten/vat</v>
      </c>
      <c r="D1087">
        <v>58</v>
      </c>
      <c r="E1087" t="s">
        <v>3198</v>
      </c>
      <c r="F1087" t="s">
        <v>3199</v>
      </c>
      <c r="G1087">
        <v>5</v>
      </c>
      <c r="H1087" s="2">
        <v>42539.673715277779</v>
      </c>
      <c r="I1087" s="2">
        <v>43574.783321759263</v>
      </c>
      <c r="J1087" t="s">
        <v>3200</v>
      </c>
    </row>
    <row r="1088" spans="1:10" x14ac:dyDescent="0.15">
      <c r="A1088">
        <v>27101299</v>
      </c>
      <c r="B1088" s="3" t="str">
        <f>HYPERLINK("https://github.com/ian-kent/gofigure", "https://github.com/ian-kent/gofigure")</f>
        <v>https://github.com/ian-kent/gofigure</v>
      </c>
      <c r="D1088">
        <v>57</v>
      </c>
      <c r="E1088" t="s">
        <v>3201</v>
      </c>
      <c r="F1088" t="s">
        <v>3202</v>
      </c>
      <c r="G1088">
        <v>7</v>
      </c>
      <c r="H1088" s="2">
        <v>41968.008796296293</v>
      </c>
      <c r="I1088" s="2">
        <v>43546.793182870373</v>
      </c>
      <c r="J1088" t="s">
        <v>3203</v>
      </c>
    </row>
    <row r="1089" spans="1:10" x14ac:dyDescent="0.15">
      <c r="A1089">
        <v>68076843</v>
      </c>
      <c r="B1089" s="3" t="str">
        <f>HYPERLINK("https://github.com/appleboy/drone-line", "https://github.com/appleboy/drone-line")</f>
        <v>https://github.com/appleboy/drone-line</v>
      </c>
      <c r="D1089">
        <v>57</v>
      </c>
      <c r="E1089" t="s">
        <v>3204</v>
      </c>
      <c r="F1089" t="s">
        <v>3205</v>
      </c>
      <c r="G1089">
        <v>11</v>
      </c>
      <c r="H1089" s="2">
        <v>42626.223425925928</v>
      </c>
      <c r="I1089" s="2">
        <v>43527.144537037027</v>
      </c>
      <c r="J1089" t="s">
        <v>3206</v>
      </c>
    </row>
    <row r="1090" spans="1:10" x14ac:dyDescent="0.15">
      <c r="A1090">
        <v>36051801</v>
      </c>
      <c r="B1090" s="3" t="str">
        <f>HYPERLINK("https://github.com/mdlayher/dhcp6", "https://github.com/mdlayher/dhcp6")</f>
        <v>https://github.com/mdlayher/dhcp6</v>
      </c>
      <c r="D1090">
        <v>57</v>
      </c>
      <c r="E1090" t="s">
        <v>3207</v>
      </c>
      <c r="F1090" t="s">
        <v>3208</v>
      </c>
      <c r="G1090">
        <v>19</v>
      </c>
      <c r="H1090" s="2">
        <v>42146.176041666673</v>
      </c>
      <c r="I1090" s="2">
        <v>43565.576006944437</v>
      </c>
      <c r="J1090" t="s">
        <v>3209</v>
      </c>
    </row>
    <row r="1091" spans="1:10" x14ac:dyDescent="0.15">
      <c r="A1091">
        <v>28548034</v>
      </c>
      <c r="B1091" s="3" t="str">
        <f>HYPERLINK("https://github.com/goxjs/glfw", "https://github.com/goxjs/glfw")</f>
        <v>https://github.com/goxjs/glfw</v>
      </c>
      <c r="D1091">
        <v>57</v>
      </c>
      <c r="E1091" t="s">
        <v>1390</v>
      </c>
      <c r="F1091" t="s">
        <v>3210</v>
      </c>
      <c r="G1091">
        <v>11</v>
      </c>
      <c r="H1091" s="2">
        <v>42000.944722222222</v>
      </c>
      <c r="I1091" s="2">
        <v>43553.615127314813</v>
      </c>
      <c r="J1091" t="s">
        <v>3211</v>
      </c>
    </row>
    <row r="1092" spans="1:10" x14ac:dyDescent="0.15">
      <c r="A1092">
        <v>86860439</v>
      </c>
      <c r="B1092" s="3" t="str">
        <f>HYPERLINK("https://github.com/posener/wstest", "https://github.com/posener/wstest")</f>
        <v>https://github.com/posener/wstest</v>
      </c>
      <c r="D1092">
        <v>57</v>
      </c>
      <c r="E1092" t="s">
        <v>3212</v>
      </c>
      <c r="F1092" t="s">
        <v>3213</v>
      </c>
      <c r="G1092">
        <v>7</v>
      </c>
      <c r="H1092" s="2">
        <v>42825.879374999997</v>
      </c>
      <c r="I1092" s="2">
        <v>43565.135833333326</v>
      </c>
      <c r="J1092" t="s">
        <v>3214</v>
      </c>
    </row>
    <row r="1093" spans="1:10" x14ac:dyDescent="0.15">
      <c r="A1093">
        <v>43333065</v>
      </c>
      <c r="B1093" s="3" t="str">
        <f>HYPERLINK("https://github.com/Clarifai/clarifai-go", "https://github.com/Clarifai/clarifai-go")</f>
        <v>https://github.com/Clarifai/clarifai-go</v>
      </c>
      <c r="D1093">
        <v>57</v>
      </c>
      <c r="E1093" t="s">
        <v>3215</v>
      </c>
      <c r="F1093" t="s">
        <v>3216</v>
      </c>
      <c r="G1093">
        <v>12</v>
      </c>
      <c r="H1093" s="2">
        <v>42275.981932870367</v>
      </c>
      <c r="I1093" s="2">
        <v>43545.103148148148</v>
      </c>
      <c r="J1093" t="s">
        <v>3217</v>
      </c>
    </row>
    <row r="1094" spans="1:10" x14ac:dyDescent="0.15">
      <c r="A1094">
        <v>43557425</v>
      </c>
      <c r="B1094" s="3" t="str">
        <f>HYPERLINK("https://github.com/andygrunwald/megos", "https://github.com/andygrunwald/megos")</f>
        <v>https://github.com/andygrunwald/megos</v>
      </c>
      <c r="D1094">
        <v>57</v>
      </c>
      <c r="E1094" t="s">
        <v>3218</v>
      </c>
      <c r="F1094" t="s">
        <v>3219</v>
      </c>
      <c r="G1094">
        <v>10</v>
      </c>
      <c r="H1094" s="2">
        <v>42279.603703703702</v>
      </c>
      <c r="I1094" s="2">
        <v>43546.60224537037</v>
      </c>
      <c r="J1094" t="s">
        <v>3220</v>
      </c>
    </row>
    <row r="1095" spans="1:10" x14ac:dyDescent="0.15">
      <c r="A1095">
        <v>91464295</v>
      </c>
      <c r="B1095" s="3" t="str">
        <f>HYPERLINK("https://github.com/james-bowman/sparse", "https://github.com/james-bowman/sparse")</f>
        <v>https://github.com/james-bowman/sparse</v>
      </c>
      <c r="D1095">
        <v>56</v>
      </c>
      <c r="E1095" t="s">
        <v>3221</v>
      </c>
      <c r="F1095" t="s">
        <v>3222</v>
      </c>
      <c r="G1095">
        <v>9</v>
      </c>
      <c r="H1095" s="2">
        <v>42871.579583333332</v>
      </c>
      <c r="I1095" s="2">
        <v>43578.286157407398</v>
      </c>
      <c r="J1095" t="s">
        <v>3223</v>
      </c>
    </row>
    <row r="1096" spans="1:10" x14ac:dyDescent="0.15">
      <c r="A1096">
        <v>31021653</v>
      </c>
      <c r="B1096" s="3" t="str">
        <f>HYPERLINK("https://github.com/gregdel/pushover", "https://github.com/gregdel/pushover")</f>
        <v>https://github.com/gregdel/pushover</v>
      </c>
      <c r="D1096">
        <v>56</v>
      </c>
      <c r="E1096" t="s">
        <v>3224</v>
      </c>
      <c r="F1096" t="s">
        <v>3225</v>
      </c>
      <c r="G1096">
        <v>6</v>
      </c>
      <c r="H1096" s="2">
        <v>42054.645891203712</v>
      </c>
      <c r="I1096" s="2">
        <v>43564.078784722216</v>
      </c>
      <c r="J1096" t="s">
        <v>3226</v>
      </c>
    </row>
    <row r="1097" spans="1:10" x14ac:dyDescent="0.15">
      <c r="A1097">
        <v>10541047</v>
      </c>
      <c r="B1097" s="3" t="str">
        <f>HYPERLINK("https://github.com/daviddengcn/go-pr", "https://github.com/daviddengcn/go-pr")</f>
        <v>https://github.com/daviddengcn/go-pr</v>
      </c>
      <c r="D1097">
        <v>56</v>
      </c>
      <c r="E1097" t="s">
        <v>3227</v>
      </c>
      <c r="F1097" t="s">
        <v>3228</v>
      </c>
      <c r="G1097">
        <v>11</v>
      </c>
      <c r="H1097" s="2">
        <v>41432.108564814807</v>
      </c>
      <c r="I1097" s="2">
        <v>43487.790462962963</v>
      </c>
      <c r="J1097" t="s">
        <v>3229</v>
      </c>
    </row>
    <row r="1098" spans="1:10" x14ac:dyDescent="0.15">
      <c r="A1098">
        <v>144949393</v>
      </c>
      <c r="B1098" s="3" t="str">
        <f>HYPERLINK("https://github.com/ozgio/strutil", "https://github.com/ozgio/strutil")</f>
        <v>https://github.com/ozgio/strutil</v>
      </c>
      <c r="D1098">
        <v>56</v>
      </c>
      <c r="E1098" t="s">
        <v>3230</v>
      </c>
      <c r="F1098" t="s">
        <v>3231</v>
      </c>
      <c r="G1098">
        <v>4</v>
      </c>
      <c r="H1098" s="2">
        <v>43328.2890625</v>
      </c>
      <c r="I1098" s="2">
        <v>43572.808576388888</v>
      </c>
      <c r="J1098" t="s">
        <v>3232</v>
      </c>
    </row>
    <row r="1099" spans="1:10" x14ac:dyDescent="0.15">
      <c r="A1099">
        <v>172159057</v>
      </c>
      <c r="B1099" s="3" t="str">
        <f>HYPERLINK("https://github.com/skanehira/gjo", "https://github.com/skanehira/gjo")</f>
        <v>https://github.com/skanehira/gjo</v>
      </c>
      <c r="D1099">
        <v>56</v>
      </c>
      <c r="E1099" t="s">
        <v>3233</v>
      </c>
      <c r="F1099" t="s">
        <v>3234</v>
      </c>
      <c r="G1099">
        <v>6</v>
      </c>
      <c r="H1099" s="2">
        <v>43519.079409722217</v>
      </c>
      <c r="I1099" s="2">
        <v>43577.956921296303</v>
      </c>
      <c r="J1099" t="s">
        <v>3235</v>
      </c>
    </row>
    <row r="1100" spans="1:10" x14ac:dyDescent="0.15">
      <c r="A1100">
        <v>116833802</v>
      </c>
      <c r="B1100" s="3" t="str">
        <f>HYPERLINK("https://github.com/hako/branca", "https://github.com/hako/branca")</f>
        <v>https://github.com/hako/branca</v>
      </c>
      <c r="D1100">
        <v>55</v>
      </c>
      <c r="E1100" t="s">
        <v>3236</v>
      </c>
      <c r="F1100" t="s">
        <v>3237</v>
      </c>
      <c r="G1100">
        <v>9</v>
      </c>
      <c r="H1100" s="2">
        <v>43109.644108796303</v>
      </c>
      <c r="I1100" s="2">
        <v>43579.621041666673</v>
      </c>
      <c r="J1100" t="s">
        <v>3238</v>
      </c>
    </row>
    <row r="1101" spans="1:10" x14ac:dyDescent="0.15">
      <c r="A1101">
        <v>140065565</v>
      </c>
      <c r="B1101" s="3" t="str">
        <f>HYPERLINK("https://github.com/gookit/config", "https://github.com/gookit/config")</f>
        <v>https://github.com/gookit/config</v>
      </c>
      <c r="D1101">
        <v>55</v>
      </c>
      <c r="E1101" t="s">
        <v>2255</v>
      </c>
      <c r="F1101" t="s">
        <v>3239</v>
      </c>
      <c r="G1101">
        <v>9</v>
      </c>
      <c r="H1101" s="2">
        <v>43288.341423611113</v>
      </c>
      <c r="I1101" s="2">
        <v>43578.499513888892</v>
      </c>
      <c r="J1101" t="s">
        <v>3240</v>
      </c>
    </row>
    <row r="1102" spans="1:10" x14ac:dyDescent="0.15">
      <c r="A1102">
        <v>73990000</v>
      </c>
      <c r="B1102" s="3" t="str">
        <f>HYPERLINK("https://github.com/jinyeom/neat", "https://github.com/jinyeom/neat")</f>
        <v>https://github.com/jinyeom/neat</v>
      </c>
      <c r="D1102">
        <v>55</v>
      </c>
      <c r="E1102" t="s">
        <v>3241</v>
      </c>
      <c r="F1102" t="s">
        <v>3242</v>
      </c>
      <c r="G1102">
        <v>11</v>
      </c>
      <c r="H1102" s="2">
        <v>42691.182800925933</v>
      </c>
      <c r="I1102" s="2">
        <v>43573.639166666668</v>
      </c>
      <c r="J1102" t="s">
        <v>3243</v>
      </c>
    </row>
    <row r="1103" spans="1:10" x14ac:dyDescent="0.15">
      <c r="A1103">
        <v>77356921</v>
      </c>
      <c r="B1103" s="3" t="str">
        <f>HYPERLINK("https://github.com/linxGnu/mssqlx", "https://github.com/linxGnu/mssqlx")</f>
        <v>https://github.com/linxGnu/mssqlx</v>
      </c>
      <c r="D1103">
        <v>55</v>
      </c>
      <c r="E1103" t="s">
        <v>3244</v>
      </c>
      <c r="F1103" t="s">
        <v>3245</v>
      </c>
      <c r="G1103">
        <v>3</v>
      </c>
      <c r="H1103" s="2">
        <v>42730.170243055552</v>
      </c>
      <c r="I1103" s="2">
        <v>43570.368703703702</v>
      </c>
      <c r="J1103" t="s">
        <v>3246</v>
      </c>
    </row>
    <row r="1104" spans="1:10" x14ac:dyDescent="0.15">
      <c r="A1104">
        <v>16880266</v>
      </c>
      <c r="B1104" s="3" t="str">
        <f>HYPERLINK("https://github.com/go-on/wrap", "https://github.com/go-on/wrap")</f>
        <v>https://github.com/go-on/wrap</v>
      </c>
      <c r="D1104">
        <v>55</v>
      </c>
      <c r="E1104" t="s">
        <v>3247</v>
      </c>
      <c r="F1104" t="s">
        <v>3248</v>
      </c>
      <c r="G1104">
        <v>5</v>
      </c>
      <c r="H1104" s="2">
        <v>41686.300416666672</v>
      </c>
      <c r="I1104" s="2">
        <v>43474.377256944441</v>
      </c>
      <c r="J1104" t="s">
        <v>3249</v>
      </c>
    </row>
    <row r="1105" spans="1:10" x14ac:dyDescent="0.15">
      <c r="A1105">
        <v>103657319</v>
      </c>
      <c r="B1105" s="3" t="str">
        <f>HYPERLINK("https://github.com/dadleyy/marlow", "https://github.com/dadleyy/marlow")</f>
        <v>https://github.com/dadleyy/marlow</v>
      </c>
      <c r="D1105">
        <v>54</v>
      </c>
      <c r="E1105" t="s">
        <v>3250</v>
      </c>
      <c r="F1105" t="s">
        <v>3251</v>
      </c>
      <c r="G1105">
        <v>4</v>
      </c>
      <c r="H1105" s="2">
        <v>42993.540555555563</v>
      </c>
      <c r="I1105" s="2">
        <v>43556.828530092593</v>
      </c>
      <c r="J1105" t="s">
        <v>3252</v>
      </c>
    </row>
    <row r="1106" spans="1:10" x14ac:dyDescent="0.15">
      <c r="A1106">
        <v>45782564</v>
      </c>
      <c r="B1106" s="3" t="str">
        <f>HYPERLINK("https://github.com/aclindsa/ofxgo", "https://github.com/aclindsa/ofxgo")</f>
        <v>https://github.com/aclindsa/ofxgo</v>
      </c>
      <c r="D1106">
        <v>54</v>
      </c>
      <c r="E1106" t="s">
        <v>3253</v>
      </c>
      <c r="F1106" t="s">
        <v>3254</v>
      </c>
      <c r="G1106">
        <v>7</v>
      </c>
      <c r="H1106" s="2">
        <v>42316.58116898148</v>
      </c>
      <c r="I1106" s="2">
        <v>43532.12736111111</v>
      </c>
      <c r="J1106" t="s">
        <v>3255</v>
      </c>
    </row>
    <row r="1107" spans="1:10" x14ac:dyDescent="0.15">
      <c r="A1107">
        <v>76543058</v>
      </c>
      <c r="B1107" s="3" t="str">
        <f>HYPERLINK("https://github.com/claygod/microservice", "https://github.com/claygod/microservice")</f>
        <v>https://github.com/claygod/microservice</v>
      </c>
      <c r="D1107">
        <v>54</v>
      </c>
      <c r="E1107" t="s">
        <v>3256</v>
      </c>
      <c r="F1107" t="s">
        <v>3257</v>
      </c>
      <c r="G1107">
        <v>8</v>
      </c>
      <c r="H1107" s="2">
        <v>42719.379907407398</v>
      </c>
      <c r="I1107" s="2">
        <v>43576.34375</v>
      </c>
      <c r="J1107" t="s">
        <v>3258</v>
      </c>
    </row>
    <row r="1108" spans="1:10" x14ac:dyDescent="0.15">
      <c r="A1108">
        <v>70006430</v>
      </c>
      <c r="B1108" s="3" t="str">
        <f>HYPERLINK("https://github.com/sybrexsys/RapidMQ", "https://github.com/sybrexsys/RapidMQ")</f>
        <v>https://github.com/sybrexsys/RapidMQ</v>
      </c>
      <c r="D1108">
        <v>54</v>
      </c>
      <c r="E1108" t="s">
        <v>3259</v>
      </c>
      <c r="F1108" t="s">
        <v>3260</v>
      </c>
      <c r="G1108">
        <v>7</v>
      </c>
      <c r="H1108" s="2">
        <v>42647.880416666667</v>
      </c>
      <c r="I1108" s="2">
        <v>43580.391909722217</v>
      </c>
      <c r="J1108" t="s">
        <v>3261</v>
      </c>
    </row>
    <row r="1109" spans="1:10" x14ac:dyDescent="0.15">
      <c r="A1109">
        <v>36210547</v>
      </c>
      <c r="B1109" s="3" t="str">
        <f>HYPERLINK("https://github.com/miolini/jsonf", "https://github.com/miolini/jsonf")</f>
        <v>https://github.com/miolini/jsonf</v>
      </c>
      <c r="D1109">
        <v>54</v>
      </c>
      <c r="E1109" t="s">
        <v>3262</v>
      </c>
      <c r="F1109" t="s">
        <v>3263</v>
      </c>
      <c r="G1109">
        <v>7</v>
      </c>
      <c r="H1109" s="2">
        <v>42149.203842592593</v>
      </c>
      <c r="I1109" s="2">
        <v>43550.069641203707</v>
      </c>
      <c r="J1109" t="s">
        <v>3264</v>
      </c>
    </row>
    <row r="1110" spans="1:10" x14ac:dyDescent="0.15">
      <c r="A1110">
        <v>63074202</v>
      </c>
      <c r="B1110" s="3" t="str">
        <f>HYPERLINK("https://github.com/Comcast/gaad", "https://github.com/Comcast/gaad")</f>
        <v>https://github.com/Comcast/gaad</v>
      </c>
      <c r="D1110">
        <v>53</v>
      </c>
      <c r="E1110" t="s">
        <v>3265</v>
      </c>
      <c r="F1110" t="s">
        <v>3266</v>
      </c>
      <c r="G1110">
        <v>6</v>
      </c>
      <c r="H1110" s="2">
        <v>42562.596712962957</v>
      </c>
      <c r="I1110" s="2">
        <v>43576.462002314824</v>
      </c>
      <c r="J1110" t="s">
        <v>3267</v>
      </c>
    </row>
    <row r="1111" spans="1:10" x14ac:dyDescent="0.15">
      <c r="A1111">
        <v>160132282</v>
      </c>
      <c r="B1111" s="3" t="str">
        <f>HYPERLINK("https://github.com/sherifabdlnaby/gpool", "https://github.com/sherifabdlnaby/gpool")</f>
        <v>https://github.com/sherifabdlnaby/gpool</v>
      </c>
      <c r="D1111">
        <v>53</v>
      </c>
      <c r="E1111" t="s">
        <v>3268</v>
      </c>
      <c r="F1111" t="s">
        <v>3269</v>
      </c>
      <c r="G1111">
        <v>2</v>
      </c>
      <c r="H1111" s="2">
        <v>43437.18304398148</v>
      </c>
      <c r="I1111" s="2">
        <v>43578.539826388893</v>
      </c>
      <c r="J1111" t="s">
        <v>3270</v>
      </c>
    </row>
    <row r="1112" spans="1:10" x14ac:dyDescent="0.15">
      <c r="A1112">
        <v>111648609</v>
      </c>
      <c r="B1112" s="3" t="str">
        <f>HYPERLINK("https://github.com/ssgreg/repeat", "https://github.com/ssgreg/repeat")</f>
        <v>https://github.com/ssgreg/repeat</v>
      </c>
      <c r="D1112">
        <v>53</v>
      </c>
      <c r="E1112" t="s">
        <v>3271</v>
      </c>
      <c r="F1112" t="s">
        <v>3272</v>
      </c>
      <c r="G1112">
        <v>2</v>
      </c>
      <c r="H1112" s="2">
        <v>43061.296377314808</v>
      </c>
      <c r="I1112" s="2">
        <v>43512.542743055557</v>
      </c>
      <c r="J1112" t="s">
        <v>3273</v>
      </c>
    </row>
    <row r="1113" spans="1:10" x14ac:dyDescent="0.15">
      <c r="A1113">
        <v>141109175</v>
      </c>
      <c r="B1113" s="3" t="str">
        <f>HYPERLINK("https://github.com/gookit/validate", "https://github.com/gookit/validate")</f>
        <v>https://github.com/gookit/validate</v>
      </c>
      <c r="D1113">
        <v>53</v>
      </c>
      <c r="E1113" t="s">
        <v>3120</v>
      </c>
      <c r="F1113" t="s">
        <v>3274</v>
      </c>
      <c r="G1113">
        <v>18</v>
      </c>
      <c r="H1113" s="2">
        <v>43297.349872685183</v>
      </c>
      <c r="I1113" s="2">
        <v>43580.431863425933</v>
      </c>
      <c r="J1113" t="s">
        <v>3275</v>
      </c>
    </row>
    <row r="1114" spans="1:10" x14ac:dyDescent="0.15">
      <c r="A1114">
        <v>71052411</v>
      </c>
      <c r="B1114" s="3" t="str">
        <f>HYPERLINK("https://github.com/appleboy/drone-scp", "https://github.com/appleboy/drone-scp")</f>
        <v>https://github.com/appleboy/drone-scp</v>
      </c>
      <c r="D1114">
        <v>53</v>
      </c>
      <c r="E1114" t="s">
        <v>3276</v>
      </c>
      <c r="F1114" t="s">
        <v>3277</v>
      </c>
      <c r="G1114">
        <v>11</v>
      </c>
      <c r="H1114" s="2">
        <v>42659.566620370373</v>
      </c>
      <c r="I1114" s="2">
        <v>43571.272465277783</v>
      </c>
      <c r="J1114" t="s">
        <v>3278</v>
      </c>
    </row>
    <row r="1115" spans="1:10" x14ac:dyDescent="0.15">
      <c r="A1115">
        <v>43812000</v>
      </c>
      <c r="B1115" s="3" t="str">
        <f>HYPERLINK("https://github.com/go-playground/statics", "https://github.com/go-playground/statics")</f>
        <v>https://github.com/go-playground/statics</v>
      </c>
      <c r="D1115">
        <v>52</v>
      </c>
      <c r="E1115" t="s">
        <v>3279</v>
      </c>
      <c r="F1115" t="s">
        <v>3280</v>
      </c>
      <c r="G1115">
        <v>4</v>
      </c>
      <c r="H1115" s="2">
        <v>42284.492962962962</v>
      </c>
      <c r="I1115" s="2">
        <v>43559.126851851863</v>
      </c>
      <c r="J1115" t="s">
        <v>3281</v>
      </c>
    </row>
    <row r="1116" spans="1:10" x14ac:dyDescent="0.15">
      <c r="A1116">
        <v>21221280</v>
      </c>
      <c r="B1116" s="3" t="str">
        <f>HYPERLINK("https://github.com/websysd/websysd", "https://github.com/websysd/websysd")</f>
        <v>https://github.com/websysd/websysd</v>
      </c>
      <c r="D1116">
        <v>52</v>
      </c>
      <c r="E1116" t="s">
        <v>3282</v>
      </c>
      <c r="F1116" t="s">
        <v>3283</v>
      </c>
      <c r="G1116">
        <v>8</v>
      </c>
      <c r="H1116" s="2">
        <v>41815.956712962958</v>
      </c>
      <c r="I1116" s="2">
        <v>43514.848333333342</v>
      </c>
      <c r="J1116" t="s">
        <v>3284</v>
      </c>
    </row>
    <row r="1117" spans="1:10" x14ac:dyDescent="0.15">
      <c r="A1117">
        <v>156399117</v>
      </c>
      <c r="B1117" s="3" t="str">
        <f>HYPERLINK("https://github.com/qmuntal/opc", "https://github.com/qmuntal/opc")</f>
        <v>https://github.com/qmuntal/opc</v>
      </c>
      <c r="D1117">
        <v>52</v>
      </c>
      <c r="E1117" t="s">
        <v>3285</v>
      </c>
      <c r="F1117" t="s">
        <v>3286</v>
      </c>
      <c r="G1117">
        <v>2</v>
      </c>
      <c r="H1117" s="2">
        <v>43410.617430555547</v>
      </c>
      <c r="I1117" s="2">
        <v>43579.876620370371</v>
      </c>
      <c r="J1117" t="s">
        <v>3287</v>
      </c>
    </row>
    <row r="1118" spans="1:10" x14ac:dyDescent="0.15">
      <c r="A1118">
        <v>46615496</v>
      </c>
      <c r="B1118" s="3" t="str">
        <f>HYPERLINK("https://github.com/zhulik/margelet", "https://github.com/zhulik/margelet")</f>
        <v>https://github.com/zhulik/margelet</v>
      </c>
      <c r="D1118">
        <v>52</v>
      </c>
      <c r="E1118" t="s">
        <v>3288</v>
      </c>
      <c r="F1118" t="s">
        <v>3289</v>
      </c>
      <c r="G1118">
        <v>9</v>
      </c>
      <c r="H1118" s="2">
        <v>42329.543252314812</v>
      </c>
      <c r="I1118" s="2">
        <v>43572.805358796293</v>
      </c>
      <c r="J1118" t="s">
        <v>3290</v>
      </c>
    </row>
    <row r="1119" spans="1:10" x14ac:dyDescent="0.15">
      <c r="A1119">
        <v>28211608</v>
      </c>
      <c r="B1119" s="3" t="str">
        <f>HYPERLINK("https://github.com/mna/gocostmodel", "https://github.com/mna/gocostmodel")</f>
        <v>https://github.com/mna/gocostmodel</v>
      </c>
      <c r="D1119">
        <v>51</v>
      </c>
      <c r="E1119" t="s">
        <v>3291</v>
      </c>
      <c r="F1119" t="s">
        <v>3292</v>
      </c>
      <c r="G1119">
        <v>2</v>
      </c>
      <c r="H1119" s="2">
        <v>41992.121354166673</v>
      </c>
      <c r="I1119" s="2">
        <v>43268.638819444437</v>
      </c>
      <c r="J1119" t="s">
        <v>3293</v>
      </c>
    </row>
    <row r="1120" spans="1:10" x14ac:dyDescent="0.15">
      <c r="A1120">
        <v>2446083</v>
      </c>
      <c r="B1120" s="3" t="str">
        <f>HYPERLINK("https://github.com/agonopol/go-stem", "https://github.com/agonopol/go-stem")</f>
        <v>https://github.com/agonopol/go-stem</v>
      </c>
      <c r="D1120">
        <v>51</v>
      </c>
      <c r="E1120" t="s">
        <v>3294</v>
      </c>
      <c r="F1120" t="s">
        <v>3295</v>
      </c>
      <c r="G1120">
        <v>14</v>
      </c>
      <c r="H1120" s="2">
        <v>40809.796793981477</v>
      </c>
      <c r="I1120" s="2">
        <v>43520.754050925927</v>
      </c>
      <c r="J1120" t="s">
        <v>3296</v>
      </c>
    </row>
    <row r="1121" spans="1:10" x14ac:dyDescent="0.15">
      <c r="A1121">
        <v>28865956</v>
      </c>
      <c r="B1121" s="3" t="str">
        <f>HYPERLINK("https://github.com/adrg/libvlc-go", "https://github.com/adrg/libvlc-go")</f>
        <v>https://github.com/adrg/libvlc-go</v>
      </c>
      <c r="D1121">
        <v>51</v>
      </c>
      <c r="E1121" t="s">
        <v>3297</v>
      </c>
      <c r="F1121" t="s">
        <v>3298</v>
      </c>
      <c r="G1121">
        <v>18</v>
      </c>
      <c r="H1121" s="2">
        <v>42010.584606481483</v>
      </c>
      <c r="I1121" s="2">
        <v>43577.635740740741</v>
      </c>
      <c r="J1121" t="s">
        <v>3299</v>
      </c>
    </row>
    <row r="1122" spans="1:10" x14ac:dyDescent="0.15">
      <c r="A1122">
        <v>13913697</v>
      </c>
      <c r="B1122" s="3" t="str">
        <f>HYPERLINK("https://github.com/fjl/go-couchdb", "https://github.com/fjl/go-couchdb")</f>
        <v>https://github.com/fjl/go-couchdb</v>
      </c>
      <c r="D1122">
        <v>51</v>
      </c>
      <c r="E1122" t="s">
        <v>3300</v>
      </c>
      <c r="F1122" t="s">
        <v>3301</v>
      </c>
      <c r="G1122">
        <v>36</v>
      </c>
      <c r="H1122" s="2">
        <v>41575.047407407408</v>
      </c>
      <c r="I1122" s="2">
        <v>43522.101655092592</v>
      </c>
      <c r="J1122" t="s">
        <v>3302</v>
      </c>
    </row>
    <row r="1123" spans="1:10" x14ac:dyDescent="0.15">
      <c r="A1123">
        <v>50789028</v>
      </c>
      <c r="B1123" s="3" t="str">
        <f>HYPERLINK("https://github.com/yaa110/go-persian-calendar", "https://github.com/yaa110/go-persian-calendar")</f>
        <v>https://github.com/yaa110/go-persian-calendar</v>
      </c>
      <c r="D1123">
        <v>51</v>
      </c>
      <c r="E1123" t="s">
        <v>3303</v>
      </c>
      <c r="F1123" t="s">
        <v>3304</v>
      </c>
      <c r="G1123">
        <v>9</v>
      </c>
      <c r="H1123" s="2">
        <v>42400.778043981481</v>
      </c>
      <c r="I1123" s="2">
        <v>43565.346319444441</v>
      </c>
      <c r="J1123" t="s">
        <v>3305</v>
      </c>
    </row>
    <row r="1124" spans="1:10" x14ac:dyDescent="0.15">
      <c r="A1124">
        <v>101272466</v>
      </c>
      <c r="B1124" s="3" t="str">
        <f>HYPERLINK("https://github.com/Henry-Sarabia/igdb", "https://github.com/Henry-Sarabia/igdb")</f>
        <v>https://github.com/Henry-Sarabia/igdb</v>
      </c>
      <c r="D1124">
        <v>51</v>
      </c>
      <c r="E1124" t="s">
        <v>3306</v>
      </c>
      <c r="F1124" t="s">
        <v>3307</v>
      </c>
      <c r="G1124">
        <v>3</v>
      </c>
      <c r="H1124" s="2">
        <v>42971.355474537027</v>
      </c>
      <c r="I1124" s="2">
        <v>43571.132256944453</v>
      </c>
      <c r="J1124" t="s">
        <v>3308</v>
      </c>
    </row>
    <row r="1125" spans="1:10" x14ac:dyDescent="0.15">
      <c r="A1125">
        <v>82361529</v>
      </c>
      <c r="B1125" s="3" t="str">
        <f>HYPERLINK("https://github.com/lunny/gop", "https://github.com/lunny/gop")</f>
        <v>https://github.com/lunny/gop</v>
      </c>
      <c r="D1125">
        <v>51</v>
      </c>
      <c r="E1125" t="s">
        <v>3309</v>
      </c>
      <c r="F1125" t="s">
        <v>3310</v>
      </c>
      <c r="G1125">
        <v>6</v>
      </c>
      <c r="H1125" s="2">
        <v>42784.190138888887</v>
      </c>
      <c r="I1125" s="2">
        <v>43553.752314814818</v>
      </c>
      <c r="J1125" t="s">
        <v>3311</v>
      </c>
    </row>
    <row r="1126" spans="1:10" x14ac:dyDescent="0.15">
      <c r="A1126">
        <v>150050476</v>
      </c>
      <c r="B1126" s="3" t="str">
        <f>HYPERLINK("https://github.com/noelyahan/mergi", "https://github.com/noelyahan/mergi")</f>
        <v>https://github.com/noelyahan/mergi</v>
      </c>
      <c r="D1126">
        <v>50</v>
      </c>
      <c r="E1126" t="s">
        <v>3312</v>
      </c>
      <c r="F1126" t="s">
        <v>3313</v>
      </c>
      <c r="G1126">
        <v>6</v>
      </c>
      <c r="H1126" s="2">
        <v>43367.153321759259</v>
      </c>
      <c r="I1126" s="2">
        <v>43577.646284722221</v>
      </c>
      <c r="J1126" t="s">
        <v>3314</v>
      </c>
    </row>
    <row r="1127" spans="1:10" x14ac:dyDescent="0.15">
      <c r="A1127">
        <v>67043953</v>
      </c>
      <c r="B1127" s="3" t="str">
        <f>HYPERLINK("https://github.com/osamingo/indigo", "https://github.com/osamingo/indigo")</f>
        <v>https://github.com/osamingo/indigo</v>
      </c>
      <c r="D1127">
        <v>50</v>
      </c>
      <c r="E1127" t="s">
        <v>3315</v>
      </c>
      <c r="F1127" t="s">
        <v>3316</v>
      </c>
      <c r="G1127">
        <v>7</v>
      </c>
      <c r="H1127" s="2">
        <v>42613.595659722218</v>
      </c>
      <c r="I1127" s="2">
        <v>43576.545300925929</v>
      </c>
      <c r="J1127" t="s">
        <v>3317</v>
      </c>
    </row>
    <row r="1128" spans="1:10" x14ac:dyDescent="0.15">
      <c r="A1128">
        <v>34182753</v>
      </c>
      <c r="B1128" s="3" t="str">
        <f>HYPERLINK("https://github.com/tmc/graphql", "https://github.com/tmc/graphql")</f>
        <v>https://github.com/tmc/graphql</v>
      </c>
      <c r="D1128">
        <v>50</v>
      </c>
      <c r="E1128" t="s">
        <v>284</v>
      </c>
      <c r="F1128" t="s">
        <v>3318</v>
      </c>
      <c r="G1128">
        <v>6</v>
      </c>
      <c r="H1128" s="2">
        <v>42112.879074074073</v>
      </c>
      <c r="I1128" s="2">
        <v>43522.808599537027</v>
      </c>
      <c r="J1128" t="s">
        <v>3319</v>
      </c>
    </row>
    <row r="1129" spans="1:10" x14ac:dyDescent="0.15">
      <c r="A1129">
        <v>379233</v>
      </c>
      <c r="B1129" s="3" t="str">
        <f>HYPERLINK("https://github.com/stesla/gospecify", "https://github.com/stesla/gospecify")</f>
        <v>https://github.com/stesla/gospecify</v>
      </c>
      <c r="D1129">
        <v>50</v>
      </c>
      <c r="E1129" t="s">
        <v>3320</v>
      </c>
      <c r="F1129" t="s">
        <v>3321</v>
      </c>
      <c r="G1129">
        <v>5</v>
      </c>
      <c r="H1129" s="2">
        <v>40137.273946759262</v>
      </c>
      <c r="I1129" s="2">
        <v>43311.08902777778</v>
      </c>
      <c r="J1129" t="s">
        <v>3322</v>
      </c>
    </row>
    <row r="1130" spans="1:10" x14ac:dyDescent="0.15">
      <c r="A1130">
        <v>41416357</v>
      </c>
      <c r="B1130" s="3" t="str">
        <f>HYPERLINK("https://github.com/bahlo/abutil", "https://github.com/bahlo/abutil")</f>
        <v>https://github.com/bahlo/abutil</v>
      </c>
      <c r="D1130">
        <v>50</v>
      </c>
      <c r="E1130" t="s">
        <v>3323</v>
      </c>
      <c r="F1130" t="s">
        <v>3324</v>
      </c>
      <c r="G1130">
        <v>4</v>
      </c>
      <c r="H1130" s="2">
        <v>42242.384942129633</v>
      </c>
      <c r="I1130" s="2">
        <v>43540.443530092591</v>
      </c>
      <c r="J1130" t="s">
        <v>3325</v>
      </c>
    </row>
    <row r="1131" spans="1:10" x14ac:dyDescent="0.15">
      <c r="A1131">
        <v>123235927</v>
      </c>
      <c r="B1131" s="3" t="str">
        <f>HYPERLINK("https://github.com/xujiajun/godbal", "https://github.com/xujiajun/godbal")</f>
        <v>https://github.com/xujiajun/godbal</v>
      </c>
      <c r="D1131">
        <v>50</v>
      </c>
      <c r="E1131" t="s">
        <v>3326</v>
      </c>
      <c r="F1131" t="s">
        <v>3327</v>
      </c>
      <c r="G1131">
        <v>27</v>
      </c>
      <c r="H1131" s="2">
        <v>43159.24145833333</v>
      </c>
      <c r="I1131" s="2">
        <v>43573.292511574073</v>
      </c>
      <c r="J1131" t="s">
        <v>3328</v>
      </c>
    </row>
    <row r="1132" spans="1:10" x14ac:dyDescent="0.15">
      <c r="A1132">
        <v>73917680</v>
      </c>
      <c r="B1132" s="3" t="str">
        <f>HYPERLINK("https://github.com/icza/minquery", "https://github.com/icza/minquery")</f>
        <v>https://github.com/icza/minquery</v>
      </c>
      <c r="D1132">
        <v>49</v>
      </c>
      <c r="E1132" t="s">
        <v>3329</v>
      </c>
      <c r="F1132" t="s">
        <v>3330</v>
      </c>
      <c r="G1132">
        <v>16</v>
      </c>
      <c r="H1132" s="2">
        <v>42690.516053240739</v>
      </c>
      <c r="I1132" s="2">
        <v>43579.057488425933</v>
      </c>
      <c r="J1132" t="s">
        <v>3331</v>
      </c>
    </row>
    <row r="1133" spans="1:10" x14ac:dyDescent="0.15">
      <c r="A1133">
        <v>24432061</v>
      </c>
      <c r="B1133" s="3" t="str">
        <f>HYPERLINK("https://github.com/tyler-smith/golang-sql-benchmark", "https://github.com/tyler-smith/golang-sql-benchmark")</f>
        <v>https://github.com/tyler-smith/golang-sql-benchmark</v>
      </c>
      <c r="D1133">
        <v>49</v>
      </c>
      <c r="E1133" t="s">
        <v>3332</v>
      </c>
      <c r="F1133" t="s">
        <v>3333</v>
      </c>
      <c r="G1133">
        <v>7</v>
      </c>
      <c r="H1133" s="2">
        <v>41906.866273148153</v>
      </c>
      <c r="I1133" s="2">
        <v>43555.266608796293</v>
      </c>
      <c r="J1133" t="s">
        <v>3334</v>
      </c>
    </row>
    <row r="1134" spans="1:10" x14ac:dyDescent="0.15">
      <c r="A1134">
        <v>76962014</v>
      </c>
      <c r="B1134" s="3" t="str">
        <f>HYPERLINK("https://github.com/toby3d/telegraph", "https://github.com/toby3d/telegraph")</f>
        <v>https://github.com/toby3d/telegraph</v>
      </c>
      <c r="D1134">
        <v>49</v>
      </c>
      <c r="E1134" t="s">
        <v>3335</v>
      </c>
      <c r="F1134" t="s">
        <v>3336</v>
      </c>
      <c r="G1134">
        <v>4</v>
      </c>
      <c r="H1134" s="2">
        <v>42724.591863425929</v>
      </c>
      <c r="I1134" s="2">
        <v>43560.407881944448</v>
      </c>
      <c r="J1134" t="s">
        <v>3337</v>
      </c>
    </row>
    <row r="1135" spans="1:10" x14ac:dyDescent="0.15">
      <c r="A1135">
        <v>80319206</v>
      </c>
      <c r="B1135" s="3" t="str">
        <f>HYPERLINK("https://github.com/rogeralsing/gophers", "https://github.com/rogeralsing/gophers")</f>
        <v>https://github.com/rogeralsing/gophers</v>
      </c>
      <c r="D1135">
        <v>49</v>
      </c>
      <c r="E1135" t="s">
        <v>764</v>
      </c>
      <c r="F1135" t="s">
        <v>3338</v>
      </c>
      <c r="G1135">
        <v>2</v>
      </c>
      <c r="H1135" s="2">
        <v>42763.999016203707</v>
      </c>
      <c r="I1135" s="2">
        <v>43579.624861111108</v>
      </c>
      <c r="J1135" t="s">
        <v>3339</v>
      </c>
    </row>
    <row r="1136" spans="1:10" x14ac:dyDescent="0.15">
      <c r="A1136">
        <v>63751802</v>
      </c>
      <c r="B1136" s="3" t="str">
        <f>HYPERLINK("https://github.com/zpatrick/fireball", "https://github.com/zpatrick/fireball")</f>
        <v>https://github.com/zpatrick/fireball</v>
      </c>
      <c r="D1136">
        <v>49</v>
      </c>
      <c r="E1136" t="s">
        <v>3340</v>
      </c>
      <c r="F1136" t="s">
        <v>3341</v>
      </c>
      <c r="G1136">
        <v>4</v>
      </c>
      <c r="H1136" s="2">
        <v>42571.211736111109</v>
      </c>
      <c r="I1136" s="2">
        <v>43548.111712962957</v>
      </c>
      <c r="J1136" t="s">
        <v>3342</v>
      </c>
    </row>
    <row r="1137" spans="1:10" x14ac:dyDescent="0.15">
      <c r="A1137">
        <v>105750522</v>
      </c>
      <c r="B1137" s="3" t="str">
        <f>HYPERLINK("https://github.com/vardius/message-bus", "https://github.com/vardius/message-bus")</f>
        <v>https://github.com/vardius/message-bus</v>
      </c>
      <c r="D1137">
        <v>49</v>
      </c>
      <c r="E1137" t="s">
        <v>3343</v>
      </c>
      <c r="F1137" t="s">
        <v>3344</v>
      </c>
      <c r="G1137">
        <v>7</v>
      </c>
      <c r="H1137" s="2">
        <v>43012.38789351852</v>
      </c>
      <c r="I1137" s="2">
        <v>43580.376886574071</v>
      </c>
      <c r="J1137" t="s">
        <v>3345</v>
      </c>
    </row>
    <row r="1138" spans="1:10" x14ac:dyDescent="0.15">
      <c r="A1138">
        <v>21199134</v>
      </c>
      <c r="B1138" s="3" t="str">
        <f>HYPERLINK("https://github.com/go-restit/restit", "https://github.com/go-restit/restit")</f>
        <v>https://github.com/go-restit/restit</v>
      </c>
      <c r="D1138">
        <v>49</v>
      </c>
      <c r="E1138" t="s">
        <v>3346</v>
      </c>
      <c r="F1138" t="s">
        <v>3347</v>
      </c>
      <c r="G1138">
        <v>1</v>
      </c>
      <c r="H1138" s="2">
        <v>41815.434560185182</v>
      </c>
      <c r="I1138" s="2">
        <v>43523.695011574076</v>
      </c>
      <c r="J1138" t="s">
        <v>3348</v>
      </c>
    </row>
    <row r="1139" spans="1:10" x14ac:dyDescent="0.15">
      <c r="A1139">
        <v>148990231</v>
      </c>
      <c r="B1139" s="3" t="str">
        <f>HYPERLINK("https://github.com/DrmagicE/gmqtt", "https://github.com/DrmagicE/gmqtt")</f>
        <v>https://github.com/DrmagicE/gmqtt</v>
      </c>
      <c r="D1139">
        <v>49</v>
      </c>
      <c r="E1139" t="s">
        <v>3349</v>
      </c>
      <c r="F1139" t="s">
        <v>3350</v>
      </c>
      <c r="G1139">
        <v>2</v>
      </c>
      <c r="H1139" s="2">
        <v>43359.490474537037</v>
      </c>
      <c r="I1139" s="2">
        <v>43577.807719907411</v>
      </c>
      <c r="J1139" t="s">
        <v>3351</v>
      </c>
    </row>
    <row r="1140" spans="1:10" x14ac:dyDescent="0.15">
      <c r="A1140">
        <v>106560493</v>
      </c>
      <c r="B1140" s="3" t="str">
        <f>HYPERLINK("https://github.com/claygod/transaction", "https://github.com/claygod/transaction")</f>
        <v>https://github.com/claygod/transaction</v>
      </c>
      <c r="D1140">
        <v>49</v>
      </c>
      <c r="E1140" t="s">
        <v>3352</v>
      </c>
      <c r="F1140" t="s">
        <v>3353</v>
      </c>
      <c r="G1140">
        <v>5</v>
      </c>
      <c r="H1140" s="2">
        <v>43019.576736111107</v>
      </c>
      <c r="I1140" s="2">
        <v>43562.479849537027</v>
      </c>
      <c r="J1140" t="s">
        <v>3354</v>
      </c>
    </row>
    <row r="1141" spans="1:10" x14ac:dyDescent="0.15">
      <c r="A1141">
        <v>28453997</v>
      </c>
      <c r="B1141" s="3" t="str">
        <f>HYPERLINK("https://github.com/mailhog/smtp", "https://github.com/mailhog/smtp")</f>
        <v>https://github.com/mailhog/smtp</v>
      </c>
      <c r="D1141">
        <v>49</v>
      </c>
      <c r="E1141" t="s">
        <v>3355</v>
      </c>
      <c r="F1141" t="s">
        <v>3356</v>
      </c>
      <c r="G1141">
        <v>8</v>
      </c>
      <c r="H1141" s="2">
        <v>41997.676261574074</v>
      </c>
      <c r="I1141" s="2">
        <v>43418.800023148149</v>
      </c>
      <c r="J1141" t="s">
        <v>3357</v>
      </c>
    </row>
    <row r="1142" spans="1:10" x14ac:dyDescent="0.15">
      <c r="A1142">
        <v>43999744</v>
      </c>
      <c r="B1142" s="3" t="str">
        <f>HYPERLINK("https://github.com/svcavallar/celeriac.v1", "https://github.com/svcavallar/celeriac.v1")</f>
        <v>https://github.com/svcavallar/celeriac.v1</v>
      </c>
      <c r="D1142">
        <v>49</v>
      </c>
      <c r="E1142" t="s">
        <v>3358</v>
      </c>
      <c r="F1142" t="s">
        <v>3359</v>
      </c>
      <c r="G1142">
        <v>6</v>
      </c>
      <c r="H1142" s="2">
        <v>42287.310798611114</v>
      </c>
      <c r="I1142" s="2">
        <v>43561.121261574073</v>
      </c>
      <c r="J1142" t="s">
        <v>3360</v>
      </c>
    </row>
    <row r="1143" spans="1:10" x14ac:dyDescent="0.15">
      <c r="A1143">
        <v>101518230</v>
      </c>
      <c r="B1143" s="3" t="str">
        <f>HYPERLINK("https://github.com/plandem/xlsx", "https://github.com/plandem/xlsx")</f>
        <v>https://github.com/plandem/xlsx</v>
      </c>
      <c r="D1143">
        <v>48</v>
      </c>
      <c r="E1143" t="s">
        <v>440</v>
      </c>
      <c r="F1143" t="s">
        <v>3361</v>
      </c>
      <c r="G1143">
        <v>3</v>
      </c>
      <c r="H1143" s="2">
        <v>42973.966412037043</v>
      </c>
      <c r="I1143" s="2">
        <v>43577.882280092592</v>
      </c>
      <c r="J1143" t="s">
        <v>3362</v>
      </c>
    </row>
    <row r="1144" spans="1:10" x14ac:dyDescent="0.15">
      <c r="A1144">
        <v>144612670</v>
      </c>
      <c r="B1144" s="3" t="str">
        <f>HYPERLINK("https://github.com/Parquery/gocontracts", "https://github.com/Parquery/gocontracts")</f>
        <v>https://github.com/Parquery/gocontracts</v>
      </c>
      <c r="D1144">
        <v>48</v>
      </c>
      <c r="E1144" t="s">
        <v>3363</v>
      </c>
      <c r="F1144" t="s">
        <v>3364</v>
      </c>
      <c r="G1144">
        <v>2</v>
      </c>
      <c r="H1144" s="2">
        <v>43325.731805555559</v>
      </c>
      <c r="I1144" s="2">
        <v>43555.110277777778</v>
      </c>
      <c r="J1144" t="s">
        <v>3365</v>
      </c>
    </row>
    <row r="1145" spans="1:10" x14ac:dyDescent="0.15">
      <c r="A1145">
        <v>144809867</v>
      </c>
      <c r="B1145" s="3" t="str">
        <f>HYPERLINK("https://github.com/alwindoss/morse", "https://github.com/alwindoss/morse")</f>
        <v>https://github.com/alwindoss/morse</v>
      </c>
      <c r="D1145">
        <v>48</v>
      </c>
      <c r="E1145" t="s">
        <v>3366</v>
      </c>
      <c r="F1145" t="s">
        <v>3367</v>
      </c>
      <c r="G1145">
        <v>7</v>
      </c>
      <c r="H1145" s="2">
        <v>43327.230219907397</v>
      </c>
      <c r="I1145" s="2">
        <v>43580.163472222222</v>
      </c>
      <c r="J1145" t="s">
        <v>3368</v>
      </c>
    </row>
    <row r="1146" spans="1:10" x14ac:dyDescent="0.15">
      <c r="A1146">
        <v>1737098</v>
      </c>
      <c r="B1146" s="3" t="str">
        <f>HYPERLINK("https://github.com/bolknote/go-gd", "https://github.com/bolknote/go-gd")</f>
        <v>https://github.com/bolknote/go-gd</v>
      </c>
      <c r="D1146">
        <v>48</v>
      </c>
      <c r="E1146" t="s">
        <v>3369</v>
      </c>
      <c r="F1146" t="s">
        <v>3370</v>
      </c>
      <c r="G1146">
        <v>12</v>
      </c>
      <c r="H1146" s="2">
        <v>40675.273541666669</v>
      </c>
      <c r="I1146" s="2">
        <v>43531.498171296298</v>
      </c>
      <c r="J1146" t="s">
        <v>3371</v>
      </c>
    </row>
    <row r="1147" spans="1:10" x14ac:dyDescent="0.15">
      <c r="A1147">
        <v>79062609</v>
      </c>
      <c r="B1147" s="3" t="str">
        <f>HYPERLINK("https://github.com/rafaeljesus/nsq-event-bus", "https://github.com/rafaeljesus/nsq-event-bus")</f>
        <v>https://github.com/rafaeljesus/nsq-event-bus</v>
      </c>
      <c r="D1147">
        <v>48</v>
      </c>
      <c r="E1147" t="s">
        <v>3372</v>
      </c>
      <c r="F1147" t="s">
        <v>3373</v>
      </c>
      <c r="G1147">
        <v>9</v>
      </c>
      <c r="H1147" s="2">
        <v>42750.920289351852</v>
      </c>
      <c r="I1147" s="2">
        <v>43568.855150462958</v>
      </c>
      <c r="J1147" t="s">
        <v>3374</v>
      </c>
    </row>
    <row r="1148" spans="1:10" x14ac:dyDescent="0.15">
      <c r="A1148">
        <v>37403869</v>
      </c>
      <c r="B1148" s="3" t="str">
        <f>HYPERLINK("https://github.com/paked/configure", "https://github.com/paked/configure")</f>
        <v>https://github.com/paked/configure</v>
      </c>
      <c r="D1148">
        <v>48</v>
      </c>
      <c r="E1148" t="s">
        <v>3375</v>
      </c>
      <c r="F1148" t="s">
        <v>3376</v>
      </c>
      <c r="G1148">
        <v>8</v>
      </c>
      <c r="H1148" s="2">
        <v>42169.324259259258</v>
      </c>
      <c r="I1148" s="2">
        <v>43577.680219907408</v>
      </c>
      <c r="J1148" t="s">
        <v>3377</v>
      </c>
    </row>
    <row r="1149" spans="1:10" x14ac:dyDescent="0.15">
      <c r="A1149">
        <v>31917982</v>
      </c>
      <c r="B1149" s="3" t="str">
        <f>HYPERLINK("https://github.com/alixaxel/genex", "https://github.com/alixaxel/genex")</f>
        <v>https://github.com/alixaxel/genex</v>
      </c>
      <c r="D1149">
        <v>48</v>
      </c>
      <c r="E1149" t="s">
        <v>3378</v>
      </c>
      <c r="F1149" t="s">
        <v>3379</v>
      </c>
      <c r="G1149">
        <v>4</v>
      </c>
      <c r="H1149" s="2">
        <v>42072.808518518519</v>
      </c>
      <c r="I1149" s="2">
        <v>43542.061898148153</v>
      </c>
      <c r="J1149" t="s">
        <v>3380</v>
      </c>
    </row>
    <row r="1150" spans="1:10" x14ac:dyDescent="0.15">
      <c r="A1150">
        <v>50883366</v>
      </c>
      <c r="B1150" s="3" t="str">
        <f>HYPERLINK("https://github.com/paulmach/osm", "https://github.com/paulmach/osm")</f>
        <v>https://github.com/paulmach/osm</v>
      </c>
      <c r="D1150">
        <v>48</v>
      </c>
      <c r="E1150" t="s">
        <v>3381</v>
      </c>
      <c r="F1150" t="s">
        <v>3382</v>
      </c>
      <c r="G1150">
        <v>6</v>
      </c>
      <c r="H1150" s="2">
        <v>42402.041006944448</v>
      </c>
      <c r="I1150" s="2">
        <v>43573.203576388893</v>
      </c>
      <c r="J1150" t="s">
        <v>3383</v>
      </c>
    </row>
    <row r="1151" spans="1:10" x14ac:dyDescent="0.15">
      <c r="A1151">
        <v>62889804</v>
      </c>
      <c r="B1151" s="3" t="str">
        <f>HYPERLINK("https://github.com/mozillazg/go-unidecode", "https://github.com/mozillazg/go-unidecode")</f>
        <v>https://github.com/mozillazg/go-unidecode</v>
      </c>
      <c r="D1151">
        <v>47</v>
      </c>
      <c r="E1151" t="s">
        <v>3384</v>
      </c>
      <c r="F1151" t="s">
        <v>3385</v>
      </c>
      <c r="G1151">
        <v>9</v>
      </c>
      <c r="H1151" s="2">
        <v>42559.552199074067</v>
      </c>
      <c r="I1151" s="2">
        <v>43566.867638888893</v>
      </c>
      <c r="J1151" t="s">
        <v>3386</v>
      </c>
    </row>
    <row r="1152" spans="1:10" x14ac:dyDescent="0.15">
      <c r="A1152">
        <v>1505072</v>
      </c>
      <c r="B1152" s="3" t="str">
        <f>HYPERLINK("https://github.com/dchest/stemmer", "https://github.com/dchest/stemmer")</f>
        <v>https://github.com/dchest/stemmer</v>
      </c>
      <c r="D1152">
        <v>47</v>
      </c>
      <c r="E1152" t="s">
        <v>3387</v>
      </c>
      <c r="F1152" t="s">
        <v>3388</v>
      </c>
      <c r="G1152">
        <v>2</v>
      </c>
      <c r="H1152" s="2">
        <v>40623.08902777778</v>
      </c>
      <c r="I1152" s="2">
        <v>43564.092187499999</v>
      </c>
      <c r="J1152" t="s">
        <v>3389</v>
      </c>
    </row>
    <row r="1153" spans="1:10" x14ac:dyDescent="0.15">
      <c r="A1153">
        <v>89818347</v>
      </c>
      <c r="B1153" s="3" t="str">
        <f>HYPERLINK("https://github.com/Guitarbum722/align", "https://github.com/Guitarbum722/align")</f>
        <v>https://github.com/Guitarbum722/align</v>
      </c>
      <c r="D1153">
        <v>47</v>
      </c>
      <c r="E1153" t="s">
        <v>3390</v>
      </c>
      <c r="F1153" t="s">
        <v>3391</v>
      </c>
      <c r="G1153">
        <v>3</v>
      </c>
      <c r="H1153" s="2">
        <v>42854.973865740743</v>
      </c>
      <c r="I1153" s="2">
        <v>43552.536446759259</v>
      </c>
      <c r="J1153" t="s">
        <v>3392</v>
      </c>
    </row>
    <row r="1154" spans="1:10" x14ac:dyDescent="0.15">
      <c r="A1154">
        <v>41804101</v>
      </c>
      <c r="B1154" s="3" t="str">
        <f>HYPERLINK("https://github.com/yarf-framework/yarf", "https://github.com/yarf-framework/yarf")</f>
        <v>https://github.com/yarf-framework/yarf</v>
      </c>
      <c r="D1154">
        <v>47</v>
      </c>
      <c r="E1154" t="s">
        <v>3393</v>
      </c>
      <c r="F1154" t="s">
        <v>3394</v>
      </c>
      <c r="G1154">
        <v>3</v>
      </c>
      <c r="H1154" s="2">
        <v>42249.581099537027</v>
      </c>
      <c r="I1154" s="2">
        <v>43543.603761574072</v>
      </c>
      <c r="J1154" t="s">
        <v>3395</v>
      </c>
    </row>
    <row r="1155" spans="1:10" x14ac:dyDescent="0.15">
      <c r="A1155">
        <v>92344024</v>
      </c>
      <c r="B1155" s="3" t="str">
        <f>HYPERLINK("https://github.com/teris-io/cli", "https://github.com/teris-io/cli")</f>
        <v>https://github.com/teris-io/cli</v>
      </c>
      <c r="D1155">
        <v>47</v>
      </c>
      <c r="E1155" t="s">
        <v>111</v>
      </c>
      <c r="F1155" t="s">
        <v>3396</v>
      </c>
      <c r="G1155">
        <v>5</v>
      </c>
      <c r="H1155" s="2">
        <v>42879.963275462957</v>
      </c>
      <c r="I1155" s="2">
        <v>43573.717847222222</v>
      </c>
      <c r="J1155" t="s">
        <v>3397</v>
      </c>
    </row>
    <row r="1156" spans="1:10" x14ac:dyDescent="0.15">
      <c r="A1156">
        <v>34802484</v>
      </c>
      <c r="B1156" s="3" t="str">
        <f>HYPERLINK("https://github.com/toorop/go-dkim", "https://github.com/toorop/go-dkim")</f>
        <v>https://github.com/toorop/go-dkim</v>
      </c>
      <c r="D1156">
        <v>46</v>
      </c>
      <c r="E1156" t="s">
        <v>3398</v>
      </c>
      <c r="F1156" t="s">
        <v>3399</v>
      </c>
      <c r="G1156">
        <v>18</v>
      </c>
      <c r="H1156" s="2">
        <v>42123.651701388888</v>
      </c>
      <c r="I1156" s="2">
        <v>43549.242384259262</v>
      </c>
      <c r="J1156" t="s">
        <v>3400</v>
      </c>
    </row>
    <row r="1157" spans="1:10" x14ac:dyDescent="0.15">
      <c r="A1157">
        <v>25317859</v>
      </c>
      <c r="B1157" s="3" t="str">
        <f>HYPERLINK("https://github.com/blevesearch/segment", "https://github.com/blevesearch/segment")</f>
        <v>https://github.com/blevesearch/segment</v>
      </c>
      <c r="D1157">
        <v>46</v>
      </c>
      <c r="E1157" t="s">
        <v>3401</v>
      </c>
      <c r="F1157" t="s">
        <v>3402</v>
      </c>
      <c r="G1157">
        <v>6</v>
      </c>
      <c r="H1157" s="2">
        <v>41928.808634259258</v>
      </c>
      <c r="I1157" s="2">
        <v>43572.812430555547</v>
      </c>
      <c r="J1157" t="s">
        <v>3403</v>
      </c>
    </row>
    <row r="1158" spans="1:10" x14ac:dyDescent="0.15">
      <c r="A1158">
        <v>40277681</v>
      </c>
      <c r="B1158" s="3" t="str">
        <f>HYPERLINK("https://github.com/alixaxel/pagerank", "https://github.com/alixaxel/pagerank")</f>
        <v>https://github.com/alixaxel/pagerank</v>
      </c>
      <c r="D1158">
        <v>45</v>
      </c>
      <c r="E1158" t="s">
        <v>3404</v>
      </c>
      <c r="F1158" t="s">
        <v>3405</v>
      </c>
      <c r="G1158">
        <v>9</v>
      </c>
      <c r="H1158" s="2">
        <v>42222.064976851849</v>
      </c>
      <c r="I1158" s="2">
        <v>43576.507268518522</v>
      </c>
      <c r="J1158" t="s">
        <v>3406</v>
      </c>
    </row>
    <row r="1159" spans="1:10" x14ac:dyDescent="0.15">
      <c r="A1159">
        <v>31507595</v>
      </c>
      <c r="B1159" s="3" t="str">
        <f>HYPERLINK("https://github.com/TheCreeper/go-notify", "https://github.com/TheCreeper/go-notify")</f>
        <v>https://github.com/TheCreeper/go-notify</v>
      </c>
      <c r="D1159">
        <v>45</v>
      </c>
      <c r="E1159" t="s">
        <v>3407</v>
      </c>
      <c r="F1159" t="s">
        <v>3408</v>
      </c>
      <c r="G1159">
        <v>9</v>
      </c>
      <c r="H1159" s="2">
        <v>42064.806759259263</v>
      </c>
      <c r="I1159" s="2">
        <v>43562.748796296299</v>
      </c>
      <c r="J1159" t="s">
        <v>3409</v>
      </c>
    </row>
    <row r="1160" spans="1:10" x14ac:dyDescent="0.15">
      <c r="A1160">
        <v>38230743</v>
      </c>
      <c r="B1160" s="3" t="str">
        <f>HYPERLINK("https://github.com/firstrow/go-outdated", "https://github.com/firstrow/go-outdated")</f>
        <v>https://github.com/firstrow/go-outdated</v>
      </c>
      <c r="D1160">
        <v>45</v>
      </c>
      <c r="E1160" t="s">
        <v>3410</v>
      </c>
      <c r="F1160" t="s">
        <v>3411</v>
      </c>
      <c r="G1160">
        <v>2</v>
      </c>
      <c r="H1160" s="2">
        <v>42184.257395833331</v>
      </c>
      <c r="I1160" s="2">
        <v>43538.379004629627</v>
      </c>
      <c r="J1160" t="s">
        <v>3412</v>
      </c>
    </row>
    <row r="1161" spans="1:10" x14ac:dyDescent="0.15">
      <c r="A1161">
        <v>22430054</v>
      </c>
      <c r="B1161" s="3" t="str">
        <f>HYPERLINK("https://github.com/agnivade/levenshtein", "https://github.com/agnivade/levenshtein")</f>
        <v>https://github.com/agnivade/levenshtein</v>
      </c>
      <c r="D1161">
        <v>45</v>
      </c>
      <c r="E1161" t="s">
        <v>3413</v>
      </c>
      <c r="F1161" t="s">
        <v>3414</v>
      </c>
      <c r="G1161">
        <v>3</v>
      </c>
      <c r="H1161" s="2">
        <v>41850.586053240739</v>
      </c>
      <c r="I1161" s="2">
        <v>43575.976736111108</v>
      </c>
      <c r="J1161" t="s">
        <v>3415</v>
      </c>
    </row>
    <row r="1162" spans="1:10" x14ac:dyDescent="0.15">
      <c r="A1162">
        <v>71175403</v>
      </c>
      <c r="B1162" s="3" t="str">
        <f>HYPERLINK("https://github.com/asticode/go-astitodo", "https://github.com/asticode/go-astitodo")</f>
        <v>https://github.com/asticode/go-astitodo</v>
      </c>
      <c r="D1162">
        <v>44</v>
      </c>
      <c r="E1162" t="s">
        <v>3416</v>
      </c>
      <c r="F1162" t="s">
        <v>3417</v>
      </c>
      <c r="G1162">
        <v>5</v>
      </c>
      <c r="H1162" s="2">
        <v>42660.827499999999</v>
      </c>
      <c r="I1162" s="2">
        <v>43545.058425925927</v>
      </c>
      <c r="J1162" t="s">
        <v>3418</v>
      </c>
    </row>
    <row r="1163" spans="1:10" x14ac:dyDescent="0.15">
      <c r="A1163">
        <v>41888128</v>
      </c>
      <c r="B1163" s="3" t="str">
        <f>HYPERLINK("https://github.com/ChrisMcKenzie/dropship", "https://github.com/ChrisMcKenzie/dropship")</f>
        <v>https://github.com/ChrisMcKenzie/dropship</v>
      </c>
      <c r="D1163">
        <v>44</v>
      </c>
      <c r="E1163" t="s">
        <v>3419</v>
      </c>
      <c r="F1163" t="s">
        <v>3420</v>
      </c>
      <c r="G1163">
        <v>7</v>
      </c>
      <c r="H1163" s="2">
        <v>42250.964803240742</v>
      </c>
      <c r="I1163" s="2">
        <v>43553.517754629633</v>
      </c>
      <c r="J1163" t="s">
        <v>3421</v>
      </c>
    </row>
    <row r="1164" spans="1:10" x14ac:dyDescent="0.15">
      <c r="A1164">
        <v>16059045</v>
      </c>
      <c r="B1164" s="3" t="str">
        <f>HYPERLINK("https://github.com/emiddleton/gads", "https://github.com/emiddleton/gads")</f>
        <v>https://github.com/emiddleton/gads</v>
      </c>
      <c r="D1164">
        <v>44</v>
      </c>
      <c r="E1164" t="s">
        <v>3422</v>
      </c>
      <c r="F1164" t="s">
        <v>3423</v>
      </c>
      <c r="G1164">
        <v>40</v>
      </c>
      <c r="H1164" s="2">
        <v>41659.09878472222</v>
      </c>
      <c r="I1164" s="2">
        <v>43571.906226851846</v>
      </c>
      <c r="J1164" t="s">
        <v>3424</v>
      </c>
    </row>
    <row r="1165" spans="1:10" x14ac:dyDescent="0.15">
      <c r="A1165">
        <v>134971016</v>
      </c>
      <c r="B1165" s="3" t="str">
        <f>HYPERLINK("https://github.com/maxatome/go-testdeep", "https://github.com/maxatome/go-testdeep")</f>
        <v>https://github.com/maxatome/go-testdeep</v>
      </c>
      <c r="D1165">
        <v>44</v>
      </c>
      <c r="E1165" t="s">
        <v>3425</v>
      </c>
      <c r="F1165" t="s">
        <v>3426</v>
      </c>
      <c r="G1165">
        <v>1</v>
      </c>
      <c r="H1165" s="2">
        <v>43246.62740740741</v>
      </c>
      <c r="I1165" s="2">
        <v>43551.644201388888</v>
      </c>
      <c r="J1165" t="s">
        <v>3427</v>
      </c>
    </row>
    <row r="1166" spans="1:10" x14ac:dyDescent="0.15">
      <c r="A1166">
        <v>159152840</v>
      </c>
      <c r="B1166" s="3" t="str">
        <f>HYPERLINK("https://github.com/knocknote/octillery", "https://github.com/knocknote/octillery")</f>
        <v>https://github.com/knocknote/octillery</v>
      </c>
      <c r="D1166">
        <v>44</v>
      </c>
      <c r="E1166" t="s">
        <v>3428</v>
      </c>
      <c r="F1166" t="s">
        <v>3429</v>
      </c>
      <c r="G1166">
        <v>4</v>
      </c>
      <c r="H1166" s="2">
        <v>43430.444155092591</v>
      </c>
      <c r="I1166" s="2">
        <v>43571.137615740743</v>
      </c>
      <c r="J1166" t="s">
        <v>3430</v>
      </c>
    </row>
    <row r="1167" spans="1:10" x14ac:dyDescent="0.15">
      <c r="A1167">
        <v>99039045</v>
      </c>
      <c r="B1167" s="3" t="str">
        <f>HYPERLINK("https://github.com/dixonwille/skywalker", "https://github.com/dixonwille/skywalker")</f>
        <v>https://github.com/dixonwille/skywalker</v>
      </c>
      <c r="D1167">
        <v>43</v>
      </c>
      <c r="E1167" t="s">
        <v>3431</v>
      </c>
      <c r="F1167" t="s">
        <v>3432</v>
      </c>
      <c r="G1167">
        <v>6</v>
      </c>
      <c r="H1167" s="2">
        <v>42948.839178240742</v>
      </c>
      <c r="I1167" s="2">
        <v>43567.949317129627</v>
      </c>
      <c r="J1167" t="s">
        <v>3433</v>
      </c>
    </row>
    <row r="1168" spans="1:10" x14ac:dyDescent="0.15">
      <c r="A1168">
        <v>95006858</v>
      </c>
      <c r="B1168" s="3" t="str">
        <f>HYPERLINK("https://github.com/kpango/glg", "https://github.com/kpango/glg")</f>
        <v>https://github.com/kpango/glg</v>
      </c>
      <c r="D1168">
        <v>43</v>
      </c>
      <c r="E1168" t="s">
        <v>3434</v>
      </c>
      <c r="F1168" t="s">
        <v>3435</v>
      </c>
      <c r="G1168">
        <v>8</v>
      </c>
      <c r="H1168" s="2">
        <v>42907.559907407413</v>
      </c>
      <c r="I1168" s="2">
        <v>43579.11377314815</v>
      </c>
      <c r="J1168" t="s">
        <v>3436</v>
      </c>
    </row>
    <row r="1169" spans="1:10" x14ac:dyDescent="0.15">
      <c r="A1169">
        <v>18942887</v>
      </c>
      <c r="B1169" s="3" t="str">
        <f>HYPERLINK("https://github.com/alexcesaro/log", "https://github.com/alexcesaro/log")</f>
        <v>https://github.com/alexcesaro/log</v>
      </c>
      <c r="D1169">
        <v>43</v>
      </c>
      <c r="E1169" t="s">
        <v>1354</v>
      </c>
      <c r="F1169" t="s">
        <v>3437</v>
      </c>
      <c r="G1169">
        <v>4</v>
      </c>
      <c r="H1169" s="2">
        <v>41748.605509259258</v>
      </c>
      <c r="I1169" s="2">
        <v>43558.740300925929</v>
      </c>
      <c r="J1169" t="s">
        <v>3438</v>
      </c>
    </row>
    <row r="1170" spans="1:10" x14ac:dyDescent="0.15">
      <c r="A1170">
        <v>151083521</v>
      </c>
      <c r="B1170" s="3" t="str">
        <f>HYPERLINK("https://github.com/rocketlaunchr/dataframe-go", "https://github.com/rocketlaunchr/dataframe-go")</f>
        <v>https://github.com/rocketlaunchr/dataframe-go</v>
      </c>
      <c r="D1170">
        <v>43</v>
      </c>
      <c r="E1170" t="s">
        <v>3439</v>
      </c>
      <c r="F1170" t="s">
        <v>3440</v>
      </c>
      <c r="G1170">
        <v>4</v>
      </c>
      <c r="H1170" s="2">
        <v>43374.513553240737</v>
      </c>
      <c r="I1170" s="2">
        <v>43580.525312500002</v>
      </c>
      <c r="J1170" t="s">
        <v>3441</v>
      </c>
    </row>
    <row r="1171" spans="1:10" x14ac:dyDescent="0.15">
      <c r="A1171">
        <v>49330092</v>
      </c>
      <c r="B1171" s="3" t="str">
        <f>HYPERLINK("https://github.com/mlimaloureiro/golog", "https://github.com/mlimaloureiro/golog")</f>
        <v>https://github.com/mlimaloureiro/golog</v>
      </c>
      <c r="D1171">
        <v>43</v>
      </c>
      <c r="E1171" t="s">
        <v>3442</v>
      </c>
      <c r="F1171" t="s">
        <v>3443</v>
      </c>
      <c r="G1171">
        <v>11</v>
      </c>
      <c r="H1171" s="2">
        <v>42378.655405092592</v>
      </c>
      <c r="I1171" s="2">
        <v>43570.702465277784</v>
      </c>
      <c r="J1171" t="s">
        <v>3444</v>
      </c>
    </row>
    <row r="1172" spans="1:10" x14ac:dyDescent="0.15">
      <c r="A1172">
        <v>138226933</v>
      </c>
      <c r="B1172" s="3" t="str">
        <f>HYPERLINK("https://github.com/nanobox-io/golang-scribble", "https://github.com/nanobox-io/golang-scribble")</f>
        <v>https://github.com/nanobox-io/golang-scribble</v>
      </c>
      <c r="D1172">
        <v>42</v>
      </c>
      <c r="E1172" t="s">
        <v>3445</v>
      </c>
      <c r="F1172" t="s">
        <v>3446</v>
      </c>
      <c r="G1172">
        <v>4</v>
      </c>
      <c r="H1172" s="2">
        <v>43272.926076388889</v>
      </c>
      <c r="I1172" s="2">
        <v>43578.329432870371</v>
      </c>
      <c r="J1172" t="s">
        <v>3447</v>
      </c>
    </row>
    <row r="1173" spans="1:10" x14ac:dyDescent="0.15">
      <c r="A1173">
        <v>137758055</v>
      </c>
      <c r="B1173" s="3" t="str">
        <f>HYPERLINK("https://github.com/trubitsyn/go-zero-width", "https://github.com/trubitsyn/go-zero-width")</f>
        <v>https://github.com/trubitsyn/go-zero-width</v>
      </c>
      <c r="D1173">
        <v>42</v>
      </c>
      <c r="E1173" t="s">
        <v>3448</v>
      </c>
      <c r="F1173" t="s">
        <v>3449</v>
      </c>
      <c r="G1173">
        <v>2</v>
      </c>
      <c r="H1173" s="2">
        <v>43269.579965277779</v>
      </c>
      <c r="I1173" s="2">
        <v>43562.499583333331</v>
      </c>
      <c r="J1173" t="s">
        <v>3450</v>
      </c>
    </row>
    <row r="1174" spans="1:10" x14ac:dyDescent="0.15">
      <c r="A1174">
        <v>152620511</v>
      </c>
      <c r="B1174" s="3" t="str">
        <f>HYPERLINK("https://github.com/zRedShift/mimemagic", "https://github.com/zRedShift/mimemagic")</f>
        <v>https://github.com/zRedShift/mimemagic</v>
      </c>
      <c r="D1174">
        <v>42</v>
      </c>
      <c r="E1174" t="s">
        <v>3451</v>
      </c>
      <c r="F1174" t="s">
        <v>3452</v>
      </c>
      <c r="G1174">
        <v>5</v>
      </c>
      <c r="H1174" s="2">
        <v>43384.675625000003</v>
      </c>
      <c r="I1174" s="2">
        <v>43559.105081018519</v>
      </c>
      <c r="J1174" t="s">
        <v>3453</v>
      </c>
    </row>
    <row r="1175" spans="1:10" x14ac:dyDescent="0.15">
      <c r="A1175">
        <v>89755806</v>
      </c>
      <c r="B1175" s="3" t="str">
        <f>HYPERLINK("https://github.com/adam-hanna/sessions", "https://github.com/adam-hanna/sessions")</f>
        <v>https://github.com/adam-hanna/sessions</v>
      </c>
      <c r="D1175">
        <v>42</v>
      </c>
      <c r="E1175" t="s">
        <v>3454</v>
      </c>
      <c r="F1175" t="s">
        <v>3455</v>
      </c>
      <c r="G1175">
        <v>3</v>
      </c>
      <c r="H1175" s="2">
        <v>42854.04824074074</v>
      </c>
      <c r="I1175" s="2">
        <v>43574.319780092592</v>
      </c>
      <c r="J1175" t="s">
        <v>3456</v>
      </c>
    </row>
    <row r="1176" spans="1:10" x14ac:dyDescent="0.15">
      <c r="A1176">
        <v>27947315</v>
      </c>
      <c r="B1176" s="3" t="str">
        <f>HYPERLINK("https://github.com/aybabtme/portproxy", "https://github.com/aybabtme/portproxy")</f>
        <v>https://github.com/aybabtme/portproxy</v>
      </c>
      <c r="D1176">
        <v>42</v>
      </c>
      <c r="E1176" t="s">
        <v>3457</v>
      </c>
      <c r="F1176" t="s">
        <v>3458</v>
      </c>
      <c r="G1176">
        <v>10</v>
      </c>
      <c r="H1176" s="2">
        <v>41986.123333333337</v>
      </c>
      <c r="I1176" s="2">
        <v>43579.388240740736</v>
      </c>
      <c r="J1176" t="s">
        <v>3459</v>
      </c>
    </row>
    <row r="1177" spans="1:10" x14ac:dyDescent="0.15">
      <c r="A1177">
        <v>28446072</v>
      </c>
      <c r="B1177" s="3" t="str">
        <f>HYPERLINK("https://github.com/ian-kent/linkio", "https://github.com/ian-kent/linkio")</f>
        <v>https://github.com/ian-kent/linkio</v>
      </c>
      <c r="D1177">
        <v>42</v>
      </c>
      <c r="E1177" t="s">
        <v>3460</v>
      </c>
      <c r="F1177" t="s">
        <v>3461</v>
      </c>
      <c r="G1177">
        <v>4</v>
      </c>
      <c r="H1177" s="2">
        <v>41997.451423611114</v>
      </c>
      <c r="I1177" s="2">
        <v>43579.271296296298</v>
      </c>
      <c r="J1177" t="s">
        <v>3462</v>
      </c>
    </row>
    <row r="1178" spans="1:10" x14ac:dyDescent="0.15">
      <c r="A1178">
        <v>94696005</v>
      </c>
      <c r="B1178" s="3" t="str">
        <f>HYPERLINK("https://github.com/artonge/go-csv-tag", "https://github.com/artonge/go-csv-tag")</f>
        <v>https://github.com/artonge/go-csv-tag</v>
      </c>
      <c r="D1178">
        <v>41</v>
      </c>
      <c r="E1178" t="s">
        <v>3463</v>
      </c>
      <c r="F1178" t="s">
        <v>3464</v>
      </c>
      <c r="G1178">
        <v>11</v>
      </c>
      <c r="H1178" s="2">
        <v>42904.64671296296</v>
      </c>
      <c r="I1178" s="2">
        <v>43563.45239583333</v>
      </c>
      <c r="J1178" t="s">
        <v>3465</v>
      </c>
    </row>
    <row r="1179" spans="1:10" x14ac:dyDescent="0.15">
      <c r="A1179">
        <v>28083079</v>
      </c>
      <c r="B1179" s="3" t="str">
        <f>HYPERLINK("https://github.com/endeveit/guesslanguage", "https://github.com/endeveit/guesslanguage")</f>
        <v>https://github.com/endeveit/guesslanguage</v>
      </c>
      <c r="D1179">
        <v>41</v>
      </c>
      <c r="E1179" t="s">
        <v>3466</v>
      </c>
      <c r="F1179" t="s">
        <v>3467</v>
      </c>
      <c r="G1179">
        <v>2</v>
      </c>
      <c r="H1179" s="2">
        <v>41989.457488425927</v>
      </c>
      <c r="I1179" s="2">
        <v>43480.380694444437</v>
      </c>
      <c r="J1179" t="s">
        <v>3468</v>
      </c>
    </row>
    <row r="1180" spans="1:10" x14ac:dyDescent="0.15">
      <c r="A1180">
        <v>40845144</v>
      </c>
      <c r="B1180" s="3" t="str">
        <f>HYPERLINK("https://github.com/seiflotfy/count-min-log", "https://github.com/seiflotfy/count-min-log")</f>
        <v>https://github.com/seiflotfy/count-min-log</v>
      </c>
      <c r="D1180">
        <v>40</v>
      </c>
      <c r="E1180" t="s">
        <v>3469</v>
      </c>
      <c r="F1180" t="s">
        <v>3470</v>
      </c>
      <c r="G1180">
        <v>3</v>
      </c>
      <c r="H1180" s="2">
        <v>42232.938611111109</v>
      </c>
      <c r="I1180" s="2">
        <v>43517.401805555557</v>
      </c>
      <c r="J1180" t="s">
        <v>3471</v>
      </c>
    </row>
    <row r="1181" spans="1:10" x14ac:dyDescent="0.15">
      <c r="A1181">
        <v>74124577</v>
      </c>
      <c r="B1181" s="3" t="str">
        <f>HYPERLINK("https://github.com/t0pep0/efaceconv", "https://github.com/t0pep0/efaceconv")</f>
        <v>https://github.com/t0pep0/efaceconv</v>
      </c>
      <c r="D1181">
        <v>40</v>
      </c>
      <c r="E1181" t="s">
        <v>3472</v>
      </c>
      <c r="G1181">
        <v>8</v>
      </c>
      <c r="H1181" s="2">
        <v>42692.485347222217</v>
      </c>
      <c r="I1181" s="2">
        <v>43528.247060185182</v>
      </c>
      <c r="J1181" t="s">
        <v>3473</v>
      </c>
    </row>
    <row r="1182" spans="1:10" x14ac:dyDescent="0.15">
      <c r="A1182">
        <v>1861148</v>
      </c>
      <c r="B1182" s="3" t="str">
        <f>HYPERLINK("https://github.com/skelterjohn/geom", "https://github.com/skelterjohn/geom")</f>
        <v>https://github.com/skelterjohn/geom</v>
      </c>
      <c r="D1182">
        <v>40</v>
      </c>
      <c r="E1182" t="s">
        <v>3474</v>
      </c>
      <c r="F1182" t="s">
        <v>3475</v>
      </c>
      <c r="G1182">
        <v>15</v>
      </c>
      <c r="H1182" s="2">
        <v>40701.742488425924</v>
      </c>
      <c r="I1182" s="2">
        <v>43529.031307870369</v>
      </c>
      <c r="J1182" t="s">
        <v>3476</v>
      </c>
    </row>
    <row r="1183" spans="1:10" x14ac:dyDescent="0.15">
      <c r="A1183">
        <v>137217252</v>
      </c>
      <c r="B1183" s="3" t="str">
        <f>HYPERLINK("https://github.com/miguelpragier/handy", "https://github.com/miguelpragier/handy")</f>
        <v>https://github.com/miguelpragier/handy</v>
      </c>
      <c r="D1183">
        <v>40</v>
      </c>
      <c r="E1183" t="s">
        <v>3477</v>
      </c>
      <c r="F1183" t="s">
        <v>3478</v>
      </c>
      <c r="G1183">
        <v>6</v>
      </c>
      <c r="H1183" s="2">
        <v>43264.548692129632</v>
      </c>
      <c r="I1183" s="2">
        <v>43536.05296296296</v>
      </c>
      <c r="J1183" t="s">
        <v>3479</v>
      </c>
    </row>
    <row r="1184" spans="1:10" x14ac:dyDescent="0.15">
      <c r="A1184">
        <v>58842538</v>
      </c>
      <c r="B1184" s="3" t="str">
        <f>HYPERLINK("https://github.com/Boostport/avatica", "https://github.com/Boostport/avatica")</f>
        <v>https://github.com/Boostport/avatica</v>
      </c>
      <c r="D1184">
        <v>40</v>
      </c>
      <c r="E1184" t="s">
        <v>3480</v>
      </c>
      <c r="F1184" t="s">
        <v>3481</v>
      </c>
      <c r="G1184">
        <v>7</v>
      </c>
      <c r="H1184" s="2">
        <v>42505.150787037041</v>
      </c>
      <c r="I1184" s="2">
        <v>43394.781759259262</v>
      </c>
      <c r="J1184" t="s">
        <v>3482</v>
      </c>
    </row>
    <row r="1185" spans="1:10" x14ac:dyDescent="0.15">
      <c r="A1185">
        <v>63337769</v>
      </c>
      <c r="B1185" s="3" t="str">
        <f>HYPERLINK("https://github.com/vardius/gorouter", "https://github.com/vardius/gorouter")</f>
        <v>https://github.com/vardius/gorouter</v>
      </c>
      <c r="D1185">
        <v>39</v>
      </c>
      <c r="E1185" t="s">
        <v>1714</v>
      </c>
      <c r="F1185" t="s">
        <v>3483</v>
      </c>
      <c r="G1185">
        <v>4</v>
      </c>
      <c r="H1185" s="2">
        <v>42565.551087962973</v>
      </c>
      <c r="I1185" s="2">
        <v>43538.419039351851</v>
      </c>
      <c r="J1185" t="s">
        <v>3484</v>
      </c>
    </row>
    <row r="1186" spans="1:10" x14ac:dyDescent="0.15">
      <c r="A1186">
        <v>32166015</v>
      </c>
      <c r="B1186" s="3" t="str">
        <f>HYPERLINK("https://github.com/carlescere/goback", "https://github.com/carlescere/goback")</f>
        <v>https://github.com/carlescere/goback</v>
      </c>
      <c r="D1186">
        <v>39</v>
      </c>
      <c r="E1186" t="s">
        <v>3485</v>
      </c>
      <c r="F1186" t="s">
        <v>3486</v>
      </c>
      <c r="G1186">
        <v>4</v>
      </c>
      <c r="H1186" s="2">
        <v>42076.673125000001</v>
      </c>
      <c r="I1186" s="2">
        <v>43522.123298611114</v>
      </c>
      <c r="J1186" t="s">
        <v>3487</v>
      </c>
    </row>
    <row r="1187" spans="1:10" x14ac:dyDescent="0.15">
      <c r="A1187">
        <v>76725967</v>
      </c>
      <c r="B1187" s="3" t="str">
        <f>HYPERLINK("https://github.com/afjoseph/RAKE.Go", "https://github.com/afjoseph/RAKE.Go")</f>
        <v>https://github.com/afjoseph/RAKE.Go</v>
      </c>
      <c r="D1187">
        <v>39</v>
      </c>
      <c r="E1187" t="s">
        <v>3488</v>
      </c>
      <c r="F1187" t="s">
        <v>3489</v>
      </c>
      <c r="G1187">
        <v>6</v>
      </c>
      <c r="H1187" s="2">
        <v>42721.56695601852</v>
      </c>
      <c r="I1187" s="2">
        <v>43495.679236111107</v>
      </c>
      <c r="J1187" t="s">
        <v>3490</v>
      </c>
    </row>
    <row r="1188" spans="1:10" x14ac:dyDescent="0.15">
      <c r="A1188">
        <v>151695457</v>
      </c>
      <c r="B1188" s="3" t="str">
        <f>HYPERLINK("https://github.com/uadmin/uadmin", "https://github.com/uadmin/uadmin")</f>
        <v>https://github.com/uadmin/uadmin</v>
      </c>
      <c r="D1188">
        <v>39</v>
      </c>
      <c r="E1188" t="s">
        <v>3491</v>
      </c>
      <c r="F1188" t="s">
        <v>3492</v>
      </c>
      <c r="G1188">
        <v>9</v>
      </c>
      <c r="H1188" s="2">
        <v>43378.375196759262</v>
      </c>
      <c r="I1188" s="2">
        <v>43577.648611111108</v>
      </c>
      <c r="J1188" t="s">
        <v>3493</v>
      </c>
    </row>
    <row r="1189" spans="1:10" x14ac:dyDescent="0.15">
      <c r="A1189">
        <v>52791177</v>
      </c>
      <c r="B1189" s="3" t="str">
        <f>HYPERLINK("https://github.com/Logicalis/asn1", "https://github.com/Logicalis/asn1")</f>
        <v>https://github.com/Logicalis/asn1</v>
      </c>
      <c r="D1189">
        <v>39</v>
      </c>
      <c r="E1189" t="s">
        <v>3494</v>
      </c>
      <c r="F1189" t="s">
        <v>3495</v>
      </c>
      <c r="G1189">
        <v>14</v>
      </c>
      <c r="H1189" s="2">
        <v>42429.541956018518</v>
      </c>
      <c r="I1189" s="2">
        <v>43578.385925925933</v>
      </c>
      <c r="J1189" t="s">
        <v>3496</v>
      </c>
    </row>
    <row r="1190" spans="1:10" x14ac:dyDescent="0.15">
      <c r="A1190">
        <v>33433485</v>
      </c>
      <c r="B1190" s="3" t="str">
        <f>HYPERLINK("https://github.com/codingsince1985/couchcache", "https://github.com/codingsince1985/couchcache")</f>
        <v>https://github.com/codingsince1985/couchcache</v>
      </c>
      <c r="D1190">
        <v>39</v>
      </c>
      <c r="E1190" t="s">
        <v>3497</v>
      </c>
      <c r="F1190" t="s">
        <v>3498</v>
      </c>
      <c r="G1190">
        <v>3</v>
      </c>
      <c r="H1190" s="2">
        <v>42099.300752314812</v>
      </c>
      <c r="I1190" s="2">
        <v>43578.422835648147</v>
      </c>
      <c r="J1190" t="s">
        <v>3499</v>
      </c>
    </row>
    <row r="1191" spans="1:10" x14ac:dyDescent="0.15">
      <c r="A1191">
        <v>73828100</v>
      </c>
      <c r="B1191" s="3" t="str">
        <f>HYPERLINK("https://github.com/ngs/go-amazon-product-advertising-api", "https://github.com/ngs/go-amazon-product-advertising-api")</f>
        <v>https://github.com/ngs/go-amazon-product-advertising-api</v>
      </c>
      <c r="D1191">
        <v>38</v>
      </c>
      <c r="E1191" t="s">
        <v>3500</v>
      </c>
      <c r="F1191" t="s">
        <v>3501</v>
      </c>
      <c r="G1191">
        <v>14</v>
      </c>
      <c r="H1191" s="2">
        <v>42689.651064814818</v>
      </c>
      <c r="I1191" s="2">
        <v>43543.949942129628</v>
      </c>
      <c r="J1191" t="s">
        <v>3502</v>
      </c>
    </row>
    <row r="1192" spans="1:10" x14ac:dyDescent="0.15">
      <c r="A1192">
        <v>78125650</v>
      </c>
      <c r="B1192" s="3" t="str">
        <f>HYPERLINK("https://github.com/markbates/validate", "https://github.com/markbates/validate")</f>
        <v>https://github.com/markbates/validate</v>
      </c>
      <c r="D1192">
        <v>38</v>
      </c>
      <c r="E1192" t="s">
        <v>3120</v>
      </c>
      <c r="F1192" t="s">
        <v>3503</v>
      </c>
      <c r="G1192">
        <v>0</v>
      </c>
      <c r="H1192" s="2">
        <v>42740.654097222221</v>
      </c>
      <c r="I1192" s="2">
        <v>43418.39775462963</v>
      </c>
      <c r="J1192" t="s">
        <v>3504</v>
      </c>
    </row>
    <row r="1193" spans="1:10" x14ac:dyDescent="0.15">
      <c r="A1193">
        <v>28791531</v>
      </c>
      <c r="B1193" s="3" t="str">
        <f>HYPERLINK("https://github.com/go-xkg/xkg", "https://github.com/go-xkg/xkg")</f>
        <v>https://github.com/go-xkg/xkg</v>
      </c>
      <c r="D1193">
        <v>38</v>
      </c>
      <c r="E1193" t="s">
        <v>3505</v>
      </c>
      <c r="F1193" t="s">
        <v>3506</v>
      </c>
      <c r="G1193">
        <v>6</v>
      </c>
      <c r="H1193" s="2">
        <v>42009.044942129629</v>
      </c>
      <c r="I1193" s="2">
        <v>43577.11142361111</v>
      </c>
      <c r="J1193" t="s">
        <v>3507</v>
      </c>
    </row>
    <row r="1194" spans="1:10" x14ac:dyDescent="0.15">
      <c r="A1194">
        <v>9244332</v>
      </c>
      <c r="B1194" s="3" t="str">
        <f>HYPERLINK("https://github.com/danieldk/golinear", "https://github.com/danieldk/golinear")</f>
        <v>https://github.com/danieldk/golinear</v>
      </c>
      <c r="D1194">
        <v>38</v>
      </c>
      <c r="E1194" t="s">
        <v>3508</v>
      </c>
      <c r="F1194" t="s">
        <v>3509</v>
      </c>
      <c r="G1194">
        <v>10</v>
      </c>
      <c r="H1194" s="2">
        <v>41369.650706018518</v>
      </c>
      <c r="I1194" s="2">
        <v>43487.790578703702</v>
      </c>
      <c r="J1194" t="s">
        <v>3510</v>
      </c>
    </row>
    <row r="1195" spans="1:10" x14ac:dyDescent="0.15">
      <c r="A1195">
        <v>41790658</v>
      </c>
      <c r="B1195" s="3" t="str">
        <f>HYPERLINK("https://github.com/sadlil/gologger", "https://github.com/sadlil/gologger")</f>
        <v>https://github.com/sadlil/gologger</v>
      </c>
      <c r="D1195">
        <v>38</v>
      </c>
      <c r="E1195" t="s">
        <v>3511</v>
      </c>
      <c r="F1195" t="s">
        <v>3512</v>
      </c>
      <c r="G1195">
        <v>7</v>
      </c>
      <c r="H1195" s="2">
        <v>42249.369745370372</v>
      </c>
      <c r="I1195" s="2">
        <v>43472.747858796298</v>
      </c>
      <c r="J1195" t="s">
        <v>3513</v>
      </c>
    </row>
    <row r="1196" spans="1:10" x14ac:dyDescent="0.15">
      <c r="A1196">
        <v>130787782</v>
      </c>
      <c r="B1196" s="3" t="str">
        <f>HYPERLINK("https://github.com/gammazero/deque", "https://github.com/gammazero/deque")</f>
        <v>https://github.com/gammazero/deque</v>
      </c>
      <c r="D1196">
        <v>38</v>
      </c>
      <c r="E1196" t="s">
        <v>3514</v>
      </c>
      <c r="F1196" t="s">
        <v>3515</v>
      </c>
      <c r="G1196">
        <v>6</v>
      </c>
      <c r="H1196" s="2">
        <v>43214.123553240737</v>
      </c>
      <c r="I1196" s="2">
        <v>43580.415381944447</v>
      </c>
      <c r="J1196" t="s">
        <v>3516</v>
      </c>
    </row>
    <row r="1197" spans="1:10" x14ac:dyDescent="0.15">
      <c r="A1197">
        <v>5680134</v>
      </c>
      <c r="B1197" s="3" t="str">
        <f>HYPERLINK("https://github.com/soniah/evaler", "https://github.com/soniah/evaler")</f>
        <v>https://github.com/soniah/evaler</v>
      </c>
      <c r="D1197">
        <v>38</v>
      </c>
      <c r="E1197" t="s">
        <v>3517</v>
      </c>
      <c r="F1197" t="s">
        <v>3518</v>
      </c>
      <c r="G1197">
        <v>11</v>
      </c>
      <c r="H1197" s="2">
        <v>41156.984699074077</v>
      </c>
      <c r="I1197" s="2">
        <v>43521.621412037042</v>
      </c>
      <c r="J1197" t="s">
        <v>3519</v>
      </c>
    </row>
    <row r="1198" spans="1:10" x14ac:dyDescent="0.15">
      <c r="A1198">
        <v>103233604</v>
      </c>
      <c r="B1198" s="3" t="str">
        <f>HYPERLINK("https://github.com/steambap/captcha", "https://github.com/steambap/captcha")</f>
        <v>https://github.com/steambap/captcha</v>
      </c>
      <c r="D1198">
        <v>38</v>
      </c>
      <c r="E1198" t="s">
        <v>3520</v>
      </c>
      <c r="F1198" t="s">
        <v>3521</v>
      </c>
      <c r="G1198">
        <v>6</v>
      </c>
      <c r="H1198" s="2">
        <v>42990.28628472222</v>
      </c>
      <c r="I1198" s="2">
        <v>43574.035555555558</v>
      </c>
      <c r="J1198" t="s">
        <v>3522</v>
      </c>
    </row>
    <row r="1199" spans="1:10" x14ac:dyDescent="0.15">
      <c r="A1199">
        <v>94368499</v>
      </c>
      <c r="B1199" s="3" t="str">
        <f>HYPERLINK("https://github.com/codingconcepts/env", "https://github.com/codingconcepts/env")</f>
        <v>https://github.com/codingconcepts/env</v>
      </c>
      <c r="D1199">
        <v>38</v>
      </c>
      <c r="E1199" t="s">
        <v>1264</v>
      </c>
      <c r="F1199" t="s">
        <v>3523</v>
      </c>
      <c r="G1199">
        <v>2</v>
      </c>
      <c r="H1199" s="2">
        <v>42900.834664351853</v>
      </c>
      <c r="I1199" s="2">
        <v>43577.900949074072</v>
      </c>
      <c r="J1199" t="s">
        <v>3524</v>
      </c>
    </row>
    <row r="1200" spans="1:10" x14ac:dyDescent="0.15">
      <c r="A1200">
        <v>94195174</v>
      </c>
      <c r="B1200" s="3" t="str">
        <f>HYPERLINK("https://github.com/mengzhuo/intrinsic", "https://github.com/mengzhuo/intrinsic")</f>
        <v>https://github.com/mengzhuo/intrinsic</v>
      </c>
      <c r="D1200">
        <v>37</v>
      </c>
      <c r="E1200" t="s">
        <v>3525</v>
      </c>
      <c r="F1200" t="s">
        <v>3526</v>
      </c>
      <c r="G1200">
        <v>1</v>
      </c>
      <c r="H1200" s="2">
        <v>42899.393449074072</v>
      </c>
      <c r="I1200" s="2">
        <v>43467.33388888889</v>
      </c>
      <c r="J1200" t="s">
        <v>3527</v>
      </c>
    </row>
    <row r="1201" spans="1:10" x14ac:dyDescent="0.15">
      <c r="A1201">
        <v>36049511</v>
      </c>
      <c r="B1201" s="3" t="str">
        <f>HYPERLINK("https://github.com/skelterjohn/go-pkg-complete", "https://github.com/skelterjohn/go-pkg-complete")</f>
        <v>https://github.com/skelterjohn/go-pkg-complete</v>
      </c>
      <c r="D1201">
        <v>37</v>
      </c>
      <c r="E1201" t="s">
        <v>3528</v>
      </c>
      <c r="F1201" t="s">
        <v>3529</v>
      </c>
      <c r="G1201">
        <v>7</v>
      </c>
      <c r="H1201" s="2">
        <v>42146.129918981482</v>
      </c>
      <c r="I1201" s="2">
        <v>43403.338240740741</v>
      </c>
      <c r="J1201" t="s">
        <v>3530</v>
      </c>
    </row>
    <row r="1202" spans="1:10" x14ac:dyDescent="0.15">
      <c r="A1202">
        <v>52580351</v>
      </c>
      <c r="B1202" s="3" t="str">
        <f>HYPERLINK("https://github.com/nishanths/go-xkcd", "https://github.com/nishanths/go-xkcd")</f>
        <v>https://github.com/nishanths/go-xkcd</v>
      </c>
      <c r="D1202">
        <v>37</v>
      </c>
      <c r="E1202" t="s">
        <v>3531</v>
      </c>
      <c r="F1202" t="s">
        <v>3532</v>
      </c>
      <c r="G1202">
        <v>2</v>
      </c>
      <c r="H1202" s="2">
        <v>42426.218414351853</v>
      </c>
      <c r="I1202" s="2">
        <v>43531.118414351848</v>
      </c>
      <c r="J1202" t="s">
        <v>3533</v>
      </c>
    </row>
    <row r="1203" spans="1:10" x14ac:dyDescent="0.15">
      <c r="A1203">
        <v>40736488</v>
      </c>
      <c r="B1203" s="3" t="str">
        <f>HYPERLINK("https://github.com/jszwedko/go-circleci", "https://github.com/jszwedko/go-circleci")</f>
        <v>https://github.com/jszwedko/go-circleci</v>
      </c>
      <c r="D1203">
        <v>37</v>
      </c>
      <c r="E1203" t="s">
        <v>3534</v>
      </c>
      <c r="F1203" t="s">
        <v>3535</v>
      </c>
      <c r="G1203">
        <v>30</v>
      </c>
      <c r="H1203" s="2">
        <v>42230.888611111113</v>
      </c>
      <c r="I1203" s="2">
        <v>43571.473344907397</v>
      </c>
      <c r="J1203" t="s">
        <v>3536</v>
      </c>
    </row>
    <row r="1204" spans="1:10" x14ac:dyDescent="0.15">
      <c r="A1204">
        <v>127207874</v>
      </c>
      <c r="B1204" s="3" t="str">
        <f>HYPERLINK("https://github.com/sillecelik/go-gopher", "https://github.com/sillecelik/go-gopher")</f>
        <v>https://github.com/sillecelik/go-gopher</v>
      </c>
      <c r="D1204">
        <v>37</v>
      </c>
      <c r="E1204" t="s">
        <v>3537</v>
      </c>
      <c r="F1204" t="s">
        <v>3538</v>
      </c>
      <c r="G1204">
        <v>1</v>
      </c>
      <c r="H1204" s="2">
        <v>43187.954236111109</v>
      </c>
      <c r="I1204" s="2">
        <v>43571.498333333337</v>
      </c>
      <c r="J1204" t="s">
        <v>3539</v>
      </c>
    </row>
    <row r="1205" spans="1:10" x14ac:dyDescent="0.15">
      <c r="A1205">
        <v>80292324</v>
      </c>
      <c r="B1205" s="3" t="str">
        <f>HYPERLINK("https://github.com/jutkko/copy-pasta", "https://github.com/jutkko/copy-pasta")</f>
        <v>https://github.com/jutkko/copy-pasta</v>
      </c>
      <c r="D1205">
        <v>37</v>
      </c>
      <c r="E1205" t="s">
        <v>3540</v>
      </c>
      <c r="F1205" t="s">
        <v>3541</v>
      </c>
      <c r="G1205">
        <v>4</v>
      </c>
      <c r="H1205" s="2">
        <v>42763.649583333332</v>
      </c>
      <c r="I1205" s="2">
        <v>43571.371828703697</v>
      </c>
      <c r="J1205" t="s">
        <v>3542</v>
      </c>
    </row>
    <row r="1206" spans="1:10" x14ac:dyDescent="0.15">
      <c r="A1206">
        <v>105750519</v>
      </c>
      <c r="B1206" s="3" t="str">
        <f>HYPERLINK("https://github.com/vardius/worker-pool", "https://github.com/vardius/worker-pool")</f>
        <v>https://github.com/vardius/worker-pool</v>
      </c>
      <c r="D1206">
        <v>37</v>
      </c>
      <c r="E1206" t="s">
        <v>3543</v>
      </c>
      <c r="F1206" t="s">
        <v>3544</v>
      </c>
      <c r="G1206">
        <v>5</v>
      </c>
      <c r="H1206" s="2">
        <v>43012.387858796297</v>
      </c>
      <c r="I1206" s="2">
        <v>43572.80878472222</v>
      </c>
      <c r="J1206" t="s">
        <v>3545</v>
      </c>
    </row>
    <row r="1207" spans="1:10" x14ac:dyDescent="0.15">
      <c r="A1207">
        <v>102260918</v>
      </c>
      <c r="B1207" s="3" t="str">
        <f>HYPERLINK("https://github.com/szyhf/go-excel", "https://github.com/szyhf/go-excel")</f>
        <v>https://github.com/szyhf/go-excel</v>
      </c>
      <c r="D1207">
        <v>37</v>
      </c>
      <c r="E1207" t="s">
        <v>3546</v>
      </c>
      <c r="F1207" t="s">
        <v>3547</v>
      </c>
      <c r="G1207">
        <v>6</v>
      </c>
      <c r="H1207" s="2">
        <v>42981.494421296287</v>
      </c>
      <c r="I1207" s="2">
        <v>43565.537743055553</v>
      </c>
      <c r="J1207" t="s">
        <v>3548</v>
      </c>
    </row>
    <row r="1208" spans="1:10" x14ac:dyDescent="0.15">
      <c r="A1208">
        <v>145381084</v>
      </c>
      <c r="B1208" s="3" t="str">
        <f>HYPERLINK("https://github.com/wit-ai/wit-go", "https://github.com/wit-ai/wit-go")</f>
        <v>https://github.com/wit-ai/wit-go</v>
      </c>
      <c r="D1208">
        <v>37</v>
      </c>
      <c r="E1208" t="s">
        <v>3549</v>
      </c>
      <c r="F1208" t="s">
        <v>3550</v>
      </c>
      <c r="G1208">
        <v>4</v>
      </c>
      <c r="H1208" s="2">
        <v>43332.304629629631</v>
      </c>
      <c r="I1208" s="2">
        <v>43573.103263888886</v>
      </c>
      <c r="J1208" t="s">
        <v>3551</v>
      </c>
    </row>
    <row r="1209" spans="1:10" x14ac:dyDescent="0.15">
      <c r="A1209">
        <v>28293625</v>
      </c>
      <c r="B1209" s="3" t="str">
        <f>HYPERLINK("https://github.com/ian-kent/goose", "https://github.com/ian-kent/goose")</f>
        <v>https://github.com/ian-kent/goose</v>
      </c>
      <c r="D1209">
        <v>36</v>
      </c>
      <c r="E1209" t="s">
        <v>2714</v>
      </c>
      <c r="F1209" t="s">
        <v>3552</v>
      </c>
      <c r="G1209">
        <v>5</v>
      </c>
      <c r="H1209" s="2">
        <v>41994.374560185177</v>
      </c>
      <c r="I1209" s="2">
        <v>43576.537939814807</v>
      </c>
      <c r="J1209" t="s">
        <v>3553</v>
      </c>
    </row>
    <row r="1210" spans="1:10" x14ac:dyDescent="0.15">
      <c r="A1210">
        <v>179656868</v>
      </c>
      <c r="B1210" s="3" t="str">
        <f>HYPERLINK("https://github.com/osamingo/checkdigit", "https://github.com/osamingo/checkdigit")</f>
        <v>https://github.com/osamingo/checkdigit</v>
      </c>
      <c r="D1210">
        <v>36</v>
      </c>
      <c r="E1210" t="s">
        <v>3554</v>
      </c>
      <c r="F1210" t="s">
        <v>3555</v>
      </c>
      <c r="G1210">
        <v>2</v>
      </c>
      <c r="H1210" s="2">
        <v>43560.407361111109</v>
      </c>
      <c r="I1210" s="2">
        <v>43580.503217592603</v>
      </c>
      <c r="J1210" t="s">
        <v>3556</v>
      </c>
    </row>
    <row r="1211" spans="1:10" x14ac:dyDescent="0.15">
      <c r="A1211">
        <v>37163671</v>
      </c>
      <c r="B1211" s="3" t="str">
        <f>HYPERLINK("https://github.com/sevki/graphql", "https://github.com/sevki/graphql")</f>
        <v>https://github.com/sevki/graphql</v>
      </c>
      <c r="D1211">
        <v>36</v>
      </c>
      <c r="E1211" t="s">
        <v>284</v>
      </c>
      <c r="F1211" t="s">
        <v>3557</v>
      </c>
      <c r="G1211">
        <v>2</v>
      </c>
      <c r="H1211" s="2">
        <v>42164.966400462959</v>
      </c>
      <c r="I1211" s="2">
        <v>43343.908032407409</v>
      </c>
      <c r="J1211" t="s">
        <v>3558</v>
      </c>
    </row>
    <row r="1212" spans="1:10" x14ac:dyDescent="0.15">
      <c r="A1212">
        <v>137548214</v>
      </c>
      <c r="B1212" s="3" t="str">
        <f>HYPERLINK("https://github.com/maxcnunes/gaper", "https://github.com/maxcnunes/gaper")</f>
        <v>https://github.com/maxcnunes/gaper</v>
      </c>
      <c r="D1212">
        <v>35</v>
      </c>
      <c r="E1212" t="s">
        <v>3559</v>
      </c>
      <c r="F1212" t="s">
        <v>3560</v>
      </c>
      <c r="G1212">
        <v>2</v>
      </c>
      <c r="H1212" s="2">
        <v>43267.115717592591</v>
      </c>
      <c r="I1212" s="2">
        <v>43563.629594907397</v>
      </c>
      <c r="J1212" t="s">
        <v>3561</v>
      </c>
    </row>
    <row r="1213" spans="1:10" x14ac:dyDescent="0.15">
      <c r="A1213">
        <v>58383151</v>
      </c>
      <c r="B1213" s="3" t="str">
        <f>HYPERLINK("https://github.com/ninedraft/gocryforhelp", "https://github.com/ninedraft/gocryforhelp")</f>
        <v>https://github.com/ninedraft/gocryforhelp</v>
      </c>
      <c r="D1213">
        <v>35</v>
      </c>
      <c r="E1213" t="s">
        <v>3562</v>
      </c>
      <c r="F1213" t="s">
        <v>3563</v>
      </c>
      <c r="G1213">
        <v>1</v>
      </c>
      <c r="H1213" s="2">
        <v>42499.604641203703</v>
      </c>
      <c r="I1213" s="2">
        <v>43565.520289351851</v>
      </c>
      <c r="J1213" t="s">
        <v>3564</v>
      </c>
    </row>
    <row r="1214" spans="1:10" x14ac:dyDescent="0.15">
      <c r="A1214">
        <v>28524669</v>
      </c>
      <c r="B1214" s="3" t="str">
        <f>HYPERLINK("https://github.com/zach-klippenstein/goregen", "https://github.com/zach-klippenstein/goregen")</f>
        <v>https://github.com/zach-klippenstein/goregen</v>
      </c>
      <c r="D1214">
        <v>35</v>
      </c>
      <c r="E1214" t="s">
        <v>3565</v>
      </c>
      <c r="F1214" t="s">
        <v>3566</v>
      </c>
      <c r="G1214">
        <v>2</v>
      </c>
      <c r="H1214" s="2">
        <v>42000.013645833344</v>
      </c>
      <c r="I1214" s="2">
        <v>43561.930115740739</v>
      </c>
      <c r="J1214" t="s">
        <v>3567</v>
      </c>
    </row>
    <row r="1215" spans="1:10" x14ac:dyDescent="0.15">
      <c r="A1215">
        <v>89260819</v>
      </c>
      <c r="B1215" s="3" t="str">
        <f>HYPERLINK("https://github.com/yazgazan/jaydiff", "https://github.com/yazgazan/jaydiff")</f>
        <v>https://github.com/yazgazan/jaydiff</v>
      </c>
      <c r="D1215">
        <v>35</v>
      </c>
      <c r="E1215" t="s">
        <v>3568</v>
      </c>
      <c r="F1215" t="s">
        <v>3569</v>
      </c>
      <c r="G1215">
        <v>3</v>
      </c>
      <c r="H1215" s="2">
        <v>42849.670543981483</v>
      </c>
      <c r="I1215" s="2">
        <v>43538.670532407406</v>
      </c>
      <c r="J1215" t="s">
        <v>3570</v>
      </c>
    </row>
    <row r="1216" spans="1:10" x14ac:dyDescent="0.15">
      <c r="A1216">
        <v>130894888</v>
      </c>
      <c r="B1216" s="3" t="str">
        <f>HYPERLINK("https://github.com/i25959341/orderbook", "https://github.com/i25959341/orderbook")</f>
        <v>https://github.com/i25959341/orderbook</v>
      </c>
      <c r="D1216">
        <v>35</v>
      </c>
      <c r="E1216" t="s">
        <v>3571</v>
      </c>
      <c r="F1216" t="s">
        <v>3572</v>
      </c>
      <c r="G1216">
        <v>11</v>
      </c>
      <c r="H1216" s="2">
        <v>43214.75377314815</v>
      </c>
      <c r="I1216" s="2">
        <v>43571.627928240741</v>
      </c>
      <c r="J1216" t="s">
        <v>3573</v>
      </c>
    </row>
    <row r="1217" spans="1:10" x14ac:dyDescent="0.15">
      <c r="A1217">
        <v>93074935</v>
      </c>
      <c r="B1217" s="3" t="str">
        <f>HYPERLINK("https://github.com/alpeb/go-finance", "https://github.com/alpeb/go-finance")</f>
        <v>https://github.com/alpeb/go-finance</v>
      </c>
      <c r="D1217">
        <v>35</v>
      </c>
      <c r="E1217" t="s">
        <v>1551</v>
      </c>
      <c r="F1217" t="s">
        <v>3574</v>
      </c>
      <c r="G1217">
        <v>5</v>
      </c>
      <c r="H1217" s="2">
        <v>42887.665659722217</v>
      </c>
      <c r="I1217" s="2">
        <v>43562.469733796293</v>
      </c>
      <c r="J1217" t="s">
        <v>3575</v>
      </c>
    </row>
    <row r="1218" spans="1:10" x14ac:dyDescent="0.15">
      <c r="A1218">
        <v>127587125</v>
      </c>
      <c r="B1218" s="3" t="str">
        <f>HYPERLINK("https://github.com/duck8823/duci", "https://github.com/duck8823/duci")</f>
        <v>https://github.com/duck8823/duci</v>
      </c>
      <c r="D1218">
        <v>34</v>
      </c>
      <c r="E1218" t="s">
        <v>3576</v>
      </c>
      <c r="F1218" t="s">
        <v>3577</v>
      </c>
      <c r="G1218">
        <v>3</v>
      </c>
      <c r="H1218" s="2">
        <v>43191.077106481483</v>
      </c>
      <c r="I1218" s="2">
        <v>43580.419560185182</v>
      </c>
      <c r="J1218" t="s">
        <v>3578</v>
      </c>
    </row>
    <row r="1219" spans="1:10" x14ac:dyDescent="0.15">
      <c r="A1219">
        <v>52164532</v>
      </c>
      <c r="B1219" s="3" t="str">
        <f>HYPERLINK("https://github.com/xcodersun/eywa", "https://github.com/xcodersun/eywa")</f>
        <v>https://github.com/xcodersun/eywa</v>
      </c>
      <c r="D1219">
        <v>34</v>
      </c>
      <c r="E1219" t="s">
        <v>3579</v>
      </c>
      <c r="F1219" t="s">
        <v>3580</v>
      </c>
      <c r="G1219">
        <v>8</v>
      </c>
      <c r="H1219" s="2">
        <v>42420.709907407407</v>
      </c>
      <c r="I1219" s="2">
        <v>43579.271006944437</v>
      </c>
      <c r="J1219" t="s">
        <v>3581</v>
      </c>
    </row>
    <row r="1220" spans="1:10" x14ac:dyDescent="0.15">
      <c r="A1220">
        <v>19361990</v>
      </c>
      <c r="B1220" s="3" t="str">
        <f>HYPERLINK("https://github.com/ian-kent/go-log", "https://github.com/ian-kent/go-log")</f>
        <v>https://github.com/ian-kent/go-log</v>
      </c>
      <c r="D1220">
        <v>34</v>
      </c>
      <c r="E1220" t="s">
        <v>3582</v>
      </c>
      <c r="F1220" t="s">
        <v>3583</v>
      </c>
      <c r="G1220">
        <v>14</v>
      </c>
      <c r="H1220" s="2">
        <v>41761.023715277777</v>
      </c>
      <c r="I1220" s="2">
        <v>43551.387754629628</v>
      </c>
      <c r="J1220" t="s">
        <v>3584</v>
      </c>
    </row>
    <row r="1221" spans="1:10" x14ac:dyDescent="0.15">
      <c r="A1221">
        <v>23882632</v>
      </c>
      <c r="B1221" s="3" t="str">
        <f>HYPERLINK("https://github.com/michiwend/gomusicbrainz", "https://github.com/michiwend/gomusicbrainz")</f>
        <v>https://github.com/michiwend/gomusicbrainz</v>
      </c>
      <c r="D1221">
        <v>34</v>
      </c>
      <c r="E1221" t="s">
        <v>3585</v>
      </c>
      <c r="F1221" t="s">
        <v>3586</v>
      </c>
      <c r="G1221">
        <v>11</v>
      </c>
      <c r="H1221" s="2">
        <v>41892.696215277778</v>
      </c>
      <c r="I1221" s="2">
        <v>43531.0546875</v>
      </c>
      <c r="J1221" t="s">
        <v>3587</v>
      </c>
    </row>
    <row r="1222" spans="1:10" x14ac:dyDescent="0.15">
      <c r="A1222">
        <v>122866770</v>
      </c>
      <c r="B1222" s="3" t="str">
        <f>HYPERLINK("https://github.com/thedevsaddam/retry", "https://github.com/thedevsaddam/retry")</f>
        <v>https://github.com/thedevsaddam/retry</v>
      </c>
      <c r="D1222">
        <v>34</v>
      </c>
      <c r="E1222" t="s">
        <v>2603</v>
      </c>
      <c r="F1222" t="s">
        <v>3588</v>
      </c>
      <c r="G1222">
        <v>3</v>
      </c>
      <c r="H1222" s="2">
        <v>43156.797256944446</v>
      </c>
      <c r="I1222" s="2">
        <v>43573.32104166667</v>
      </c>
      <c r="J1222" t="s">
        <v>3589</v>
      </c>
    </row>
    <row r="1223" spans="1:10" x14ac:dyDescent="0.15">
      <c r="A1223">
        <v>40726001</v>
      </c>
      <c r="B1223" s="3" t="str">
        <f>HYPERLINK("https://github.com/msempere/golarm", "https://github.com/msempere/golarm")</f>
        <v>https://github.com/msempere/golarm</v>
      </c>
      <c r="D1223">
        <v>33</v>
      </c>
      <c r="E1223" t="s">
        <v>3590</v>
      </c>
      <c r="F1223" t="s">
        <v>3591</v>
      </c>
      <c r="G1223">
        <v>3</v>
      </c>
      <c r="H1223" s="2">
        <v>42230.702696759261</v>
      </c>
      <c r="I1223" s="2">
        <v>43539.215914351851</v>
      </c>
      <c r="J1223" t="s">
        <v>3592</v>
      </c>
    </row>
    <row r="1224" spans="1:10" x14ac:dyDescent="0.15">
      <c r="A1224">
        <v>62604393</v>
      </c>
      <c r="B1224" s="3" t="str">
        <f>HYPERLINK("https://github.com/editorconfig/editorconfig-core-go", "https://github.com/editorconfig/editorconfig-core-go")</f>
        <v>https://github.com/editorconfig/editorconfig-core-go</v>
      </c>
      <c r="D1224">
        <v>33</v>
      </c>
      <c r="E1224" t="s">
        <v>3593</v>
      </c>
      <c r="F1224" t="s">
        <v>3594</v>
      </c>
      <c r="G1224">
        <v>13</v>
      </c>
      <c r="H1224" s="2">
        <v>42556.160196759258</v>
      </c>
      <c r="I1224" s="2">
        <v>43548.985671296286</v>
      </c>
      <c r="J1224" t="s">
        <v>3595</v>
      </c>
    </row>
    <row r="1225" spans="1:10" x14ac:dyDescent="0.15">
      <c r="A1225">
        <v>103419563</v>
      </c>
      <c r="B1225" s="3" t="str">
        <f>HYPERLINK("https://github.com/inancgumus/myhttp", "https://github.com/inancgumus/myhttp")</f>
        <v>https://github.com/inancgumus/myhttp</v>
      </c>
      <c r="D1225">
        <v>33</v>
      </c>
      <c r="E1225" t="s">
        <v>3596</v>
      </c>
      <c r="F1225" t="s">
        <v>3597</v>
      </c>
      <c r="G1225">
        <v>9</v>
      </c>
      <c r="H1225" s="2">
        <v>42991.658877314818</v>
      </c>
      <c r="I1225" s="2">
        <v>43573.354178240741</v>
      </c>
      <c r="J1225" t="s">
        <v>3598</v>
      </c>
    </row>
    <row r="1226" spans="1:10" x14ac:dyDescent="0.15">
      <c r="A1226">
        <v>71060423</v>
      </c>
      <c r="B1226" s="3" t="str">
        <f>HYPERLINK("https://github.com/sbstjn/allot", "https://github.com/sbstjn/allot")</f>
        <v>https://github.com/sbstjn/allot</v>
      </c>
      <c r="D1226">
        <v>33</v>
      </c>
      <c r="E1226" t="s">
        <v>3599</v>
      </c>
      <c r="F1226" t="s">
        <v>3600</v>
      </c>
      <c r="G1226">
        <v>4</v>
      </c>
      <c r="H1226" s="2">
        <v>42659.659120370372</v>
      </c>
      <c r="I1226" s="2">
        <v>43547.03806712963</v>
      </c>
      <c r="J1226" t="s">
        <v>3601</v>
      </c>
    </row>
    <row r="1227" spans="1:10" x14ac:dyDescent="0.15">
      <c r="A1227">
        <v>78189050</v>
      </c>
      <c r="B1227" s="3" t="str">
        <f>HYPERLINK("https://github.com/maddevsio/fcm", "https://github.com/maddevsio/fcm")</f>
        <v>https://github.com/maddevsio/fcm</v>
      </c>
      <c r="D1227">
        <v>33</v>
      </c>
      <c r="E1227" t="s">
        <v>3602</v>
      </c>
      <c r="F1227" t="s">
        <v>3603</v>
      </c>
      <c r="G1227">
        <v>11</v>
      </c>
      <c r="H1227" s="2">
        <v>42741.354826388888</v>
      </c>
      <c r="I1227" s="2">
        <v>43576.537905092591</v>
      </c>
      <c r="J1227" t="s">
        <v>3604</v>
      </c>
    </row>
    <row r="1228" spans="1:10" x14ac:dyDescent="0.15">
      <c r="A1228">
        <v>29577501</v>
      </c>
      <c r="B1228" s="3" t="str">
        <f>HYPERLINK("https://github.com/zentures/porter2", "https://github.com/zentures/porter2")</f>
        <v>https://github.com/zentures/porter2</v>
      </c>
      <c r="D1228">
        <v>33</v>
      </c>
      <c r="E1228" t="s">
        <v>3605</v>
      </c>
      <c r="F1228" t="s">
        <v>3606</v>
      </c>
      <c r="G1228">
        <v>2</v>
      </c>
      <c r="H1228" s="2">
        <v>42025.31287037037</v>
      </c>
      <c r="I1228" s="2">
        <v>43471.111851851849</v>
      </c>
      <c r="J1228" t="s">
        <v>3607</v>
      </c>
    </row>
    <row r="1229" spans="1:10" x14ac:dyDescent="0.15">
      <c r="A1229">
        <v>84605001</v>
      </c>
      <c r="B1229" s="3" t="str">
        <f>HYPERLINK("https://github.com/posener/tarfs", "https://github.com/posener/tarfs")</f>
        <v>https://github.com/posener/tarfs</v>
      </c>
      <c r="D1229">
        <v>33</v>
      </c>
      <c r="E1229" t="s">
        <v>3608</v>
      </c>
      <c r="F1229" t="s">
        <v>3609</v>
      </c>
      <c r="G1229">
        <v>4</v>
      </c>
      <c r="H1229" s="2">
        <v>42804.925821759258</v>
      </c>
      <c r="I1229" s="2">
        <v>43560.491481481477</v>
      </c>
      <c r="J1229" t="s">
        <v>3610</v>
      </c>
    </row>
    <row r="1230" spans="1:10" x14ac:dyDescent="0.15">
      <c r="A1230">
        <v>90183913</v>
      </c>
      <c r="B1230" s="3" t="str">
        <f>HYPERLINK("https://github.com/yourbasic/bit", "https://github.com/yourbasic/bit")</f>
        <v>https://github.com/yourbasic/bit</v>
      </c>
      <c r="D1230">
        <v>32</v>
      </c>
      <c r="E1230" t="s">
        <v>3611</v>
      </c>
      <c r="F1230" t="s">
        <v>3612</v>
      </c>
      <c r="G1230">
        <v>7</v>
      </c>
      <c r="H1230" s="2">
        <v>42858.795543981483</v>
      </c>
      <c r="I1230" s="2">
        <v>43578.676782407398</v>
      </c>
      <c r="J1230" t="s">
        <v>3613</v>
      </c>
    </row>
    <row r="1231" spans="1:10" x14ac:dyDescent="0.15">
      <c r="A1231">
        <v>90487800</v>
      </c>
      <c r="B1231" s="3" t="str">
        <f>HYPERLINK("https://github.com/yourbasic/bloom", "https://github.com/yourbasic/bloom")</f>
        <v>https://github.com/yourbasic/bloom</v>
      </c>
      <c r="D1231">
        <v>32</v>
      </c>
      <c r="E1231" t="s">
        <v>1465</v>
      </c>
      <c r="F1231" t="s">
        <v>3614</v>
      </c>
      <c r="G1231">
        <v>6</v>
      </c>
      <c r="H1231" s="2">
        <v>42861.831793981481</v>
      </c>
      <c r="I1231" s="2">
        <v>43580.408761574072</v>
      </c>
      <c r="J1231" t="s">
        <v>3615</v>
      </c>
    </row>
    <row r="1232" spans="1:10" x14ac:dyDescent="0.15">
      <c r="A1232">
        <v>138761836</v>
      </c>
      <c r="B1232" s="3" t="str">
        <f>HYPERLINK("https://github.com/edwingeng/doublejump", "https://github.com/edwingeng/doublejump")</f>
        <v>https://github.com/edwingeng/doublejump</v>
      </c>
      <c r="D1232">
        <v>32</v>
      </c>
      <c r="E1232" t="s">
        <v>3616</v>
      </c>
      <c r="F1232" t="s">
        <v>3617</v>
      </c>
      <c r="G1232">
        <v>6</v>
      </c>
      <c r="H1232" s="2">
        <v>43277.670023148137</v>
      </c>
      <c r="I1232" s="2">
        <v>43573.134062500001</v>
      </c>
      <c r="J1232" t="s">
        <v>3618</v>
      </c>
    </row>
    <row r="1233" spans="1:10" x14ac:dyDescent="0.15">
      <c r="A1233">
        <v>25023596</v>
      </c>
      <c r="B1233" s="3" t="str">
        <f>HYPERLINK("https://github.com/chzyer/logex", "https://github.com/chzyer/logex")</f>
        <v>https://github.com/chzyer/logex</v>
      </c>
      <c r="D1233">
        <v>32</v>
      </c>
      <c r="E1233" t="s">
        <v>3619</v>
      </c>
      <c r="F1233" t="s">
        <v>3620</v>
      </c>
      <c r="G1233">
        <v>6</v>
      </c>
      <c r="H1233" s="2">
        <v>41922.27684027778</v>
      </c>
      <c r="I1233" s="2">
        <v>43507.331574074073</v>
      </c>
      <c r="J1233" t="s">
        <v>3621</v>
      </c>
    </row>
    <row r="1234" spans="1:10" x14ac:dyDescent="0.15">
      <c r="A1234">
        <v>87647629</v>
      </c>
      <c r="B1234" s="3" t="str">
        <f>HYPERLINK("https://github.com/magic003/alice", "https://github.com/magic003/alice")</f>
        <v>https://github.com/magic003/alice</v>
      </c>
      <c r="D1234">
        <v>32</v>
      </c>
      <c r="E1234" t="s">
        <v>746</v>
      </c>
      <c r="F1234" t="s">
        <v>3622</v>
      </c>
      <c r="G1234">
        <v>4</v>
      </c>
      <c r="H1234" s="2">
        <v>42833.684270833342</v>
      </c>
      <c r="I1234" s="2">
        <v>43572.287847222222</v>
      </c>
      <c r="J1234" t="s">
        <v>3623</v>
      </c>
    </row>
    <row r="1235" spans="1:10" x14ac:dyDescent="0.15">
      <c r="A1235">
        <v>107152631</v>
      </c>
      <c r="B1235" s="3" t="str">
        <f>HYPERLINK("https://github.com/mavihq/persian", "https://github.com/mavihq/persian")</f>
        <v>https://github.com/mavihq/persian</v>
      </c>
      <c r="D1235">
        <v>32</v>
      </c>
      <c r="E1235" t="s">
        <v>3624</v>
      </c>
      <c r="F1235" t="s">
        <v>3625</v>
      </c>
      <c r="G1235">
        <v>3</v>
      </c>
      <c r="H1235" s="2">
        <v>43024.678425925929</v>
      </c>
      <c r="I1235" s="2">
        <v>43572.391238425917</v>
      </c>
      <c r="J1235" t="s">
        <v>3626</v>
      </c>
    </row>
    <row r="1236" spans="1:10" x14ac:dyDescent="0.15">
      <c r="A1236">
        <v>23630220</v>
      </c>
      <c r="B1236" s="3" t="str">
        <f>HYPERLINK("https://github.com/keygx/Go-gopher-Vector", "https://github.com/keygx/Go-gopher-Vector")</f>
        <v>https://github.com/keygx/Go-gopher-Vector</v>
      </c>
      <c r="D1236">
        <v>32</v>
      </c>
      <c r="E1236" t="s">
        <v>3627</v>
      </c>
      <c r="F1236" t="s">
        <v>3628</v>
      </c>
      <c r="G1236">
        <v>2</v>
      </c>
      <c r="H1236" s="2">
        <v>41885.729062500002</v>
      </c>
      <c r="I1236" s="2">
        <v>43567.508622685193</v>
      </c>
      <c r="J1236" t="s">
        <v>3629</v>
      </c>
    </row>
    <row r="1237" spans="1:10" x14ac:dyDescent="0.15">
      <c r="A1237">
        <v>20865496</v>
      </c>
      <c r="B1237" s="3" t="str">
        <f>HYPERLINK("https://github.com/sanbornm/mp", "https://github.com/sanbornm/mp")</f>
        <v>https://github.com/sanbornm/mp</v>
      </c>
      <c r="D1237">
        <v>31</v>
      </c>
      <c r="E1237" t="s">
        <v>3630</v>
      </c>
      <c r="F1237" t="s">
        <v>3631</v>
      </c>
      <c r="G1237">
        <v>2</v>
      </c>
      <c r="H1237" s="2">
        <v>41805.88517361111</v>
      </c>
      <c r="I1237" s="2">
        <v>43543.512650462973</v>
      </c>
      <c r="J1237" t="s">
        <v>3632</v>
      </c>
    </row>
    <row r="1238" spans="1:10" x14ac:dyDescent="0.15">
      <c r="A1238">
        <v>48646743</v>
      </c>
      <c r="B1238" s="3" t="str">
        <f>HYPERLINK("https://github.com/teris-io/longpoll", "https://github.com/teris-io/longpoll")</f>
        <v>https://github.com/teris-io/longpoll</v>
      </c>
      <c r="D1238">
        <v>31</v>
      </c>
      <c r="E1238" t="s">
        <v>3633</v>
      </c>
      <c r="F1238" t="s">
        <v>3634</v>
      </c>
      <c r="G1238">
        <v>6</v>
      </c>
      <c r="H1238" s="2">
        <v>42365.576331018521</v>
      </c>
      <c r="I1238" s="2">
        <v>43500.725358796299</v>
      </c>
      <c r="J1238" t="s">
        <v>3635</v>
      </c>
    </row>
    <row r="1239" spans="1:10" x14ac:dyDescent="0.15">
      <c r="A1239">
        <v>116631337</v>
      </c>
      <c r="B1239" s="3" t="str">
        <f>HYPERLINK("https://github.com/devfacet/gocmd", "https://github.com/devfacet/gocmd")</f>
        <v>https://github.com/devfacet/gocmd</v>
      </c>
      <c r="D1239">
        <v>31</v>
      </c>
      <c r="E1239" t="s">
        <v>3636</v>
      </c>
      <c r="F1239" t="s">
        <v>3637</v>
      </c>
      <c r="G1239">
        <v>2</v>
      </c>
      <c r="H1239" s="2">
        <v>43108.202800925923</v>
      </c>
      <c r="I1239" s="2">
        <v>43576.959328703713</v>
      </c>
      <c r="J1239" t="s">
        <v>3638</v>
      </c>
    </row>
    <row r="1240" spans="1:10" x14ac:dyDescent="0.15">
      <c r="A1240">
        <v>128645518</v>
      </c>
      <c r="B1240" s="3" t="str">
        <f>HYPERLINK("https://github.com/kilgaloon/leprechaun", "https://github.com/kilgaloon/leprechaun")</f>
        <v>https://github.com/kilgaloon/leprechaun</v>
      </c>
      <c r="D1240">
        <v>31</v>
      </c>
      <c r="E1240" t="s">
        <v>3639</v>
      </c>
      <c r="F1240" t="s">
        <v>3640</v>
      </c>
      <c r="G1240">
        <v>6</v>
      </c>
      <c r="H1240" s="2">
        <v>43198.572268518517</v>
      </c>
      <c r="I1240" s="2">
        <v>43580.209907407407</v>
      </c>
      <c r="J1240" t="s">
        <v>3641</v>
      </c>
    </row>
    <row r="1241" spans="1:10" x14ac:dyDescent="0.15">
      <c r="A1241">
        <v>56169518</v>
      </c>
      <c r="B1241" s="3" t="str">
        <f>HYPERLINK("https://github.com/dixonwille/wlog", "https://github.com/dixonwille/wlog")</f>
        <v>https://github.com/dixonwille/wlog</v>
      </c>
      <c r="D1241">
        <v>31</v>
      </c>
      <c r="E1241" t="s">
        <v>3642</v>
      </c>
      <c r="F1241" t="s">
        <v>3643</v>
      </c>
      <c r="G1241">
        <v>4</v>
      </c>
      <c r="H1241" s="2">
        <v>42473.69976851852</v>
      </c>
      <c r="I1241" s="2">
        <v>43545.074560185189</v>
      </c>
      <c r="J1241" t="s">
        <v>3644</v>
      </c>
    </row>
    <row r="1242" spans="1:10" x14ac:dyDescent="0.15">
      <c r="A1242">
        <v>32552406</v>
      </c>
      <c r="B1242" s="3" t="str">
        <f>HYPERLINK("https://github.com/rs/formjson", "https://github.com/rs/formjson")</f>
        <v>https://github.com/rs/formjson</v>
      </c>
      <c r="D1242">
        <v>30</v>
      </c>
      <c r="E1242" t="s">
        <v>3645</v>
      </c>
      <c r="F1242" t="s">
        <v>3646</v>
      </c>
      <c r="G1242">
        <v>0</v>
      </c>
      <c r="H1242" s="2">
        <v>42082.994768518518</v>
      </c>
      <c r="I1242" s="2">
        <v>43381.996944444443</v>
      </c>
      <c r="J1242" t="s">
        <v>3647</v>
      </c>
    </row>
    <row r="1243" spans="1:10" x14ac:dyDescent="0.15">
      <c r="A1243">
        <v>34725899</v>
      </c>
      <c r="B1243" s="3" t="str">
        <f>HYPERLINK("https://github.com/ematvey/gostat", "https://github.com/ematvey/gostat")</f>
        <v>https://github.com/ematvey/gostat</v>
      </c>
      <c r="D1243">
        <v>30</v>
      </c>
      <c r="E1243" t="s">
        <v>3648</v>
      </c>
      <c r="F1243" t="s">
        <v>3649</v>
      </c>
      <c r="G1243">
        <v>11</v>
      </c>
      <c r="H1243" s="2">
        <v>42122.46601851852</v>
      </c>
      <c r="I1243" s="2">
        <v>43383.373773148152</v>
      </c>
      <c r="J1243" t="s">
        <v>3650</v>
      </c>
    </row>
    <row r="1244" spans="1:10" x14ac:dyDescent="0.15">
      <c r="A1244">
        <v>29912299</v>
      </c>
      <c r="B1244" s="3" t="str">
        <f>HYPERLINK("https://github.com/danieldk/go2vec", "https://github.com/danieldk/go2vec")</f>
        <v>https://github.com/danieldk/go2vec</v>
      </c>
      <c r="D1244">
        <v>30</v>
      </c>
      <c r="E1244" t="s">
        <v>3651</v>
      </c>
      <c r="F1244" t="s">
        <v>3652</v>
      </c>
      <c r="G1244">
        <v>3</v>
      </c>
      <c r="H1244" s="2">
        <v>42031.501435185193</v>
      </c>
      <c r="I1244" s="2">
        <v>43391.304305555554</v>
      </c>
      <c r="J1244" t="s">
        <v>3653</v>
      </c>
    </row>
    <row r="1245" spans="1:10" x14ac:dyDescent="0.15">
      <c r="A1245">
        <v>19785339</v>
      </c>
      <c r="B1245" s="3" t="str">
        <f>HYPERLINK("https://github.com/couchbase/goforestdb", "https://github.com/couchbase/goforestdb")</f>
        <v>https://github.com/couchbase/goforestdb</v>
      </c>
      <c r="D1245">
        <v>30</v>
      </c>
      <c r="E1245" t="s">
        <v>3654</v>
      </c>
      <c r="F1245" t="s">
        <v>3655</v>
      </c>
      <c r="G1245">
        <v>4</v>
      </c>
      <c r="H1245" s="2">
        <v>41773.650138888886</v>
      </c>
      <c r="I1245" s="2">
        <v>43571.454293981478</v>
      </c>
      <c r="J1245" t="s">
        <v>3656</v>
      </c>
    </row>
    <row r="1246" spans="1:10" x14ac:dyDescent="0.15">
      <c r="A1246">
        <v>20386542</v>
      </c>
      <c r="B1246" s="3" t="str">
        <f>HYPERLINK("https://github.com/alouche/rodent", "https://github.com/alouche/rodent")</f>
        <v>https://github.com/alouche/rodent</v>
      </c>
      <c r="D1246">
        <v>30</v>
      </c>
      <c r="E1246" t="s">
        <v>3657</v>
      </c>
      <c r="F1246" t="s">
        <v>3658</v>
      </c>
      <c r="G1246">
        <v>1</v>
      </c>
      <c r="H1246" s="2">
        <v>41791.881041666667</v>
      </c>
      <c r="I1246" s="2">
        <v>43515.903935185182</v>
      </c>
      <c r="J1246" t="s">
        <v>3659</v>
      </c>
    </row>
    <row r="1247" spans="1:10" x14ac:dyDescent="0.15">
      <c r="A1247">
        <v>171874435</v>
      </c>
      <c r="B1247" s="3" t="str">
        <f>HYPERLINK("https://github.com/GuilhermeCaruso/bellt", "https://github.com/GuilhermeCaruso/bellt")</f>
        <v>https://github.com/GuilhermeCaruso/bellt</v>
      </c>
      <c r="D1247">
        <v>30</v>
      </c>
      <c r="E1247" t="s">
        <v>3660</v>
      </c>
      <c r="F1247" t="s">
        <v>3661</v>
      </c>
      <c r="G1247">
        <v>1</v>
      </c>
      <c r="H1247" s="2">
        <v>43517.551296296297</v>
      </c>
      <c r="I1247" s="2">
        <v>43566.827337962961</v>
      </c>
      <c r="J1247" t="s">
        <v>3662</v>
      </c>
    </row>
    <row r="1248" spans="1:10" x14ac:dyDescent="0.15">
      <c r="A1248">
        <v>156315669</v>
      </c>
      <c r="B1248" s="3" t="str">
        <f>HYPERLINK("https://github.com/quangngotan95/go-m3u8", "https://github.com/quangngotan95/go-m3u8")</f>
        <v>https://github.com/quangngotan95/go-m3u8</v>
      </c>
      <c r="D1248">
        <v>30</v>
      </c>
      <c r="E1248" t="s">
        <v>3663</v>
      </c>
      <c r="F1248" t="s">
        <v>3664</v>
      </c>
      <c r="G1248">
        <v>4</v>
      </c>
      <c r="H1248" s="2">
        <v>43410.112812500003</v>
      </c>
      <c r="I1248" s="2">
        <v>43554.259050925917</v>
      </c>
      <c r="J1248" t="s">
        <v>3665</v>
      </c>
    </row>
    <row r="1249" spans="1:10" x14ac:dyDescent="0.15">
      <c r="A1249">
        <v>135279732</v>
      </c>
      <c r="B1249" s="3" t="str">
        <f>HYPERLINK("https://github.com/bitfield/uptimerobot", "https://github.com/bitfield/uptimerobot")</f>
        <v>https://github.com/bitfield/uptimerobot</v>
      </c>
      <c r="D1249">
        <v>30</v>
      </c>
      <c r="E1249" t="s">
        <v>3666</v>
      </c>
      <c r="F1249" t="s">
        <v>3667</v>
      </c>
      <c r="G1249">
        <v>3</v>
      </c>
      <c r="H1249" s="2">
        <v>43249.435636574082</v>
      </c>
      <c r="I1249" s="2">
        <v>43571.645451388889</v>
      </c>
      <c r="J1249" t="s">
        <v>3668</v>
      </c>
    </row>
    <row r="1250" spans="1:10" x14ac:dyDescent="0.15">
      <c r="A1250">
        <v>45850129</v>
      </c>
      <c r="B1250" s="3" t="str">
        <f>HYPERLINK("https://github.com/Aorioli/gcm", "https://github.com/Aorioli/gcm")</f>
        <v>https://github.com/Aorioli/gcm</v>
      </c>
      <c r="D1250">
        <v>30</v>
      </c>
      <c r="E1250" t="s">
        <v>3669</v>
      </c>
      <c r="F1250" t="s">
        <v>3670</v>
      </c>
      <c r="G1250">
        <v>3</v>
      </c>
      <c r="H1250" s="2">
        <v>42317.678067129629</v>
      </c>
      <c r="I1250" s="2">
        <v>43576.537905092591</v>
      </c>
      <c r="J1250" t="s">
        <v>3671</v>
      </c>
    </row>
    <row r="1251" spans="1:10" x14ac:dyDescent="0.15">
      <c r="A1251">
        <v>33510067</v>
      </c>
      <c r="B1251" s="3" t="str">
        <f>HYPERLINK("https://github.com/codemodus/parth", "https://github.com/codemodus/parth")</f>
        <v>https://github.com/codemodus/parth</v>
      </c>
      <c r="D1251">
        <v>30</v>
      </c>
      <c r="E1251" t="s">
        <v>3672</v>
      </c>
      <c r="F1251" t="s">
        <v>3673</v>
      </c>
      <c r="G1251">
        <v>3</v>
      </c>
      <c r="H1251" s="2">
        <v>42100.954155092593</v>
      </c>
      <c r="I1251" s="2">
        <v>43549.351759259262</v>
      </c>
      <c r="J1251" t="s">
        <v>3674</v>
      </c>
    </row>
    <row r="1252" spans="1:10" x14ac:dyDescent="0.15">
      <c r="A1252">
        <v>172099405</v>
      </c>
      <c r="B1252" s="3" t="str">
        <f>HYPERLINK("https://github.com/SimonBaeumer/commander", "https://github.com/SimonBaeumer/commander")</f>
        <v>https://github.com/SimonBaeumer/commander</v>
      </c>
      <c r="D1252">
        <v>30</v>
      </c>
      <c r="E1252" t="s">
        <v>3675</v>
      </c>
      <c r="F1252" t="s">
        <v>3676</v>
      </c>
      <c r="G1252">
        <v>1</v>
      </c>
      <c r="H1252" s="2">
        <v>43518.691157407397</v>
      </c>
      <c r="I1252" s="2">
        <v>43571.476678240739</v>
      </c>
      <c r="J1252" t="s">
        <v>3677</v>
      </c>
    </row>
    <row r="1253" spans="1:10" x14ac:dyDescent="0.15">
      <c r="A1253">
        <v>74095837</v>
      </c>
      <c r="B1253" s="3" t="str">
        <f>HYPERLINK("https://github.com/mamal72/golyrics", "https://github.com/mamal72/golyrics")</f>
        <v>https://github.com/mamal72/golyrics</v>
      </c>
      <c r="D1253">
        <v>29</v>
      </c>
      <c r="E1253" t="s">
        <v>3678</v>
      </c>
      <c r="F1253" t="s">
        <v>3679</v>
      </c>
      <c r="G1253">
        <v>1</v>
      </c>
      <c r="H1253" s="2">
        <v>42692.194872685177</v>
      </c>
      <c r="I1253" s="2">
        <v>43571.925023148149</v>
      </c>
      <c r="J1253" t="s">
        <v>3680</v>
      </c>
    </row>
    <row r="1254" spans="1:10" x14ac:dyDescent="0.15">
      <c r="A1254">
        <v>29787342</v>
      </c>
      <c r="B1254" s="3" t="str">
        <f>HYPERLINK("https://github.com/resoursea/api", "https://github.com/resoursea/api")</f>
        <v>https://github.com/resoursea/api</v>
      </c>
      <c r="D1254">
        <v>29</v>
      </c>
      <c r="E1254" t="s">
        <v>3681</v>
      </c>
      <c r="F1254" t="s">
        <v>3682</v>
      </c>
      <c r="G1254">
        <v>2</v>
      </c>
      <c r="H1254" s="2">
        <v>42028.781597222223</v>
      </c>
      <c r="I1254" s="2">
        <v>43030.366967592592</v>
      </c>
      <c r="J1254" t="s">
        <v>3683</v>
      </c>
    </row>
    <row r="1255" spans="1:10" x14ac:dyDescent="0.15">
      <c r="A1255">
        <v>133992101</v>
      </c>
      <c r="B1255" s="3" t="str">
        <f>HYPERLINK("https://github.com/sgreben/flagvar", "https://github.com/sgreben/flagvar")</f>
        <v>https://github.com/sgreben/flagvar</v>
      </c>
      <c r="D1255">
        <v>29</v>
      </c>
      <c r="E1255" t="s">
        <v>3684</v>
      </c>
      <c r="F1255" t="s">
        <v>3685</v>
      </c>
      <c r="G1255">
        <v>0</v>
      </c>
      <c r="H1255" s="2">
        <v>43238.781435185178</v>
      </c>
      <c r="I1255" s="2">
        <v>43557.699872685182</v>
      </c>
      <c r="J1255" t="s">
        <v>3686</v>
      </c>
    </row>
    <row r="1256" spans="1:10" x14ac:dyDescent="0.15">
      <c r="A1256">
        <v>158938377</v>
      </c>
      <c r="B1256" s="3" t="str">
        <f>HYPERLINK("https://github.com/sj14/dbbench", "https://github.com/sj14/dbbench")</f>
        <v>https://github.com/sj14/dbbench</v>
      </c>
      <c r="D1256">
        <v>29</v>
      </c>
      <c r="E1256" t="s">
        <v>3687</v>
      </c>
      <c r="F1256" t="s">
        <v>3688</v>
      </c>
      <c r="G1256">
        <v>2</v>
      </c>
      <c r="H1256" s="2">
        <v>43428.556458333333</v>
      </c>
      <c r="I1256" s="2">
        <v>43579.142962962957</v>
      </c>
      <c r="J1256" t="s">
        <v>3689</v>
      </c>
    </row>
    <row r="1257" spans="1:10" x14ac:dyDescent="0.15">
      <c r="A1257">
        <v>102271088</v>
      </c>
      <c r="B1257" s="3" t="str">
        <f>HYPERLINK("https://github.com/chmike/securecookie", "https://github.com/chmike/securecookie")</f>
        <v>https://github.com/chmike/securecookie</v>
      </c>
      <c r="D1257">
        <v>29</v>
      </c>
      <c r="E1257" t="s">
        <v>3690</v>
      </c>
      <c r="F1257" t="s">
        <v>3691</v>
      </c>
      <c r="G1257">
        <v>3</v>
      </c>
      <c r="H1257" s="2">
        <v>42981.611446759263</v>
      </c>
      <c r="I1257" s="2">
        <v>43563.545763888891</v>
      </c>
      <c r="J1257" t="s">
        <v>3692</v>
      </c>
    </row>
    <row r="1258" spans="1:10" x14ac:dyDescent="0.15">
      <c r="A1258">
        <v>107589870</v>
      </c>
      <c r="B1258" s="3" t="str">
        <f>HYPERLINK("https://github.com/dwin/goSecretBoxPassword", "https://github.com/dwin/goSecretBoxPassword")</f>
        <v>https://github.com/dwin/goSecretBoxPassword</v>
      </c>
      <c r="D1258">
        <v>28</v>
      </c>
      <c r="E1258" t="s">
        <v>3693</v>
      </c>
      <c r="F1258" t="s">
        <v>3694</v>
      </c>
      <c r="G1258">
        <v>7</v>
      </c>
      <c r="H1258" s="2">
        <v>43027.815798611111</v>
      </c>
      <c r="I1258" s="2">
        <v>43579.256747685176</v>
      </c>
      <c r="J1258" t="s">
        <v>3695</v>
      </c>
    </row>
    <row r="1259" spans="1:10" x14ac:dyDescent="0.15">
      <c r="A1259">
        <v>35753102</v>
      </c>
      <c r="B1259" s="3" t="str">
        <f>HYPERLINK("https://github.com/polera/gonameparts", "https://github.com/polera/gonameparts")</f>
        <v>https://github.com/polera/gonameparts</v>
      </c>
      <c r="D1259">
        <v>28</v>
      </c>
      <c r="E1259" t="s">
        <v>3696</v>
      </c>
      <c r="F1259" t="s">
        <v>3697</v>
      </c>
      <c r="G1259">
        <v>1</v>
      </c>
      <c r="H1259" s="2">
        <v>42141.222418981481</v>
      </c>
      <c r="I1259" s="2">
        <v>43511.166018518517</v>
      </c>
      <c r="J1259" t="s">
        <v>3698</v>
      </c>
    </row>
    <row r="1260" spans="1:10" x14ac:dyDescent="0.15">
      <c r="A1260">
        <v>111550561</v>
      </c>
      <c r="B1260" s="3" t="str">
        <f>HYPERLINK("https://github.com/theia-ide/go-language-server", "https://github.com/theia-ide/go-language-server")</f>
        <v>https://github.com/theia-ide/go-language-server</v>
      </c>
      <c r="D1260">
        <v>28</v>
      </c>
      <c r="E1260" t="s">
        <v>3699</v>
      </c>
      <c r="F1260" t="s">
        <v>3700</v>
      </c>
      <c r="G1260">
        <v>8</v>
      </c>
      <c r="H1260" s="2">
        <v>43060.548993055563</v>
      </c>
      <c r="I1260" s="2">
        <v>43561.825520833343</v>
      </c>
      <c r="J1260" t="s">
        <v>3701</v>
      </c>
    </row>
    <row r="1261" spans="1:10" x14ac:dyDescent="0.15">
      <c r="A1261">
        <v>19966849</v>
      </c>
      <c r="B1261" s="3" t="str">
        <f>HYPERLINK("https://github.com/dukex/mixpanel", "https://github.com/dukex/mixpanel")</f>
        <v>https://github.com/dukex/mixpanel</v>
      </c>
      <c r="D1261">
        <v>28</v>
      </c>
      <c r="E1261" t="s">
        <v>3702</v>
      </c>
      <c r="F1261" t="s">
        <v>3703</v>
      </c>
      <c r="G1261">
        <v>12</v>
      </c>
      <c r="H1261" s="2">
        <v>41779.160115740742</v>
      </c>
      <c r="I1261" s="2">
        <v>43532.788993055547</v>
      </c>
      <c r="J1261" t="s">
        <v>3704</v>
      </c>
    </row>
    <row r="1262" spans="1:10" x14ac:dyDescent="0.15">
      <c r="A1262">
        <v>100789050</v>
      </c>
      <c r="B1262" s="3" t="str">
        <f>HYPERLINK("https://github.com/asafschers/goscore", "https://github.com/asafschers/goscore")</f>
        <v>https://github.com/asafschers/goscore</v>
      </c>
      <c r="D1262">
        <v>28</v>
      </c>
      <c r="E1262" t="s">
        <v>3705</v>
      </c>
      <c r="F1262" t="s">
        <v>3706</v>
      </c>
      <c r="G1262">
        <v>12</v>
      </c>
      <c r="H1262" s="2">
        <v>42966.46434027778</v>
      </c>
      <c r="I1262" s="2">
        <v>43552.300011574072</v>
      </c>
      <c r="J1262" t="s">
        <v>3707</v>
      </c>
    </row>
    <row r="1263" spans="1:10" x14ac:dyDescent="0.15">
      <c r="A1263">
        <v>132288330</v>
      </c>
      <c r="B1263" s="3" t="str">
        <f>HYPERLINK("https://github.com/aofei/cameron", "https://github.com/aofei/cameron")</f>
        <v>https://github.com/aofei/cameron</v>
      </c>
      <c r="D1263">
        <v>28</v>
      </c>
      <c r="E1263" t="s">
        <v>3708</v>
      </c>
      <c r="F1263" t="s">
        <v>3709</v>
      </c>
      <c r="G1263">
        <v>6</v>
      </c>
      <c r="H1263" s="2">
        <v>43225.925821759258</v>
      </c>
      <c r="I1263" s="2">
        <v>43575.196076388893</v>
      </c>
      <c r="J1263" t="s">
        <v>3710</v>
      </c>
    </row>
    <row r="1264" spans="1:10" x14ac:dyDescent="0.15">
      <c r="A1264">
        <v>69703885</v>
      </c>
      <c r="B1264" s="3" t="str">
        <f>HYPERLINK("https://github.com/pilosa/go-pilosa", "https://github.com/pilosa/go-pilosa")</f>
        <v>https://github.com/pilosa/go-pilosa</v>
      </c>
      <c r="D1264">
        <v>28</v>
      </c>
      <c r="E1264" t="s">
        <v>3711</v>
      </c>
      <c r="F1264" t="s">
        <v>3712</v>
      </c>
      <c r="G1264">
        <v>15</v>
      </c>
      <c r="H1264" s="2">
        <v>42643.900810185187</v>
      </c>
      <c r="I1264" s="2">
        <v>43574.571793981479</v>
      </c>
      <c r="J1264" t="s">
        <v>3713</v>
      </c>
    </row>
    <row r="1265" spans="1:10" x14ac:dyDescent="0.15">
      <c r="A1265">
        <v>130757857</v>
      </c>
      <c r="B1265" s="3" t="str">
        <f>HYPERLINK("https://github.com/InVisionApp/tabular", "https://github.com/InVisionApp/tabular")</f>
        <v>https://github.com/InVisionApp/tabular</v>
      </c>
      <c r="D1265">
        <v>28</v>
      </c>
      <c r="E1265" t="s">
        <v>3714</v>
      </c>
      <c r="F1265" t="s">
        <v>3715</v>
      </c>
      <c r="G1265">
        <v>2</v>
      </c>
      <c r="H1265" s="2">
        <v>43213.886840277781</v>
      </c>
      <c r="I1265" s="2">
        <v>43580.379224537042</v>
      </c>
      <c r="J1265" t="s">
        <v>3716</v>
      </c>
    </row>
    <row r="1266" spans="1:10" x14ac:dyDescent="0.15">
      <c r="A1266">
        <v>24174293</v>
      </c>
      <c r="B1266" s="3" t="str">
        <f>HYPERLINK("https://github.com/digitalcrab/browscap_go", "https://github.com/digitalcrab/browscap_go")</f>
        <v>https://github.com/digitalcrab/browscap_go</v>
      </c>
      <c r="D1266">
        <v>27</v>
      </c>
      <c r="E1266" t="s">
        <v>3717</v>
      </c>
      <c r="F1266" t="s">
        <v>3718</v>
      </c>
      <c r="G1266">
        <v>17</v>
      </c>
      <c r="H1266" s="2">
        <v>41900.199791666673</v>
      </c>
      <c r="I1266" s="2">
        <v>43309.607615740737</v>
      </c>
      <c r="J1266" t="s">
        <v>3719</v>
      </c>
    </row>
    <row r="1267" spans="1:10" x14ac:dyDescent="0.15">
      <c r="A1267">
        <v>50278174</v>
      </c>
      <c r="B1267" s="3" t="str">
        <f>HYPERLINK("https://github.com/blogcin/ToTo", "https://github.com/blogcin/ToTo")</f>
        <v>https://github.com/blogcin/ToTo</v>
      </c>
      <c r="D1267">
        <v>27</v>
      </c>
      <c r="E1267" t="s">
        <v>3720</v>
      </c>
      <c r="F1267" t="s">
        <v>3721</v>
      </c>
      <c r="G1267">
        <v>4</v>
      </c>
      <c r="H1267" s="2">
        <v>42393.33153935185</v>
      </c>
      <c r="I1267" s="2">
        <v>43570.425300925926</v>
      </c>
      <c r="J1267" t="s">
        <v>3722</v>
      </c>
    </row>
    <row r="1268" spans="1:10" x14ac:dyDescent="0.15">
      <c r="A1268">
        <v>39021291</v>
      </c>
      <c r="B1268" s="3" t="str">
        <f>HYPERLINK("https://github.com/nuveo/translate", "https://github.com/nuveo/translate")</f>
        <v>https://github.com/nuveo/translate</v>
      </c>
      <c r="D1268">
        <v>27</v>
      </c>
      <c r="E1268" t="s">
        <v>3723</v>
      </c>
      <c r="F1268" t="s">
        <v>3724</v>
      </c>
      <c r="G1268">
        <v>4</v>
      </c>
      <c r="H1268" s="2">
        <v>42198.654317129629</v>
      </c>
      <c r="I1268" s="2">
        <v>43577.558912037042</v>
      </c>
      <c r="J1268" t="s">
        <v>3725</v>
      </c>
    </row>
    <row r="1269" spans="1:10" x14ac:dyDescent="0.15">
      <c r="A1269">
        <v>167854148</v>
      </c>
      <c r="B1269" s="3" t="str">
        <f>HYPERLINK("https://github.com/jfilipczyk/gomatch", "https://github.com/jfilipczyk/gomatch")</f>
        <v>https://github.com/jfilipczyk/gomatch</v>
      </c>
      <c r="D1269">
        <v>27</v>
      </c>
      <c r="E1269" t="s">
        <v>3726</v>
      </c>
      <c r="F1269" t="s">
        <v>3727</v>
      </c>
      <c r="G1269">
        <v>0</v>
      </c>
      <c r="H1269" s="2">
        <v>43492.846597222233</v>
      </c>
      <c r="I1269" s="2">
        <v>43532.780057870368</v>
      </c>
      <c r="J1269" t="s">
        <v>3728</v>
      </c>
    </row>
    <row r="1270" spans="1:10" x14ac:dyDescent="0.15">
      <c r="A1270">
        <v>44270572</v>
      </c>
      <c r="B1270" s="3" t="str">
        <f>HYPERLINK("https://github.com/miolini/datacounter", "https://github.com/miolini/datacounter")</f>
        <v>https://github.com/miolini/datacounter</v>
      </c>
      <c r="D1270">
        <v>27</v>
      </c>
      <c r="E1270" t="s">
        <v>3729</v>
      </c>
      <c r="F1270" t="s">
        <v>3730</v>
      </c>
      <c r="G1270">
        <v>4</v>
      </c>
      <c r="H1270" s="2">
        <v>42291.802662037036</v>
      </c>
      <c r="I1270" s="2">
        <v>43559.118715277778</v>
      </c>
      <c r="J1270" t="s">
        <v>3731</v>
      </c>
    </row>
    <row r="1271" spans="1:10" x14ac:dyDescent="0.15">
      <c r="A1271">
        <v>129562054</v>
      </c>
      <c r="B1271" s="3" t="str">
        <f>HYPERLINK("https://github.com/OrlovEvgeny/go-mcache", "https://github.com/OrlovEvgeny/go-mcache")</f>
        <v>https://github.com/OrlovEvgeny/go-mcache</v>
      </c>
      <c r="D1271">
        <v>27</v>
      </c>
      <c r="E1271" t="s">
        <v>3732</v>
      </c>
      <c r="F1271" t="s">
        <v>3733</v>
      </c>
      <c r="G1271">
        <v>6</v>
      </c>
      <c r="H1271" s="2">
        <v>43204.980104166672</v>
      </c>
      <c r="I1271" s="2">
        <v>43563.410277777781</v>
      </c>
      <c r="J1271" t="s">
        <v>3734</v>
      </c>
    </row>
    <row r="1272" spans="1:10" x14ac:dyDescent="0.15">
      <c r="A1272">
        <v>105671742</v>
      </c>
      <c r="B1272" s="3" t="str">
        <f>HYPERLINK("https://github.com/Fontinalis/fonet", "https://github.com/Fontinalis/fonet")</f>
        <v>https://github.com/Fontinalis/fonet</v>
      </c>
      <c r="D1272">
        <v>27</v>
      </c>
      <c r="E1272" t="s">
        <v>3735</v>
      </c>
      <c r="F1272" t="s">
        <v>3736</v>
      </c>
      <c r="G1272">
        <v>6</v>
      </c>
      <c r="H1272" s="2">
        <v>43011.664756944447</v>
      </c>
      <c r="I1272" s="2">
        <v>43554.989988425928</v>
      </c>
      <c r="J1272" t="s">
        <v>3737</v>
      </c>
    </row>
    <row r="1273" spans="1:10" x14ac:dyDescent="0.15">
      <c r="A1273">
        <v>99661071</v>
      </c>
      <c r="B1273" s="3" t="str">
        <f>HYPERLINK("https://github.com/apache/calcite-avatica-go", "https://github.com/apache/calcite-avatica-go")</f>
        <v>https://github.com/apache/calcite-avatica-go</v>
      </c>
      <c r="D1273">
        <v>27</v>
      </c>
      <c r="E1273" t="s">
        <v>3738</v>
      </c>
      <c r="F1273" t="s">
        <v>3739</v>
      </c>
      <c r="G1273">
        <v>8</v>
      </c>
      <c r="H1273" s="2">
        <v>42955.291759259257</v>
      </c>
      <c r="I1273" s="2">
        <v>43544.218807870369</v>
      </c>
      <c r="J1273" t="s">
        <v>3740</v>
      </c>
    </row>
    <row r="1274" spans="1:10" x14ac:dyDescent="0.15">
      <c r="A1274">
        <v>55736685</v>
      </c>
      <c r="B1274" s="3" t="str">
        <f>HYPERLINK("https://github.com/agext/levenshtein", "https://github.com/agext/levenshtein")</f>
        <v>https://github.com/agext/levenshtein</v>
      </c>
      <c r="D1274">
        <v>27</v>
      </c>
      <c r="E1274" t="s">
        <v>3413</v>
      </c>
      <c r="F1274" t="s">
        <v>3741</v>
      </c>
      <c r="G1274">
        <v>1</v>
      </c>
      <c r="H1274" s="2">
        <v>42468.010081018518</v>
      </c>
      <c r="I1274" s="2">
        <v>43572.133275462962</v>
      </c>
      <c r="J1274" t="s">
        <v>3742</v>
      </c>
    </row>
    <row r="1275" spans="1:10" x14ac:dyDescent="0.15">
      <c r="A1275">
        <v>97854070</v>
      </c>
      <c r="B1275" s="3" t="str">
        <f>HYPERLINK("https://github.com/OpenPeeDeeP/xdg", "https://github.com/OpenPeeDeeP/xdg")</f>
        <v>https://github.com/OpenPeeDeeP/xdg</v>
      </c>
      <c r="D1275">
        <v>27</v>
      </c>
      <c r="E1275" t="s">
        <v>3743</v>
      </c>
      <c r="F1275" t="s">
        <v>3744</v>
      </c>
      <c r="G1275">
        <v>1</v>
      </c>
      <c r="H1275" s="2">
        <v>42936.665613425917</v>
      </c>
      <c r="I1275" s="2">
        <v>43570.587951388887</v>
      </c>
      <c r="J1275" t="s">
        <v>3745</v>
      </c>
    </row>
    <row r="1276" spans="1:10" x14ac:dyDescent="0.15">
      <c r="A1276">
        <v>94813478</v>
      </c>
      <c r="B1276" s="3" t="str">
        <f>HYPERLINK("https://github.com/antham/strumt", "https://github.com/antham/strumt")</f>
        <v>https://github.com/antham/strumt</v>
      </c>
      <c r="D1276">
        <v>27</v>
      </c>
      <c r="E1276" t="s">
        <v>3746</v>
      </c>
      <c r="F1276" t="s">
        <v>3747</v>
      </c>
      <c r="G1276">
        <v>2</v>
      </c>
      <c r="H1276" s="2">
        <v>42905.814768518518</v>
      </c>
      <c r="I1276" s="2">
        <v>43556.109224537038</v>
      </c>
      <c r="J1276" t="s">
        <v>3748</v>
      </c>
    </row>
    <row r="1277" spans="1:10" x14ac:dyDescent="0.15">
      <c r="A1277">
        <v>63480823</v>
      </c>
      <c r="B1277" s="3" t="str">
        <f>HYPERLINK("https://github.com/mozillazg/go-slugify", "https://github.com/mozillazg/go-slugify")</f>
        <v>https://github.com/mozillazg/go-slugify</v>
      </c>
      <c r="D1277">
        <v>26</v>
      </c>
      <c r="E1277" t="s">
        <v>3749</v>
      </c>
      <c r="F1277" t="s">
        <v>3750</v>
      </c>
      <c r="G1277">
        <v>3</v>
      </c>
      <c r="H1277" s="2">
        <v>42567.496701388889</v>
      </c>
      <c r="I1277" s="2">
        <v>43552.680081018523</v>
      </c>
      <c r="J1277" t="s">
        <v>3751</v>
      </c>
    </row>
    <row r="1278" spans="1:10" x14ac:dyDescent="0.15">
      <c r="A1278">
        <v>61212469</v>
      </c>
      <c r="B1278" s="3" t="str">
        <f>HYPERLINK("https://github.com/usk81/generic", "https://github.com/usk81/generic")</f>
        <v>https://github.com/usk81/generic</v>
      </c>
      <c r="D1278">
        <v>26</v>
      </c>
      <c r="E1278" t="s">
        <v>3752</v>
      </c>
      <c r="F1278" t="s">
        <v>3753</v>
      </c>
      <c r="G1278">
        <v>2</v>
      </c>
      <c r="H1278" s="2">
        <v>42536.583749999998</v>
      </c>
      <c r="I1278" s="2">
        <v>43556.572557870371</v>
      </c>
      <c r="J1278" t="s">
        <v>3754</v>
      </c>
    </row>
    <row r="1279" spans="1:10" x14ac:dyDescent="0.15">
      <c r="A1279">
        <v>83373783</v>
      </c>
      <c r="B1279" s="3" t="str">
        <f>HYPERLINK("https://github.com/zpatrick/rclient", "https://github.com/zpatrick/rclient")</f>
        <v>https://github.com/zpatrick/rclient</v>
      </c>
      <c r="D1279">
        <v>26</v>
      </c>
      <c r="E1279" t="s">
        <v>3755</v>
      </c>
      <c r="F1279" t="s">
        <v>3756</v>
      </c>
      <c r="G1279">
        <v>2</v>
      </c>
      <c r="H1279" s="2">
        <v>42794.046817129631</v>
      </c>
      <c r="I1279" s="2">
        <v>43570.775370370371</v>
      </c>
      <c r="J1279" t="s">
        <v>3757</v>
      </c>
    </row>
    <row r="1280" spans="1:10" x14ac:dyDescent="0.15">
      <c r="A1280">
        <v>19786672</v>
      </c>
      <c r="B1280" s="3" t="str">
        <f>HYPERLINK("https://github.com/bit4bit/gami", "https://github.com/bit4bit/gami")</f>
        <v>https://github.com/bit4bit/gami</v>
      </c>
      <c r="D1280">
        <v>26</v>
      </c>
      <c r="E1280" t="s">
        <v>3758</v>
      </c>
      <c r="F1280" t="s">
        <v>3759</v>
      </c>
      <c r="G1280">
        <v>19</v>
      </c>
      <c r="H1280" s="2">
        <v>41773.674733796302</v>
      </c>
      <c r="I1280" s="2">
        <v>43469.090046296304</v>
      </c>
      <c r="J1280" t="s">
        <v>3760</v>
      </c>
    </row>
    <row r="1281" spans="1:10" x14ac:dyDescent="0.15">
      <c r="A1281">
        <v>1189344</v>
      </c>
      <c r="B1281" s="3" t="str">
        <f>HYPERLINK("https://github.com/rdrdr/hamcrest", "https://github.com/rdrdr/hamcrest")</f>
        <v>https://github.com/rdrdr/hamcrest</v>
      </c>
      <c r="D1281">
        <v>26</v>
      </c>
      <c r="E1281" t="s">
        <v>3761</v>
      </c>
      <c r="F1281" t="s">
        <v>3762</v>
      </c>
      <c r="G1281">
        <v>3</v>
      </c>
      <c r="H1281" s="2">
        <v>40534.201203703713</v>
      </c>
      <c r="I1281" s="2">
        <v>43468.435347222221</v>
      </c>
      <c r="J1281" t="s">
        <v>3763</v>
      </c>
    </row>
    <row r="1282" spans="1:10" x14ac:dyDescent="0.15">
      <c r="A1282">
        <v>46753215</v>
      </c>
      <c r="B1282" s="3" t="str">
        <f>HYPERLINK("https://github.com/rickb777/date", "https://github.com/rickb777/date")</f>
        <v>https://github.com/rickb777/date</v>
      </c>
      <c r="D1282">
        <v>26</v>
      </c>
      <c r="E1282" t="s">
        <v>3764</v>
      </c>
      <c r="F1282" t="s">
        <v>3765</v>
      </c>
      <c r="G1282">
        <v>7</v>
      </c>
      <c r="H1282" s="2">
        <v>42331.957025462973</v>
      </c>
      <c r="I1282" s="2">
        <v>43579.915949074071</v>
      </c>
      <c r="J1282" t="s">
        <v>3766</v>
      </c>
    </row>
    <row r="1283" spans="1:10" x14ac:dyDescent="0.15">
      <c r="A1283">
        <v>114611101</v>
      </c>
      <c r="B1283" s="3" t="str">
        <f>HYPERLINK("https://github.com/oaStuff/clusteredBigCache", "https://github.com/oaStuff/clusteredBigCache")</f>
        <v>https://github.com/oaStuff/clusteredBigCache</v>
      </c>
      <c r="D1283">
        <v>26</v>
      </c>
      <c r="E1283" t="s">
        <v>3767</v>
      </c>
      <c r="F1283" t="s">
        <v>3768</v>
      </c>
      <c r="G1283">
        <v>3</v>
      </c>
      <c r="H1283" s="2">
        <v>43087.32508101852</v>
      </c>
      <c r="I1283" s="2">
        <v>43563.347372685188</v>
      </c>
      <c r="J1283" t="s">
        <v>3769</v>
      </c>
    </row>
    <row r="1284" spans="1:10" x14ac:dyDescent="0.15">
      <c r="A1284">
        <v>27312091</v>
      </c>
      <c r="B1284" s="3" t="str">
        <f>HYPERLINK("https://github.com/ian-kent/purl", "https://github.com/ian-kent/purl")</f>
        <v>https://github.com/ian-kent/purl</v>
      </c>
      <c r="D1284">
        <v>26</v>
      </c>
      <c r="E1284" t="s">
        <v>3770</v>
      </c>
      <c r="F1284" t="s">
        <v>3771</v>
      </c>
      <c r="G1284">
        <v>2</v>
      </c>
      <c r="H1284" s="2">
        <v>41972.795844907407</v>
      </c>
      <c r="I1284" s="2">
        <v>43560.489687499998</v>
      </c>
      <c r="J1284" t="s">
        <v>3772</v>
      </c>
    </row>
    <row r="1285" spans="1:10" x14ac:dyDescent="0.15">
      <c r="A1285">
        <v>115413677</v>
      </c>
      <c r="B1285" s="3" t="str">
        <f>HYPERLINK("https://github.com/ddo/rq", "https://github.com/ddo/rq")</f>
        <v>https://github.com/ddo/rq</v>
      </c>
      <c r="D1285">
        <v>25</v>
      </c>
      <c r="E1285" t="s">
        <v>3773</v>
      </c>
      <c r="F1285" t="s">
        <v>3774</v>
      </c>
      <c r="G1285">
        <v>2</v>
      </c>
      <c r="H1285" s="2">
        <v>43095.450312499997</v>
      </c>
      <c r="I1285" s="2">
        <v>43538.72184027778</v>
      </c>
      <c r="J1285" t="s">
        <v>3775</v>
      </c>
    </row>
    <row r="1286" spans="1:10" x14ac:dyDescent="0.15">
      <c r="A1286">
        <v>25282984</v>
      </c>
      <c r="B1286" s="3" t="str">
        <f>HYPERLINK("https://github.com/goanywhere/rex", "https://github.com/goanywhere/rex")</f>
        <v>https://github.com/goanywhere/rex</v>
      </c>
      <c r="D1286">
        <v>25</v>
      </c>
      <c r="E1286" t="s">
        <v>3776</v>
      </c>
      <c r="F1286" t="s">
        <v>3777</v>
      </c>
      <c r="G1286">
        <v>0</v>
      </c>
      <c r="H1286" s="2">
        <v>41928.101597222223</v>
      </c>
      <c r="I1286" s="2">
        <v>43546.606296296297</v>
      </c>
      <c r="J1286" t="s">
        <v>3778</v>
      </c>
    </row>
    <row r="1287" spans="1:10" x14ac:dyDescent="0.15">
      <c r="A1287">
        <v>93875831</v>
      </c>
      <c r="B1287" s="3" t="str">
        <f>HYPERLINK("https://github.com/rafaeljesus/retry-go", "https://github.com/rafaeljesus/retry-go")</f>
        <v>https://github.com/rafaeljesus/retry-go</v>
      </c>
      <c r="D1287">
        <v>25</v>
      </c>
      <c r="E1287" t="s">
        <v>3779</v>
      </c>
      <c r="F1287" t="s">
        <v>3780</v>
      </c>
      <c r="G1287">
        <v>4</v>
      </c>
      <c r="H1287" s="2">
        <v>42895.671956018523</v>
      </c>
      <c r="I1287" s="2">
        <v>43557.448506944442</v>
      </c>
      <c r="J1287" t="s">
        <v>3781</v>
      </c>
    </row>
    <row r="1288" spans="1:10" x14ac:dyDescent="0.15">
      <c r="A1288">
        <v>92257475</v>
      </c>
      <c r="B1288" s="3" t="str">
        <f>HYPERLINK("https://github.com/tenntenn/gpath", "https://github.com/tenntenn/gpath")</f>
        <v>https://github.com/tenntenn/gpath</v>
      </c>
      <c r="D1288">
        <v>25</v>
      </c>
      <c r="E1288" t="s">
        <v>3782</v>
      </c>
      <c r="F1288" t="s">
        <v>3783</v>
      </c>
      <c r="G1288">
        <v>0</v>
      </c>
      <c r="H1288" s="2">
        <v>42879.266875000001</v>
      </c>
      <c r="I1288" s="2">
        <v>43389.739131944443</v>
      </c>
      <c r="J1288" t="s">
        <v>3784</v>
      </c>
    </row>
    <row r="1289" spans="1:10" x14ac:dyDescent="0.15">
      <c r="A1289">
        <v>120235324</v>
      </c>
      <c r="B1289" s="3" t="str">
        <f>HYPERLINK("https://github.com/hexdigest/gounit", "https://github.com/hexdigest/gounit")</f>
        <v>https://github.com/hexdigest/gounit</v>
      </c>
      <c r="D1289">
        <v>25</v>
      </c>
      <c r="E1289" t="s">
        <v>3785</v>
      </c>
      <c r="F1289" t="s">
        <v>3786</v>
      </c>
      <c r="G1289">
        <v>4</v>
      </c>
      <c r="H1289" s="2">
        <v>43136.005902777782</v>
      </c>
      <c r="I1289" s="2">
        <v>43579.765856481477</v>
      </c>
      <c r="J1289" t="s">
        <v>3787</v>
      </c>
    </row>
    <row r="1290" spans="1:10" x14ac:dyDescent="0.15">
      <c r="A1290">
        <v>47140910</v>
      </c>
      <c r="B1290" s="3" t="str">
        <f>HYPERLINK("https://github.com/hyperboloide/pdfgen", "https://github.com/hyperboloide/pdfgen")</f>
        <v>https://github.com/hyperboloide/pdfgen</v>
      </c>
      <c r="D1290">
        <v>25</v>
      </c>
      <c r="E1290" t="s">
        <v>3788</v>
      </c>
      <c r="F1290" t="s">
        <v>3789</v>
      </c>
      <c r="G1290">
        <v>2</v>
      </c>
      <c r="H1290" s="2">
        <v>42338.810717592591</v>
      </c>
      <c r="I1290" s="2">
        <v>43572.117928240739</v>
      </c>
      <c r="J1290" t="s">
        <v>3790</v>
      </c>
    </row>
    <row r="1291" spans="1:10" x14ac:dyDescent="0.15">
      <c r="A1291">
        <v>23939547</v>
      </c>
      <c r="B1291" s="3" t="str">
        <f>HYPERLINK("https://github.com/sebest/logrusly", "https://github.com/sebest/logrusly")</f>
        <v>https://github.com/sebest/logrusly</v>
      </c>
      <c r="D1291">
        <v>25</v>
      </c>
      <c r="E1291" t="s">
        <v>3791</v>
      </c>
      <c r="F1291" t="s">
        <v>3792</v>
      </c>
      <c r="G1291">
        <v>11</v>
      </c>
      <c r="H1291" s="2">
        <v>41893.977210648147</v>
      </c>
      <c r="I1291" s="2">
        <v>43537.61546296296</v>
      </c>
      <c r="J1291" t="s">
        <v>3793</v>
      </c>
    </row>
    <row r="1292" spans="1:10" x14ac:dyDescent="0.15">
      <c r="A1292">
        <v>87002120</v>
      </c>
      <c r="B1292" s="3" t="str">
        <f>HYPERLINK("https://github.com/alexeyco/binder", "https://github.com/alexeyco/binder")</f>
        <v>https://github.com/alexeyco/binder</v>
      </c>
      <c r="D1292">
        <v>25</v>
      </c>
      <c r="E1292" t="s">
        <v>3794</v>
      </c>
      <c r="F1292" t="s">
        <v>3795</v>
      </c>
      <c r="G1292">
        <v>4</v>
      </c>
      <c r="H1292" s="2">
        <v>42827.718657407408</v>
      </c>
      <c r="I1292" s="2">
        <v>43534.757326388892</v>
      </c>
      <c r="J1292" t="s">
        <v>3796</v>
      </c>
    </row>
    <row r="1293" spans="1:10" x14ac:dyDescent="0.15">
      <c r="A1293">
        <v>107387321</v>
      </c>
      <c r="B1293" s="3" t="str">
        <f>HYPERLINK("https://github.com/emvi/gondolier", "https://github.com/emvi/gondolier")</f>
        <v>https://github.com/emvi/gondolier</v>
      </c>
      <c r="D1293">
        <v>25</v>
      </c>
      <c r="E1293" t="s">
        <v>3797</v>
      </c>
      <c r="F1293" t="s">
        <v>3798</v>
      </c>
      <c r="G1293">
        <v>1</v>
      </c>
      <c r="H1293" s="2">
        <v>43026.398599537039</v>
      </c>
      <c r="I1293" s="2">
        <v>43551.062071759261</v>
      </c>
      <c r="J1293" t="s">
        <v>3799</v>
      </c>
    </row>
    <row r="1294" spans="1:10" x14ac:dyDescent="0.15">
      <c r="A1294">
        <v>111165010</v>
      </c>
      <c r="B1294" s="3" t="str">
        <f>HYPERLINK("https://github.com/nikogura/gomason", "https://github.com/nikogura/gomason")</f>
        <v>https://github.com/nikogura/gomason</v>
      </c>
      <c r="D1294">
        <v>25</v>
      </c>
      <c r="E1294" t="s">
        <v>3800</v>
      </c>
      <c r="F1294" t="s">
        <v>3801</v>
      </c>
      <c r="G1294">
        <v>3</v>
      </c>
      <c r="H1294" s="2">
        <v>43057.04109953704</v>
      </c>
      <c r="I1294" s="2">
        <v>43572.958645833343</v>
      </c>
      <c r="J1294" t="s">
        <v>3802</v>
      </c>
    </row>
    <row r="1295" spans="1:10" x14ac:dyDescent="0.15">
      <c r="A1295">
        <v>19111936</v>
      </c>
      <c r="B1295" s="3" t="str">
        <f>HYPERLINK("https://github.com/jyotiska/go-webcolors", "https://github.com/jyotiska/go-webcolors")</f>
        <v>https://github.com/jyotiska/go-webcolors</v>
      </c>
      <c r="D1295">
        <v>24</v>
      </c>
      <c r="E1295" t="s">
        <v>3803</v>
      </c>
      <c r="F1295" t="s">
        <v>3804</v>
      </c>
      <c r="G1295">
        <v>3</v>
      </c>
      <c r="H1295" s="2">
        <v>41753.612060185187</v>
      </c>
      <c r="I1295" s="2">
        <v>43531.498865740738</v>
      </c>
      <c r="J1295" t="s">
        <v>3805</v>
      </c>
    </row>
    <row r="1296" spans="1:10" x14ac:dyDescent="0.15">
      <c r="A1296">
        <v>7111548</v>
      </c>
      <c r="B1296" s="3" t="str">
        <f>HYPERLINK("https://github.com/goodsign/snowball", "https://github.com/goodsign/snowball")</f>
        <v>https://github.com/goodsign/snowball</v>
      </c>
      <c r="D1296">
        <v>24</v>
      </c>
      <c r="E1296" t="s">
        <v>3806</v>
      </c>
      <c r="F1296" t="s">
        <v>3807</v>
      </c>
      <c r="G1296">
        <v>1</v>
      </c>
      <c r="H1296" s="2">
        <v>41254.529386574082</v>
      </c>
      <c r="I1296" s="2">
        <v>43556.546273148153</v>
      </c>
      <c r="J1296" t="s">
        <v>3808</v>
      </c>
    </row>
    <row r="1297" spans="1:10" x14ac:dyDescent="0.15">
      <c r="A1297">
        <v>70079787</v>
      </c>
      <c r="B1297" s="3" t="str">
        <f>HYPERLINK("https://github.com/zegl/goriak", "https://github.com/zegl/goriak")</f>
        <v>https://github.com/zegl/goriak</v>
      </c>
      <c r="D1297">
        <v>24</v>
      </c>
      <c r="E1297" t="s">
        <v>3809</v>
      </c>
      <c r="F1297" t="s">
        <v>3810</v>
      </c>
      <c r="G1297">
        <v>3</v>
      </c>
      <c r="H1297" s="2">
        <v>42648.700196759259</v>
      </c>
      <c r="I1297" s="2">
        <v>43539.020532407398</v>
      </c>
      <c r="J1297" t="s">
        <v>3811</v>
      </c>
    </row>
    <row r="1298" spans="1:10" x14ac:dyDescent="0.15">
      <c r="A1298">
        <v>47938889</v>
      </c>
      <c r="B1298" s="3" t="str">
        <f>HYPERLINK("https://github.com/zhulik/go_mediainfo", "https://github.com/zhulik/go_mediainfo")</f>
        <v>https://github.com/zhulik/go_mediainfo</v>
      </c>
      <c r="D1298">
        <v>24</v>
      </c>
      <c r="E1298" t="s">
        <v>3812</v>
      </c>
      <c r="F1298" t="s">
        <v>3813</v>
      </c>
      <c r="G1298">
        <v>8</v>
      </c>
      <c r="H1298" s="2">
        <v>42351.932905092603</v>
      </c>
      <c r="I1298" s="2">
        <v>43551.870462962957</v>
      </c>
      <c r="J1298" t="s">
        <v>3814</v>
      </c>
    </row>
    <row r="1299" spans="1:10" x14ac:dyDescent="0.15">
      <c r="A1299">
        <v>28446762</v>
      </c>
      <c r="B1299" s="3" t="str">
        <f>HYPERLINK("https://github.com/aisk/vox", "https://github.com/aisk/vox")</f>
        <v>https://github.com/aisk/vox</v>
      </c>
      <c r="D1299">
        <v>24</v>
      </c>
      <c r="E1299" t="s">
        <v>3815</v>
      </c>
      <c r="F1299" t="s">
        <v>3816</v>
      </c>
      <c r="G1299">
        <v>3</v>
      </c>
      <c r="H1299" s="2">
        <v>41997.473703703698</v>
      </c>
      <c r="I1299" s="2">
        <v>43578.274131944447</v>
      </c>
      <c r="J1299" t="s">
        <v>3817</v>
      </c>
    </row>
    <row r="1300" spans="1:10" x14ac:dyDescent="0.15">
      <c r="A1300">
        <v>71887624</v>
      </c>
      <c r="B1300" s="3" t="str">
        <f>HYPERLINK("https://github.com/korandiz/v4l", "https://github.com/korandiz/v4l")</f>
        <v>https://github.com/korandiz/v4l</v>
      </c>
      <c r="D1300">
        <v>24</v>
      </c>
      <c r="E1300" t="s">
        <v>3818</v>
      </c>
      <c r="F1300" t="s">
        <v>3819</v>
      </c>
      <c r="G1300">
        <v>7</v>
      </c>
      <c r="H1300" s="2">
        <v>42668.451678240737</v>
      </c>
      <c r="I1300" s="2">
        <v>43536.290613425917</v>
      </c>
      <c r="J1300" t="s">
        <v>3820</v>
      </c>
    </row>
    <row r="1301" spans="1:10" x14ac:dyDescent="0.15">
      <c r="A1301">
        <v>33842431</v>
      </c>
      <c r="B1301" s="3" t="str">
        <f>HYPERLINK("https://github.com/avelino/slugify", "https://github.com/avelino/slugify")</f>
        <v>https://github.com/avelino/slugify</v>
      </c>
      <c r="D1301">
        <v>24</v>
      </c>
      <c r="E1301" t="s">
        <v>3821</v>
      </c>
      <c r="F1301" t="s">
        <v>3822</v>
      </c>
      <c r="G1301">
        <v>2</v>
      </c>
      <c r="H1301" s="2">
        <v>42107.079513888893</v>
      </c>
      <c r="I1301" s="2">
        <v>43431.900104166663</v>
      </c>
      <c r="J1301" t="s">
        <v>3823</v>
      </c>
    </row>
    <row r="1302" spans="1:10" x14ac:dyDescent="0.15">
      <c r="A1302">
        <v>19042786</v>
      </c>
      <c r="B1302" s="3" t="str">
        <f>HYPERLINK("https://github.com/koofr/graval", "https://github.com/koofr/graval")</f>
        <v>https://github.com/koofr/graval</v>
      </c>
      <c r="D1302">
        <v>24</v>
      </c>
      <c r="E1302" t="s">
        <v>3824</v>
      </c>
      <c r="F1302" t="s">
        <v>3825</v>
      </c>
      <c r="G1302">
        <v>5</v>
      </c>
      <c r="H1302" s="2">
        <v>41751.803680555553</v>
      </c>
      <c r="I1302" s="2">
        <v>43573.184351851851</v>
      </c>
      <c r="J1302" t="s">
        <v>3826</v>
      </c>
    </row>
    <row r="1303" spans="1:10" x14ac:dyDescent="0.15">
      <c r="A1303">
        <v>6010559</v>
      </c>
      <c r="B1303" s="3" t="str">
        <f>HYPERLINK("https://github.com/rookii/paicehusk", "https://github.com/rookii/paicehusk")</f>
        <v>https://github.com/rookii/paicehusk</v>
      </c>
      <c r="D1303">
        <v>24</v>
      </c>
      <c r="E1303" t="s">
        <v>3827</v>
      </c>
      <c r="F1303" t="s">
        <v>3828</v>
      </c>
      <c r="G1303">
        <v>5</v>
      </c>
      <c r="H1303" s="2">
        <v>41181.67150462963</v>
      </c>
      <c r="I1303" s="2">
        <v>43384.034548611111</v>
      </c>
      <c r="J1303" t="s">
        <v>3829</v>
      </c>
    </row>
    <row r="1304" spans="1:10" x14ac:dyDescent="0.15">
      <c r="A1304">
        <v>40518397</v>
      </c>
      <c r="B1304" s="3" t="str">
        <f>HYPERLINK("https://github.com/marioidival/bro", "https://github.com/marioidival/bro")</f>
        <v>https://github.com/marioidival/bro</v>
      </c>
      <c r="D1304">
        <v>24</v>
      </c>
      <c r="E1304" t="s">
        <v>3830</v>
      </c>
      <c r="F1304" t="s">
        <v>3831</v>
      </c>
      <c r="G1304">
        <v>4</v>
      </c>
      <c r="H1304" s="2">
        <v>42227.128842592603</v>
      </c>
      <c r="I1304" s="2">
        <v>43522.81108796296</v>
      </c>
      <c r="J1304" t="s">
        <v>3832</v>
      </c>
    </row>
    <row r="1305" spans="1:10" x14ac:dyDescent="0.15">
      <c r="A1305">
        <v>94678405</v>
      </c>
      <c r="B1305" s="3" t="str">
        <f>HYPERLINK("https://github.com/rafaeljesus/parallel-fn", "https://github.com/rafaeljesus/parallel-fn")</f>
        <v>https://github.com/rafaeljesus/parallel-fn</v>
      </c>
      <c r="D1305">
        <v>24</v>
      </c>
      <c r="E1305" t="s">
        <v>3833</v>
      </c>
      <c r="F1305" t="s">
        <v>3834</v>
      </c>
      <c r="G1305">
        <v>1</v>
      </c>
      <c r="H1305" s="2">
        <v>42904.408263888887</v>
      </c>
      <c r="I1305" s="2">
        <v>43501.12394675926</v>
      </c>
      <c r="J1305" t="s">
        <v>3835</v>
      </c>
    </row>
    <row r="1306" spans="1:10" x14ac:dyDescent="0.15">
      <c r="A1306">
        <v>8834393</v>
      </c>
      <c r="B1306" s="3" t="str">
        <f>HYPERLINK("https://github.com/dgruber/drmaa", "https://github.com/dgruber/drmaa")</f>
        <v>https://github.com/dgruber/drmaa</v>
      </c>
      <c r="D1306">
        <v>24</v>
      </c>
      <c r="E1306" t="s">
        <v>3836</v>
      </c>
      <c r="F1306" t="s">
        <v>3837</v>
      </c>
      <c r="G1306">
        <v>16</v>
      </c>
      <c r="H1306" s="2">
        <v>41350.540300925917</v>
      </c>
      <c r="I1306" s="2">
        <v>43578.820162037038</v>
      </c>
      <c r="J1306" t="s">
        <v>3838</v>
      </c>
    </row>
    <row r="1307" spans="1:10" x14ac:dyDescent="0.15">
      <c r="A1307">
        <v>48707296</v>
      </c>
      <c r="B1307" s="3" t="str">
        <f>HYPERLINK("https://github.com/OwnLocal/goes", "https://github.com/OwnLocal/goes")</f>
        <v>https://github.com/OwnLocal/goes</v>
      </c>
      <c r="D1307">
        <v>24</v>
      </c>
      <c r="E1307" t="s">
        <v>2898</v>
      </c>
      <c r="F1307" t="s">
        <v>2899</v>
      </c>
      <c r="G1307">
        <v>9</v>
      </c>
      <c r="H1307" s="2">
        <v>42366.786145833343</v>
      </c>
      <c r="I1307" s="2">
        <v>43535.381493055553</v>
      </c>
      <c r="J1307" t="s">
        <v>3839</v>
      </c>
    </row>
    <row r="1308" spans="1:10" x14ac:dyDescent="0.15">
      <c r="A1308">
        <v>10138934</v>
      </c>
      <c r="B1308" s="3" t="str">
        <f>HYPERLINK("https://github.com/cihangir/neo4j", "https://github.com/cihangir/neo4j")</f>
        <v>https://github.com/cihangir/neo4j</v>
      </c>
      <c r="D1308">
        <v>24</v>
      </c>
      <c r="E1308" t="s">
        <v>3840</v>
      </c>
      <c r="F1308" t="s">
        <v>3841</v>
      </c>
      <c r="G1308">
        <v>4</v>
      </c>
      <c r="H1308" s="2">
        <v>41412.370844907397</v>
      </c>
      <c r="I1308" s="2">
        <v>43404.342476851853</v>
      </c>
      <c r="J1308" t="s">
        <v>3842</v>
      </c>
    </row>
    <row r="1309" spans="1:10" x14ac:dyDescent="0.15">
      <c r="A1309">
        <v>113921082</v>
      </c>
      <c r="B1309" s="3" t="str">
        <f>HYPERLINK("https://github.com/hexdigest/prep", "https://github.com/hexdigest/prep")</f>
        <v>https://github.com/hexdigest/prep</v>
      </c>
      <c r="D1309">
        <v>24</v>
      </c>
      <c r="E1309" t="s">
        <v>3843</v>
      </c>
      <c r="F1309" t="s">
        <v>3844</v>
      </c>
      <c r="G1309">
        <v>1</v>
      </c>
      <c r="H1309" s="2">
        <v>43080.991412037038</v>
      </c>
      <c r="I1309" s="2">
        <v>43579.766724537039</v>
      </c>
      <c r="J1309" t="s">
        <v>3845</v>
      </c>
    </row>
    <row r="1310" spans="1:10" x14ac:dyDescent="0.15">
      <c r="A1310">
        <v>28749541</v>
      </c>
      <c r="B1310" s="3" t="str">
        <f>HYPERLINK("https://github.com/pravasan/pravasan", "https://github.com/pravasan/pravasan")</f>
        <v>https://github.com/pravasan/pravasan</v>
      </c>
      <c r="D1310">
        <v>24</v>
      </c>
      <c r="E1310" t="s">
        <v>3846</v>
      </c>
      <c r="F1310" t="s">
        <v>3847</v>
      </c>
      <c r="G1310">
        <v>5</v>
      </c>
      <c r="H1310" s="2">
        <v>42007.71603009259</v>
      </c>
      <c r="I1310" s="2">
        <v>43546.579571759263</v>
      </c>
      <c r="J1310" t="s">
        <v>3848</v>
      </c>
    </row>
    <row r="1311" spans="1:10" x14ac:dyDescent="0.15">
      <c r="A1311">
        <v>121938724</v>
      </c>
      <c r="B1311" s="3" t="str">
        <f>HYPERLINK("https://github.com/ufoscout/go-up", "https://github.com/ufoscout/go-up")</f>
        <v>https://github.com/ufoscout/go-up</v>
      </c>
      <c r="D1311">
        <v>24</v>
      </c>
      <c r="E1311" t="s">
        <v>3849</v>
      </c>
      <c r="F1311" t="s">
        <v>3850</v>
      </c>
      <c r="G1311">
        <v>1</v>
      </c>
      <c r="H1311" s="2">
        <v>43149.409722222219</v>
      </c>
      <c r="I1311" s="2">
        <v>43553.807592592602</v>
      </c>
      <c r="J1311" t="s">
        <v>3851</v>
      </c>
    </row>
    <row r="1312" spans="1:10" x14ac:dyDescent="0.15">
      <c r="A1312">
        <v>119030622</v>
      </c>
      <c r="B1312" s="3" t="str">
        <f>HYPERLINK("https://github.com/tosone/minimp3", "https://github.com/tosone/minimp3")</f>
        <v>https://github.com/tosone/minimp3</v>
      </c>
      <c r="D1312">
        <v>24</v>
      </c>
      <c r="E1312" t="s">
        <v>3852</v>
      </c>
      <c r="F1312" t="s">
        <v>3853</v>
      </c>
      <c r="G1312">
        <v>6</v>
      </c>
      <c r="H1312" s="2">
        <v>43126.382303240738</v>
      </c>
      <c r="I1312" s="2">
        <v>43578.065162037034</v>
      </c>
      <c r="J1312" t="s">
        <v>3854</v>
      </c>
    </row>
    <row r="1313" spans="1:10" x14ac:dyDescent="0.15">
      <c r="A1313">
        <v>156291371</v>
      </c>
      <c r="B1313" s="3" t="str">
        <f>HYPERLINK("https://github.com/seborama/fuego", "https://github.com/seborama/fuego")</f>
        <v>https://github.com/seborama/fuego</v>
      </c>
      <c r="D1313">
        <v>24</v>
      </c>
      <c r="E1313" t="s">
        <v>3855</v>
      </c>
      <c r="F1313" t="s">
        <v>3856</v>
      </c>
      <c r="G1313">
        <v>2</v>
      </c>
      <c r="H1313" s="2">
        <v>43409.933437500003</v>
      </c>
      <c r="I1313" s="2">
        <v>43563.907881944448</v>
      </c>
      <c r="J1313" t="s">
        <v>3857</v>
      </c>
    </row>
    <row r="1314" spans="1:10" x14ac:dyDescent="0.15">
      <c r="A1314">
        <v>6118064</v>
      </c>
      <c r="B1314" s="3" t="str">
        <f>HYPERLINK("https://github.com/ftrvxmtrx/tga", "https://github.com/ftrvxmtrx/tga")</f>
        <v>https://github.com/ftrvxmtrx/tga</v>
      </c>
      <c r="D1314">
        <v>23</v>
      </c>
      <c r="E1314" t="s">
        <v>3858</v>
      </c>
      <c r="F1314" t="s">
        <v>3859</v>
      </c>
      <c r="G1314">
        <v>10</v>
      </c>
      <c r="H1314" s="2">
        <v>41190.048148148147</v>
      </c>
      <c r="I1314" s="2">
        <v>43578.87636574074</v>
      </c>
      <c r="J1314" t="s">
        <v>3860</v>
      </c>
    </row>
    <row r="1315" spans="1:10" x14ac:dyDescent="0.15">
      <c r="A1315">
        <v>19831537</v>
      </c>
      <c r="B1315" s="3" t="str">
        <f>HYPERLINK("https://github.com/artyom/autoflags", "https://github.com/artyom/autoflags")</f>
        <v>https://github.com/artyom/autoflags</v>
      </c>
      <c r="D1315">
        <v>23</v>
      </c>
      <c r="E1315" t="s">
        <v>3861</v>
      </c>
      <c r="F1315" t="s">
        <v>3862</v>
      </c>
      <c r="G1315">
        <v>1</v>
      </c>
      <c r="H1315" s="2">
        <v>41774.792002314818</v>
      </c>
      <c r="I1315" s="2">
        <v>43553.481979166667</v>
      </c>
      <c r="J1315" t="s">
        <v>3863</v>
      </c>
    </row>
    <row r="1316" spans="1:10" x14ac:dyDescent="0.15">
      <c r="A1316">
        <v>129464544</v>
      </c>
      <c r="B1316" s="3" t="str">
        <f>HYPERLINK("https://github.com/leandro-lugaresi/hub", "https://github.com/leandro-lugaresi/hub")</f>
        <v>https://github.com/leandro-lugaresi/hub</v>
      </c>
      <c r="D1316">
        <v>23</v>
      </c>
      <c r="E1316" t="s">
        <v>66</v>
      </c>
      <c r="F1316" t="s">
        <v>3864</v>
      </c>
      <c r="G1316">
        <v>1</v>
      </c>
      <c r="H1316" s="2">
        <v>43203.991122685176</v>
      </c>
      <c r="I1316" s="2">
        <v>43577.810046296298</v>
      </c>
      <c r="J1316" t="s">
        <v>3865</v>
      </c>
    </row>
    <row r="1317" spans="1:10" x14ac:dyDescent="0.15">
      <c r="A1317">
        <v>106391348</v>
      </c>
      <c r="B1317" s="3" t="str">
        <f>HYPERLINK("https://github.com/Xamber/Varis", "https://github.com/Xamber/Varis")</f>
        <v>https://github.com/Xamber/Varis</v>
      </c>
      <c r="D1317">
        <v>23</v>
      </c>
      <c r="E1317" t="s">
        <v>3866</v>
      </c>
      <c r="F1317" t="s">
        <v>3867</v>
      </c>
      <c r="G1317">
        <v>5</v>
      </c>
      <c r="H1317" s="2">
        <v>43018.363506944443</v>
      </c>
      <c r="I1317" s="2">
        <v>43566.29488425926</v>
      </c>
      <c r="J1317" t="s">
        <v>3868</v>
      </c>
    </row>
    <row r="1318" spans="1:10" x14ac:dyDescent="0.15">
      <c r="A1318">
        <v>117086481</v>
      </c>
      <c r="B1318" s="3" t="str">
        <f>HYPERLINK("https://github.com/marusama/cyclicbarrier", "https://github.com/marusama/cyclicbarrier")</f>
        <v>https://github.com/marusama/cyclicbarrier</v>
      </c>
      <c r="D1318">
        <v>23</v>
      </c>
      <c r="E1318" t="s">
        <v>3869</v>
      </c>
      <c r="F1318" t="s">
        <v>3870</v>
      </c>
      <c r="G1318">
        <v>1</v>
      </c>
      <c r="H1318" s="2">
        <v>43111.44358796296</v>
      </c>
      <c r="I1318" s="2">
        <v>43522.108414351853</v>
      </c>
      <c r="J1318" t="s">
        <v>3871</v>
      </c>
    </row>
    <row r="1319" spans="1:10" x14ac:dyDescent="0.15">
      <c r="A1319">
        <v>22663801</v>
      </c>
      <c r="B1319" s="3" t="str">
        <f>HYPERLINK("https://github.com/robfig/bind", "https://github.com/robfig/bind")</f>
        <v>https://github.com/robfig/bind</v>
      </c>
      <c r="D1319">
        <v>23</v>
      </c>
      <c r="E1319" t="s">
        <v>3872</v>
      </c>
      <c r="G1319">
        <v>3</v>
      </c>
      <c r="H1319" s="2">
        <v>41857.009143518517</v>
      </c>
      <c r="I1319" s="2">
        <v>43471.271921296298</v>
      </c>
      <c r="J1319" t="s">
        <v>3873</v>
      </c>
    </row>
    <row r="1320" spans="1:10" x14ac:dyDescent="0.15">
      <c r="A1320">
        <v>144363215</v>
      </c>
      <c r="B1320" s="3" t="str">
        <f>HYPERLINK("https://github.com/robinjoseph08/go-pg-migrations", "https://github.com/robinjoseph08/go-pg-migrations")</f>
        <v>https://github.com/robinjoseph08/go-pg-migrations</v>
      </c>
      <c r="D1320">
        <v>23</v>
      </c>
      <c r="E1320" t="s">
        <v>3874</v>
      </c>
      <c r="F1320" t="s">
        <v>3875</v>
      </c>
      <c r="G1320">
        <v>5</v>
      </c>
      <c r="H1320" s="2">
        <v>43323.291817129633</v>
      </c>
      <c r="I1320" s="2">
        <v>43570.452939814822</v>
      </c>
      <c r="J1320" t="s">
        <v>3876</v>
      </c>
    </row>
    <row r="1321" spans="1:10" x14ac:dyDescent="0.15">
      <c r="A1321">
        <v>143220850</v>
      </c>
      <c r="B1321" s="3" t="str">
        <f>HYPERLINK("https://github.com/zpatrick/rbac", "https://github.com/zpatrick/rbac")</f>
        <v>https://github.com/zpatrick/rbac</v>
      </c>
      <c r="D1321">
        <v>23</v>
      </c>
      <c r="E1321" t="s">
        <v>3877</v>
      </c>
      <c r="F1321" t="s">
        <v>3878</v>
      </c>
      <c r="G1321">
        <v>0</v>
      </c>
      <c r="H1321" s="2">
        <v>43314.007685185177</v>
      </c>
      <c r="I1321" s="2">
        <v>43572.50204861111</v>
      </c>
      <c r="J1321" t="s">
        <v>3879</v>
      </c>
    </row>
    <row r="1322" spans="1:10" x14ac:dyDescent="0.15">
      <c r="A1322">
        <v>23698113</v>
      </c>
      <c r="B1322" s="3" t="str">
        <f>HYPERLINK("https://github.com/e-dard/godist", "https://github.com/e-dard/godist")</f>
        <v>https://github.com/e-dard/godist</v>
      </c>
      <c r="D1322">
        <v>22</v>
      </c>
      <c r="E1322" t="s">
        <v>3880</v>
      </c>
      <c r="F1322" t="s">
        <v>3881</v>
      </c>
      <c r="G1322">
        <v>5</v>
      </c>
      <c r="H1322" s="2">
        <v>41887.40892361111</v>
      </c>
      <c r="I1322" s="2">
        <v>43487.790509259263</v>
      </c>
      <c r="J1322" t="s">
        <v>3882</v>
      </c>
    </row>
    <row r="1323" spans="1:10" x14ac:dyDescent="0.15">
      <c r="A1323">
        <v>51270570</v>
      </c>
      <c r="B1323" s="3" t="str">
        <f>HYPERLINK("https://github.com/schachmat/ingo", "https://github.com/schachmat/ingo")</f>
        <v>https://github.com/schachmat/ingo</v>
      </c>
      <c r="D1323">
        <v>22</v>
      </c>
      <c r="E1323" t="s">
        <v>3883</v>
      </c>
      <c r="F1323" t="s">
        <v>3884</v>
      </c>
      <c r="G1323">
        <v>3</v>
      </c>
      <c r="H1323" s="2">
        <v>42407.956712962958</v>
      </c>
      <c r="I1323" s="2">
        <v>43515.2890625</v>
      </c>
      <c r="J1323" t="s">
        <v>3885</v>
      </c>
    </row>
    <row r="1324" spans="1:10" x14ac:dyDescent="0.15">
      <c r="A1324">
        <v>70957315</v>
      </c>
      <c r="B1324" s="3" t="str">
        <f>HYPERLINK("https://github.com/appleboy/drone-jenkins", "https://github.com/appleboy/drone-jenkins")</f>
        <v>https://github.com/appleboy/drone-jenkins</v>
      </c>
      <c r="D1324">
        <v>22</v>
      </c>
      <c r="E1324" t="s">
        <v>3886</v>
      </c>
      <c r="F1324" t="s">
        <v>3887</v>
      </c>
      <c r="G1324">
        <v>6</v>
      </c>
      <c r="H1324" s="2">
        <v>42658.036840277768</v>
      </c>
      <c r="I1324" s="2">
        <v>43576.966261574067</v>
      </c>
      <c r="J1324" t="s">
        <v>3888</v>
      </c>
    </row>
    <row r="1325" spans="1:10" x14ac:dyDescent="0.15">
      <c r="A1325">
        <v>1880841</v>
      </c>
      <c r="B1325" s="3" t="str">
        <f>HYPERLINK("https://github.com/tv42/mockhttp", "https://github.com/tv42/mockhttp")</f>
        <v>https://github.com/tv42/mockhttp</v>
      </c>
      <c r="D1325">
        <v>22</v>
      </c>
      <c r="E1325" t="s">
        <v>3889</v>
      </c>
      <c r="F1325" t="s">
        <v>3890</v>
      </c>
      <c r="G1325">
        <v>5</v>
      </c>
      <c r="H1325" s="2">
        <v>40705.668761574067</v>
      </c>
      <c r="I1325" s="2">
        <v>43339.730532407397</v>
      </c>
      <c r="J1325" t="s">
        <v>3891</v>
      </c>
    </row>
    <row r="1326" spans="1:10" x14ac:dyDescent="0.15">
      <c r="A1326">
        <v>61066944</v>
      </c>
      <c r="B1326" s="3" t="str">
        <f>HYPERLINK("https://github.com/viant/dsunit", "https://github.com/viant/dsunit")</f>
        <v>https://github.com/viant/dsunit</v>
      </c>
      <c r="D1326">
        <v>22</v>
      </c>
      <c r="E1326" t="s">
        <v>3892</v>
      </c>
      <c r="F1326" t="s">
        <v>3893</v>
      </c>
      <c r="G1326">
        <v>3</v>
      </c>
      <c r="H1326" s="2">
        <v>42534.847824074073</v>
      </c>
      <c r="I1326" s="2">
        <v>43579.166956018518</v>
      </c>
      <c r="J1326" t="s">
        <v>3894</v>
      </c>
    </row>
    <row r="1327" spans="1:10" x14ac:dyDescent="0.15">
      <c r="A1327">
        <v>66950621</v>
      </c>
      <c r="B1327" s="3" t="str">
        <f>HYPERLINK("https://github.com/dveselov/mystem", "https://github.com/dveselov/mystem")</f>
        <v>https://github.com/dveselov/mystem</v>
      </c>
      <c r="D1327">
        <v>22</v>
      </c>
      <c r="E1327" t="s">
        <v>3895</v>
      </c>
      <c r="F1327" t="s">
        <v>3896</v>
      </c>
      <c r="G1327">
        <v>3</v>
      </c>
      <c r="H1327" s="2">
        <v>42612.621979166674</v>
      </c>
      <c r="I1327" s="2">
        <v>43577.339236111111</v>
      </c>
      <c r="J1327" t="s">
        <v>3897</v>
      </c>
    </row>
    <row r="1328" spans="1:10" x14ac:dyDescent="0.15">
      <c r="A1328">
        <v>96021474</v>
      </c>
      <c r="B1328" s="3" t="str">
        <f>HYPERLINK("https://github.com/agoalofalife/event", "https://github.com/agoalofalife/event")</f>
        <v>https://github.com/agoalofalife/event</v>
      </c>
      <c r="D1328">
        <v>22</v>
      </c>
      <c r="E1328" t="s">
        <v>3898</v>
      </c>
      <c r="F1328" t="s">
        <v>3899</v>
      </c>
      <c r="G1328">
        <v>5</v>
      </c>
      <c r="H1328" s="2">
        <v>42918.513842592591</v>
      </c>
      <c r="I1328" s="2">
        <v>43548.354016203702</v>
      </c>
      <c r="J1328" t="s">
        <v>3900</v>
      </c>
    </row>
    <row r="1329" spans="1:10" x14ac:dyDescent="0.15">
      <c r="A1329">
        <v>126892982</v>
      </c>
      <c r="B1329" s="3" t="str">
        <f>HYPERLINK("https://github.com/hishamkaram/geoserver", "https://github.com/hishamkaram/geoserver")</f>
        <v>https://github.com/hishamkaram/geoserver</v>
      </c>
      <c r="D1329">
        <v>22</v>
      </c>
      <c r="E1329" t="s">
        <v>3901</v>
      </c>
      <c r="F1329" t="s">
        <v>3902</v>
      </c>
      <c r="G1329">
        <v>3</v>
      </c>
      <c r="H1329" s="2">
        <v>43185.900567129633</v>
      </c>
      <c r="I1329" s="2">
        <v>43553.120416666658</v>
      </c>
      <c r="J1329" t="s">
        <v>3903</v>
      </c>
    </row>
    <row r="1330" spans="1:10" x14ac:dyDescent="0.15">
      <c r="A1330">
        <v>11358791</v>
      </c>
      <c r="B1330" s="3" t="str">
        <f>HYPERLINK("https://github.com/mccoyst/vorbis", "https://github.com/mccoyst/vorbis")</f>
        <v>https://github.com/mccoyst/vorbis</v>
      </c>
      <c r="D1330">
        <v>22</v>
      </c>
      <c r="E1330" t="s">
        <v>3904</v>
      </c>
      <c r="F1330" t="s">
        <v>3905</v>
      </c>
      <c r="G1330">
        <v>4</v>
      </c>
      <c r="H1330" s="2">
        <v>41467.115034722221</v>
      </c>
      <c r="I1330" s="2">
        <v>43554.743472222217</v>
      </c>
      <c r="J1330" t="s">
        <v>3906</v>
      </c>
    </row>
    <row r="1331" spans="1:10" x14ac:dyDescent="0.15">
      <c r="A1331">
        <v>25101373</v>
      </c>
      <c r="B1331" s="3" t="str">
        <f>HYPERLINK("https://github.com/michiwend/goplaceholder", "https://github.com/michiwend/goplaceholder")</f>
        <v>https://github.com/michiwend/goplaceholder</v>
      </c>
      <c r="D1331">
        <v>21</v>
      </c>
      <c r="E1331" t="s">
        <v>3907</v>
      </c>
      <c r="F1331" t="s">
        <v>3908</v>
      </c>
      <c r="G1331">
        <v>5</v>
      </c>
      <c r="H1331" s="2">
        <v>41924.035254629627</v>
      </c>
      <c r="I1331" s="2">
        <v>43423.032986111109</v>
      </c>
      <c r="J1331" t="s">
        <v>3909</v>
      </c>
    </row>
    <row r="1332" spans="1:10" x14ac:dyDescent="0.15">
      <c r="A1332">
        <v>85677193</v>
      </c>
      <c r="B1332" s="3" t="str">
        <f>HYPERLINK("https://github.com/emersion/go-vcard", "https://github.com/emersion/go-vcard")</f>
        <v>https://github.com/emersion/go-vcard</v>
      </c>
      <c r="D1332">
        <v>21</v>
      </c>
      <c r="E1332" t="s">
        <v>3910</v>
      </c>
      <c r="F1332" t="s">
        <v>3911</v>
      </c>
      <c r="G1332">
        <v>10</v>
      </c>
      <c r="H1332" s="2">
        <v>42815.354583333326</v>
      </c>
      <c r="I1332" s="2">
        <v>43550.925069444442</v>
      </c>
      <c r="J1332" t="s">
        <v>3912</v>
      </c>
    </row>
    <row r="1333" spans="1:10" x14ac:dyDescent="0.15">
      <c r="A1333">
        <v>19902156</v>
      </c>
      <c r="B1333" s="3" t="str">
        <f>HYPERLINK("https://github.com/siddontang/go-log", "https://github.com/siddontang/go-log")</f>
        <v>https://github.com/siddontang/go-log</v>
      </c>
      <c r="D1333">
        <v>21</v>
      </c>
      <c r="E1333" t="s">
        <v>3582</v>
      </c>
      <c r="F1333" t="s">
        <v>3913</v>
      </c>
      <c r="G1333">
        <v>11</v>
      </c>
      <c r="H1333" s="2">
        <v>41777.154108796298</v>
      </c>
      <c r="I1333" s="2">
        <v>43576.892881944441</v>
      </c>
      <c r="J1333" t="s">
        <v>3914</v>
      </c>
    </row>
    <row r="1334" spans="1:10" x14ac:dyDescent="0.15">
      <c r="A1334">
        <v>108679849</v>
      </c>
      <c r="B1334" s="3" t="str">
        <f>HYPERLINK("https://github.com/teris-io/log", "https://github.com/teris-io/log")</f>
        <v>https://github.com/teris-io/log</v>
      </c>
      <c r="D1334">
        <v>21</v>
      </c>
      <c r="E1334" t="s">
        <v>1354</v>
      </c>
      <c r="F1334" t="s">
        <v>3915</v>
      </c>
      <c r="G1334">
        <v>2</v>
      </c>
      <c r="H1334" s="2">
        <v>43036.831886574073</v>
      </c>
      <c r="I1334" s="2">
        <v>43507.421041666668</v>
      </c>
      <c r="J1334" t="s">
        <v>3916</v>
      </c>
    </row>
    <row r="1335" spans="1:10" x14ac:dyDescent="0.15">
      <c r="A1335">
        <v>163147649</v>
      </c>
      <c r="B1335" s="3" t="str">
        <f>HYPERLINK("https://github.com/arthurkushman/pgo", "https://github.com/arthurkushman/pgo")</f>
        <v>https://github.com/arthurkushman/pgo</v>
      </c>
      <c r="D1335">
        <v>20</v>
      </c>
      <c r="E1335" t="s">
        <v>3917</v>
      </c>
      <c r="F1335" t="s">
        <v>3918</v>
      </c>
      <c r="G1335">
        <v>6</v>
      </c>
      <c r="H1335" s="2">
        <v>43460.291516203702</v>
      </c>
      <c r="I1335" s="2">
        <v>43579.784884259258</v>
      </c>
      <c r="J1335" t="s">
        <v>3919</v>
      </c>
    </row>
    <row r="1336" spans="1:10" x14ac:dyDescent="0.15">
      <c r="A1336">
        <v>51949955</v>
      </c>
      <c r="B1336" s="3" t="str">
        <f>HYPERLINK("https://github.com/alxrm/ugo", "https://github.com/alxrm/ugo")</f>
        <v>https://github.com/alxrm/ugo</v>
      </c>
      <c r="D1336">
        <v>20</v>
      </c>
      <c r="E1336" t="s">
        <v>3920</v>
      </c>
      <c r="F1336" t="s">
        <v>3921</v>
      </c>
      <c r="G1336">
        <v>4</v>
      </c>
      <c r="H1336" s="2">
        <v>42417.820798611108</v>
      </c>
      <c r="I1336" s="2">
        <v>43579.412592592591</v>
      </c>
      <c r="J1336" t="s">
        <v>3922</v>
      </c>
    </row>
    <row r="1337" spans="1:10" x14ac:dyDescent="0.15">
      <c r="A1337">
        <v>97790875</v>
      </c>
      <c r="B1337" s="3" t="str">
        <f>HYPERLINK("https://github.com/linxGnu/goseaweedfs", "https://github.com/linxGnu/goseaweedfs")</f>
        <v>https://github.com/linxGnu/goseaweedfs</v>
      </c>
      <c r="D1337">
        <v>20</v>
      </c>
      <c r="E1337" t="s">
        <v>3923</v>
      </c>
      <c r="F1337" t="s">
        <v>3924</v>
      </c>
      <c r="G1337">
        <v>7</v>
      </c>
      <c r="H1337" s="2">
        <v>42936.191423611112</v>
      </c>
      <c r="I1337" s="2">
        <v>43573.438009259262</v>
      </c>
      <c r="J1337" t="s">
        <v>3925</v>
      </c>
    </row>
    <row r="1338" spans="1:10" x14ac:dyDescent="0.15">
      <c r="A1338">
        <v>25850333</v>
      </c>
      <c r="B1338" s="3" t="str">
        <f>HYPERLINK("https://github.com/rapito/go-shopify", "https://github.com/rapito/go-shopify")</f>
        <v>https://github.com/rapito/go-shopify</v>
      </c>
      <c r="D1338">
        <v>20</v>
      </c>
      <c r="E1338" t="s">
        <v>3926</v>
      </c>
      <c r="F1338" t="s">
        <v>3927</v>
      </c>
      <c r="G1338">
        <v>5</v>
      </c>
      <c r="H1338" s="2">
        <v>41940.120428240742</v>
      </c>
      <c r="I1338" s="2">
        <v>43576.537939814807</v>
      </c>
      <c r="J1338" t="s">
        <v>3928</v>
      </c>
    </row>
    <row r="1339" spans="1:10" x14ac:dyDescent="0.15">
      <c r="A1339">
        <v>63105711</v>
      </c>
      <c r="B1339" s="3" t="str">
        <f>HYPERLINK("https://github.com/nikepan/govkbot", "https://github.com/nikepan/govkbot")</f>
        <v>https://github.com/nikepan/govkbot</v>
      </c>
      <c r="D1339">
        <v>20</v>
      </c>
      <c r="E1339" t="s">
        <v>3929</v>
      </c>
      <c r="F1339" t="s">
        <v>3930</v>
      </c>
      <c r="G1339">
        <v>2</v>
      </c>
      <c r="H1339" s="2">
        <v>42562.923541666663</v>
      </c>
      <c r="I1339" s="2">
        <v>43565.910486111112</v>
      </c>
      <c r="J1339" t="s">
        <v>3931</v>
      </c>
    </row>
    <row r="1340" spans="1:10" x14ac:dyDescent="0.15">
      <c r="A1340">
        <v>35128576</v>
      </c>
      <c r="B1340" s="3" t="str">
        <f>HYPERLINK("https://github.com/unix4fun/naclpipe", "https://github.com/unix4fun/naclpipe")</f>
        <v>https://github.com/unix4fun/naclpipe</v>
      </c>
      <c r="D1340">
        <v>20</v>
      </c>
      <c r="E1340" t="s">
        <v>3932</v>
      </c>
      <c r="F1340" t="s">
        <v>3933</v>
      </c>
      <c r="G1340">
        <v>0</v>
      </c>
      <c r="H1340" s="2">
        <v>42129.969895833332</v>
      </c>
      <c r="I1340" s="2">
        <v>43422.61074074074</v>
      </c>
      <c r="J1340" t="s">
        <v>3934</v>
      </c>
    </row>
    <row r="1341" spans="1:10" x14ac:dyDescent="0.15">
      <c r="A1341">
        <v>160403485</v>
      </c>
      <c r="B1341" s="3" t="str">
        <f>HYPERLINK("https://github.com/go-nio/nio", "https://github.com/go-nio/nio")</f>
        <v>https://github.com/go-nio/nio</v>
      </c>
      <c r="D1341">
        <v>20</v>
      </c>
      <c r="E1341" t="s">
        <v>3935</v>
      </c>
      <c r="F1341" t="s">
        <v>3936</v>
      </c>
      <c r="G1341">
        <v>2</v>
      </c>
      <c r="H1341" s="2">
        <v>43438.781793981478</v>
      </c>
      <c r="I1341" s="2">
        <v>43579.494814814818</v>
      </c>
      <c r="J1341" t="s">
        <v>3937</v>
      </c>
    </row>
    <row r="1342" spans="1:10" x14ac:dyDescent="0.15">
      <c r="A1342">
        <v>154891082</v>
      </c>
      <c r="B1342" s="3" t="str">
        <f>HYPERLINK("https://github.com/kinbiko/jsonassert", "https://github.com/kinbiko/jsonassert")</f>
        <v>https://github.com/kinbiko/jsonassert</v>
      </c>
      <c r="D1342">
        <v>20</v>
      </c>
      <c r="E1342" t="s">
        <v>3938</v>
      </c>
      <c r="F1342" t="s">
        <v>3939</v>
      </c>
      <c r="G1342">
        <v>2</v>
      </c>
      <c r="H1342" s="2">
        <v>43399.854872685188</v>
      </c>
      <c r="I1342" s="2">
        <v>43559.383587962962</v>
      </c>
      <c r="J1342" t="s">
        <v>3940</v>
      </c>
    </row>
    <row r="1343" spans="1:10" x14ac:dyDescent="0.15">
      <c r="A1343">
        <v>4208509</v>
      </c>
      <c r="B1343" s="3" t="str">
        <f>HYPERLINK("https://github.com/dskinner/damsel", "https://github.com/dskinner/damsel")</f>
        <v>https://github.com/dskinner/damsel</v>
      </c>
      <c r="D1343">
        <v>20</v>
      </c>
      <c r="E1343" t="s">
        <v>3941</v>
      </c>
      <c r="F1343" t="s">
        <v>3942</v>
      </c>
      <c r="G1343">
        <v>3</v>
      </c>
      <c r="H1343" s="2">
        <v>41031.963055555563</v>
      </c>
      <c r="I1343" s="2">
        <v>43309.643634259257</v>
      </c>
      <c r="J1343" t="s">
        <v>3943</v>
      </c>
    </row>
    <row r="1344" spans="1:10" x14ac:dyDescent="0.15">
      <c r="A1344">
        <v>77410680</v>
      </c>
      <c r="B1344" s="3" t="str">
        <f>HYPERLINK("https://github.com/striker2000/petrovich", "https://github.com/striker2000/petrovich")</f>
        <v>https://github.com/striker2000/petrovich</v>
      </c>
      <c r="D1344">
        <v>20</v>
      </c>
      <c r="E1344" t="s">
        <v>3944</v>
      </c>
      <c r="F1344" t="s">
        <v>3945</v>
      </c>
      <c r="G1344">
        <v>1</v>
      </c>
      <c r="H1344" s="2">
        <v>42730.951828703714</v>
      </c>
      <c r="I1344" s="2">
        <v>43527.862337962957</v>
      </c>
      <c r="J1344" t="s">
        <v>3946</v>
      </c>
    </row>
    <row r="1345" spans="1:10" x14ac:dyDescent="0.15">
      <c r="A1345">
        <v>103957459</v>
      </c>
      <c r="B1345" s="3" t="str">
        <f>HYPERLINK("https://github.com/free/concurrent-writer", "https://github.com/free/concurrent-writer")</f>
        <v>https://github.com/free/concurrent-writer</v>
      </c>
      <c r="D1345">
        <v>20</v>
      </c>
      <c r="E1345" t="s">
        <v>3947</v>
      </c>
      <c r="F1345" t="s">
        <v>3948</v>
      </c>
      <c r="G1345">
        <v>3</v>
      </c>
      <c r="H1345" s="2">
        <v>42996.645821759259</v>
      </c>
      <c r="I1345" s="2">
        <v>43543.833854166667</v>
      </c>
      <c r="J1345" t="s">
        <v>3949</v>
      </c>
    </row>
    <row r="1346" spans="1:10" x14ac:dyDescent="0.15">
      <c r="A1346">
        <v>79909237</v>
      </c>
      <c r="B1346" s="3" t="str">
        <f>HYPERLINK("https://github.com/mrLSD/go-benchmark-app", "https://github.com/mrLSD/go-benchmark-app")</f>
        <v>https://github.com/mrLSD/go-benchmark-app</v>
      </c>
      <c r="D1346">
        <v>19</v>
      </c>
      <c r="E1346" t="s">
        <v>3950</v>
      </c>
      <c r="F1346" t="s">
        <v>3951</v>
      </c>
      <c r="G1346">
        <v>2</v>
      </c>
      <c r="H1346" s="2">
        <v>42759.516759259262</v>
      </c>
      <c r="I1346" s="2">
        <v>43458.581134259257</v>
      </c>
      <c r="J1346" t="s">
        <v>3952</v>
      </c>
    </row>
    <row r="1347" spans="1:10" x14ac:dyDescent="0.15">
      <c r="A1347">
        <v>79425566</v>
      </c>
      <c r="B1347" s="3" t="str">
        <f>HYPERLINK("https://github.com/hbagdi/go-unsplash", "https://github.com/hbagdi/go-unsplash")</f>
        <v>https://github.com/hbagdi/go-unsplash</v>
      </c>
      <c r="D1347">
        <v>19</v>
      </c>
      <c r="E1347" t="s">
        <v>3953</v>
      </c>
      <c r="F1347" t="s">
        <v>3954</v>
      </c>
      <c r="G1347">
        <v>5</v>
      </c>
      <c r="H1347" s="2">
        <v>42754.294490740736</v>
      </c>
      <c r="I1347" s="2">
        <v>43528.338553240741</v>
      </c>
      <c r="J1347" t="s">
        <v>3955</v>
      </c>
    </row>
    <row r="1348" spans="1:10" x14ac:dyDescent="0.15">
      <c r="A1348">
        <v>30477574</v>
      </c>
      <c r="B1348" s="3" t="str">
        <f>HYPERLINK("https://github.com/neuegram/Ghost", "https://github.com/neuegram/Ghost")</f>
        <v>https://github.com/neuegram/Ghost</v>
      </c>
      <c r="D1348">
        <v>19</v>
      </c>
      <c r="E1348" t="s">
        <v>3956</v>
      </c>
      <c r="F1348" t="s">
        <v>3957</v>
      </c>
      <c r="G1348">
        <v>2</v>
      </c>
      <c r="H1348" s="2">
        <v>42043.084768518522</v>
      </c>
      <c r="I1348" s="2">
        <v>43315.797847222217</v>
      </c>
      <c r="J1348" t="s">
        <v>3958</v>
      </c>
    </row>
    <row r="1349" spans="1:10" x14ac:dyDescent="0.15">
      <c r="A1349">
        <v>7111911</v>
      </c>
      <c r="B1349" s="3" t="str">
        <f>HYPERLINK("https://github.com/goodsign/icu", "https://github.com/goodsign/icu")</f>
        <v>https://github.com/goodsign/icu</v>
      </c>
      <c r="D1349">
        <v>19</v>
      </c>
      <c r="E1349" t="s">
        <v>3959</v>
      </c>
      <c r="F1349" t="s">
        <v>3960</v>
      </c>
      <c r="G1349">
        <v>3</v>
      </c>
      <c r="H1349" s="2">
        <v>41254.548391203702</v>
      </c>
      <c r="I1349" s="2">
        <v>43556.547476851847</v>
      </c>
      <c r="J1349" t="s">
        <v>3961</v>
      </c>
    </row>
    <row r="1350" spans="1:10" x14ac:dyDescent="0.15">
      <c r="A1350">
        <v>91796036</v>
      </c>
      <c r="B1350" s="3" t="str">
        <f>HYPERLINK("https://github.com/JakeHL/Goid", "https://github.com/JakeHL/Goid")</f>
        <v>https://github.com/JakeHL/Goid</v>
      </c>
      <c r="D1350">
        <v>19</v>
      </c>
      <c r="E1350" t="s">
        <v>3962</v>
      </c>
      <c r="F1350" t="s">
        <v>3963</v>
      </c>
      <c r="G1350">
        <v>1</v>
      </c>
      <c r="H1350" s="2">
        <v>42874.444965277777</v>
      </c>
      <c r="I1350" s="2">
        <v>43546.603703703702</v>
      </c>
      <c r="J1350" t="s">
        <v>3964</v>
      </c>
    </row>
    <row r="1351" spans="1:10" x14ac:dyDescent="0.15">
      <c r="A1351">
        <v>113131102</v>
      </c>
      <c r="B1351" s="3" t="str">
        <f>HYPERLINK("https://github.com/wzshiming/gotype", "https://github.com/wzshiming/gotype")</f>
        <v>https://github.com/wzshiming/gotype</v>
      </c>
      <c r="D1351">
        <v>19</v>
      </c>
      <c r="E1351" t="s">
        <v>3965</v>
      </c>
      <c r="F1351" t="s">
        <v>3966</v>
      </c>
      <c r="G1351">
        <v>1</v>
      </c>
      <c r="H1351" s="2">
        <v>43074.173460648148</v>
      </c>
      <c r="I1351" s="2">
        <v>43569.322523148148</v>
      </c>
      <c r="J1351" t="s">
        <v>3967</v>
      </c>
    </row>
    <row r="1352" spans="1:10" x14ac:dyDescent="0.15">
      <c r="A1352">
        <v>127228215</v>
      </c>
      <c r="B1352" s="3" t="str">
        <f>HYPERLINK("https://github.com/gabrie30/ghorg", "https://github.com/gabrie30/ghorg")</f>
        <v>https://github.com/gabrie30/ghorg</v>
      </c>
      <c r="D1352">
        <v>19</v>
      </c>
      <c r="E1352" t="s">
        <v>3968</v>
      </c>
      <c r="F1352" t="s">
        <v>3969</v>
      </c>
      <c r="G1352">
        <v>8</v>
      </c>
      <c r="H1352" s="2">
        <v>43188.120196759257</v>
      </c>
      <c r="I1352" s="2">
        <v>43550.063946759263</v>
      </c>
      <c r="J1352" t="s">
        <v>3970</v>
      </c>
    </row>
    <row r="1353" spans="1:10" x14ac:dyDescent="0.15">
      <c r="A1353">
        <v>34824455</v>
      </c>
      <c r="B1353" s="3" t="str">
        <f>HYPERLINK("https://github.com/sasbury/mini", "https://github.com/sasbury/mini")</f>
        <v>https://github.com/sasbury/mini</v>
      </c>
      <c r="D1353">
        <v>19</v>
      </c>
      <c r="E1353" t="s">
        <v>3971</v>
      </c>
      <c r="F1353" t="s">
        <v>3972</v>
      </c>
      <c r="G1353">
        <v>5</v>
      </c>
      <c r="H1353" s="2">
        <v>42123.99486111111</v>
      </c>
      <c r="I1353" s="2">
        <v>43460.977847222217</v>
      </c>
      <c r="J1353" t="s">
        <v>3973</v>
      </c>
    </row>
    <row r="1354" spans="1:10" x14ac:dyDescent="0.15">
      <c r="A1354">
        <v>46200033</v>
      </c>
      <c r="B1354" s="3" t="str">
        <f>HYPERLINK("https://github.com/go-playground/generate", "https://github.com/go-playground/generate")</f>
        <v>https://github.com/go-playground/generate</v>
      </c>
      <c r="D1354">
        <v>18</v>
      </c>
      <c r="E1354" t="s">
        <v>3974</v>
      </c>
      <c r="F1354" t="s">
        <v>3975</v>
      </c>
      <c r="G1354">
        <v>4</v>
      </c>
      <c r="H1354" s="2">
        <v>42323.077824074076</v>
      </c>
      <c r="I1354" s="2">
        <v>43552.699432870373</v>
      </c>
      <c r="J1354" t="s">
        <v>3976</v>
      </c>
    </row>
    <row r="1355" spans="1:10" x14ac:dyDescent="0.15">
      <c r="A1355">
        <v>22771832</v>
      </c>
      <c r="B1355" s="3" t="str">
        <f>HYPERLINK("https://github.com/imdario/medeina", "https://github.com/imdario/medeina")</f>
        <v>https://github.com/imdario/medeina</v>
      </c>
      <c r="D1355">
        <v>18</v>
      </c>
      <c r="E1355" t="s">
        <v>3977</v>
      </c>
      <c r="F1355" t="s">
        <v>3978</v>
      </c>
      <c r="G1355">
        <v>1</v>
      </c>
      <c r="H1355" s="2">
        <v>41859.88622685185</v>
      </c>
      <c r="I1355" s="2">
        <v>43310.416481481479</v>
      </c>
      <c r="J1355" t="s">
        <v>3979</v>
      </c>
    </row>
    <row r="1356" spans="1:10" x14ac:dyDescent="0.15">
      <c r="A1356">
        <v>84757077</v>
      </c>
      <c r="B1356" s="3" t="str">
        <f>HYPERLINK("https://github.com/nicklaw5/go-respond", "https://github.com/nicklaw5/go-respond")</f>
        <v>https://github.com/nicklaw5/go-respond</v>
      </c>
      <c r="D1356">
        <v>18</v>
      </c>
      <c r="E1356" t="s">
        <v>3980</v>
      </c>
      <c r="F1356" t="s">
        <v>3981</v>
      </c>
      <c r="G1356">
        <v>3</v>
      </c>
      <c r="H1356" s="2">
        <v>42806.875625000001</v>
      </c>
      <c r="I1356" s="2">
        <v>43552.218263888892</v>
      </c>
      <c r="J1356" t="s">
        <v>3982</v>
      </c>
    </row>
    <row r="1357" spans="1:10" x14ac:dyDescent="0.15">
      <c r="A1357">
        <v>46057115</v>
      </c>
      <c r="B1357" s="3" t="str">
        <f>HYPERLINK("https://github.com/grsmv/goweek", "https://github.com/grsmv/goweek")</f>
        <v>https://github.com/grsmv/goweek</v>
      </c>
      <c r="D1357">
        <v>18</v>
      </c>
      <c r="E1357" t="s">
        <v>3983</v>
      </c>
      <c r="F1357" t="s">
        <v>3984</v>
      </c>
      <c r="G1357">
        <v>6</v>
      </c>
      <c r="H1357" s="2">
        <v>42320.591504629629</v>
      </c>
      <c r="I1357" s="2">
        <v>43514.010254629633</v>
      </c>
      <c r="J1357" t="s">
        <v>3985</v>
      </c>
    </row>
    <row r="1358" spans="1:10" x14ac:dyDescent="0.15">
      <c r="A1358">
        <v>48540048</v>
      </c>
      <c r="B1358" s="3" t="str">
        <f>HYPERLINK("https://github.com/RichardKnop/go-fixtures", "https://github.com/RichardKnop/go-fixtures")</f>
        <v>https://github.com/RichardKnop/go-fixtures</v>
      </c>
      <c r="D1358">
        <v>18</v>
      </c>
      <c r="E1358" t="s">
        <v>3986</v>
      </c>
      <c r="F1358" t="s">
        <v>3987</v>
      </c>
      <c r="G1358">
        <v>7</v>
      </c>
      <c r="H1358" s="2">
        <v>42362.47760416667</v>
      </c>
      <c r="I1358" s="2">
        <v>43561.260405092587</v>
      </c>
      <c r="J1358" t="s">
        <v>3988</v>
      </c>
    </row>
    <row r="1359" spans="1:10" x14ac:dyDescent="0.15">
      <c r="A1359">
        <v>40230999</v>
      </c>
      <c r="B1359" s="3" t="str">
        <f>HYPERLINK("https://github.com/soniah/awsenv", "https://github.com/soniah/awsenv")</f>
        <v>https://github.com/soniah/awsenv</v>
      </c>
      <c r="D1359">
        <v>18</v>
      </c>
      <c r="E1359" t="s">
        <v>3989</v>
      </c>
      <c r="F1359" t="s">
        <v>3990</v>
      </c>
      <c r="G1359">
        <v>4</v>
      </c>
      <c r="H1359" s="2">
        <v>42221.306527777779</v>
      </c>
      <c r="I1359" s="2">
        <v>43513.377916666657</v>
      </c>
      <c r="J1359" t="s">
        <v>3991</v>
      </c>
    </row>
    <row r="1360" spans="1:10" x14ac:dyDescent="0.15">
      <c r="A1360">
        <v>109108663</v>
      </c>
      <c r="B1360" s="3" t="str">
        <f>HYPERLINK("https://github.com/razonyang/fastrouter", "https://github.com/razonyang/fastrouter")</f>
        <v>https://github.com/razonyang/fastrouter</v>
      </c>
      <c r="D1360">
        <v>18</v>
      </c>
      <c r="E1360" t="s">
        <v>3992</v>
      </c>
      <c r="F1360" t="s">
        <v>3993</v>
      </c>
      <c r="G1360">
        <v>3</v>
      </c>
      <c r="H1360" s="2">
        <v>43040.370046296302</v>
      </c>
      <c r="I1360" s="2">
        <v>43507.94568287037</v>
      </c>
      <c r="J1360" t="s">
        <v>3994</v>
      </c>
    </row>
    <row r="1361" spans="1:10" x14ac:dyDescent="0.15">
      <c r="A1361">
        <v>45543540</v>
      </c>
      <c r="B1361" s="3" t="str">
        <f>HYPERLINK("https://github.com/wlbr/feiertage", "https://github.com/wlbr/feiertage")</f>
        <v>https://github.com/wlbr/feiertage</v>
      </c>
      <c r="D1361">
        <v>18</v>
      </c>
      <c r="E1361" t="s">
        <v>3995</v>
      </c>
      <c r="F1361" t="s">
        <v>3996</v>
      </c>
      <c r="G1361">
        <v>3</v>
      </c>
      <c r="H1361" s="2">
        <v>42312.59684027778</v>
      </c>
      <c r="I1361" s="2">
        <v>43538.882557870369</v>
      </c>
      <c r="J1361" t="s">
        <v>3997</v>
      </c>
    </row>
    <row r="1362" spans="1:10" x14ac:dyDescent="0.15">
      <c r="A1362">
        <v>155902319</v>
      </c>
      <c r="B1362" s="3" t="str">
        <f>HYPERLINK("https://github.com/ockam-network/did", "https://github.com/ockam-network/did")</f>
        <v>https://github.com/ockam-network/did</v>
      </c>
      <c r="D1362">
        <v>18</v>
      </c>
      <c r="E1362" t="s">
        <v>3998</v>
      </c>
      <c r="F1362" t="s">
        <v>3999</v>
      </c>
      <c r="G1362">
        <v>2</v>
      </c>
      <c r="H1362" s="2">
        <v>43406.742523148147</v>
      </c>
      <c r="I1362" s="2">
        <v>43560.847361111111</v>
      </c>
      <c r="J1362" t="s">
        <v>4000</v>
      </c>
    </row>
    <row r="1363" spans="1:10" x14ac:dyDescent="0.15">
      <c r="A1363">
        <v>15201075</v>
      </c>
      <c r="B1363" s="3" t="str">
        <f>HYPERLINK("https://github.com/rkoesters/xdg", "https://github.com/rkoesters/xdg")</f>
        <v>https://github.com/rkoesters/xdg</v>
      </c>
      <c r="D1363">
        <v>18</v>
      </c>
      <c r="E1363" t="s">
        <v>3743</v>
      </c>
      <c r="F1363" t="s">
        <v>4001</v>
      </c>
      <c r="G1363">
        <v>7</v>
      </c>
      <c r="H1363" s="2">
        <v>41623.411006944443</v>
      </c>
      <c r="I1363" s="2">
        <v>43559.215497685182</v>
      </c>
      <c r="J1363" t="s">
        <v>4002</v>
      </c>
    </row>
    <row r="1364" spans="1:10" x14ac:dyDescent="0.15">
      <c r="A1364">
        <v>105765300</v>
      </c>
      <c r="B1364" s="3" t="str">
        <f>HYPERLINK("https://github.com/e-XpertSolutions/go-cluster", "https://github.com/e-XpertSolutions/go-cluster")</f>
        <v>https://github.com/e-XpertSolutions/go-cluster</v>
      </c>
      <c r="D1364">
        <v>18</v>
      </c>
      <c r="E1364" t="s">
        <v>4003</v>
      </c>
      <c r="F1364" t="s">
        <v>4004</v>
      </c>
      <c r="G1364">
        <v>3</v>
      </c>
      <c r="H1364" s="2">
        <v>43012.517268518517</v>
      </c>
      <c r="I1364" s="2">
        <v>43514.688831018517</v>
      </c>
      <c r="J1364" t="s">
        <v>4005</v>
      </c>
    </row>
    <row r="1365" spans="1:10" x14ac:dyDescent="0.15">
      <c r="A1365">
        <v>44119979</v>
      </c>
      <c r="B1365" s="3" t="str">
        <f>HYPERLINK("https://github.com/amoghe/distillog", "https://github.com/amoghe/distillog")</f>
        <v>https://github.com/amoghe/distillog</v>
      </c>
      <c r="D1365">
        <v>18</v>
      </c>
      <c r="E1365" t="s">
        <v>4006</v>
      </c>
      <c r="F1365" t="s">
        <v>4007</v>
      </c>
      <c r="G1365">
        <v>5</v>
      </c>
      <c r="H1365" s="2">
        <v>42289.689131944448</v>
      </c>
      <c r="I1365" s="2">
        <v>43574.928437499999</v>
      </c>
      <c r="J1365" t="s">
        <v>4008</v>
      </c>
    </row>
    <row r="1366" spans="1:10" x14ac:dyDescent="0.15">
      <c r="A1366">
        <v>122115544</v>
      </c>
      <c r="B1366" s="3" t="str">
        <f>HYPERLINK("https://github.com/algoGuy/EasyMIDI", "https://github.com/algoGuy/EasyMIDI")</f>
        <v>https://github.com/algoGuy/EasyMIDI</v>
      </c>
      <c r="D1366">
        <v>18</v>
      </c>
      <c r="E1366" t="s">
        <v>4009</v>
      </c>
      <c r="F1366" t="s">
        <v>4010</v>
      </c>
      <c r="G1366">
        <v>4</v>
      </c>
      <c r="H1366" s="2">
        <v>43150.845937500002</v>
      </c>
      <c r="I1366" s="2">
        <v>43551.075694444437</v>
      </c>
      <c r="J1366" t="s">
        <v>4011</v>
      </c>
    </row>
    <row r="1367" spans="1:10" x14ac:dyDescent="0.15">
      <c r="A1367">
        <v>18466251</v>
      </c>
      <c r="B1367" s="3" t="str">
        <f>HYPERLINK("https://github.com/amscanne/golang-micro-benchmarks", "https://github.com/amscanne/golang-micro-benchmarks")</f>
        <v>https://github.com/amscanne/golang-micro-benchmarks</v>
      </c>
      <c r="D1367">
        <v>17</v>
      </c>
      <c r="E1367" t="s">
        <v>4012</v>
      </c>
      <c r="F1367" t="s">
        <v>4013</v>
      </c>
      <c r="G1367">
        <v>1</v>
      </c>
      <c r="H1367" s="2">
        <v>41734.515335648153</v>
      </c>
      <c r="I1367" s="2">
        <v>43555.638368055559</v>
      </c>
      <c r="J1367" t="s">
        <v>4014</v>
      </c>
    </row>
    <row r="1368" spans="1:10" x14ac:dyDescent="0.15">
      <c r="A1368">
        <v>80907602</v>
      </c>
      <c r="B1368" s="3" t="str">
        <f>HYPERLINK("https://github.com/utahta/go-cronowriter", "https://github.com/utahta/go-cronowriter")</f>
        <v>https://github.com/utahta/go-cronowriter</v>
      </c>
      <c r="D1368">
        <v>17</v>
      </c>
      <c r="E1368" t="s">
        <v>4015</v>
      </c>
      <c r="F1368" t="s">
        <v>4016</v>
      </c>
      <c r="G1368">
        <v>1</v>
      </c>
      <c r="H1368" s="2">
        <v>42770.377025462964</v>
      </c>
      <c r="I1368" s="2">
        <v>43528.610254629632</v>
      </c>
      <c r="J1368" t="s">
        <v>4017</v>
      </c>
    </row>
    <row r="1369" spans="1:10" x14ac:dyDescent="0.15">
      <c r="A1369">
        <v>115398388</v>
      </c>
      <c r="B1369" s="3" t="str">
        <f>HYPERLINK("https://github.com/crazcalm/term-quiz", "https://github.com/crazcalm/term-quiz")</f>
        <v>https://github.com/crazcalm/term-quiz</v>
      </c>
      <c r="D1369">
        <v>17</v>
      </c>
      <c r="E1369" t="s">
        <v>4018</v>
      </c>
      <c r="F1369" t="s">
        <v>4019</v>
      </c>
      <c r="G1369">
        <v>3</v>
      </c>
      <c r="H1369" s="2">
        <v>43095.317129629628</v>
      </c>
      <c r="I1369" s="2">
        <v>43532.346782407411</v>
      </c>
      <c r="J1369" t="s">
        <v>4020</v>
      </c>
    </row>
    <row r="1370" spans="1:10" x14ac:dyDescent="0.15">
      <c r="A1370">
        <v>131777684</v>
      </c>
      <c r="B1370" s="3" t="str">
        <f>HYPERLINK("https://github.com/bhmj/jsonslice", "https://github.com/bhmj/jsonslice")</f>
        <v>https://github.com/bhmj/jsonslice</v>
      </c>
      <c r="D1370">
        <v>17</v>
      </c>
      <c r="E1370" t="s">
        <v>4021</v>
      </c>
      <c r="F1370" t="s">
        <v>4022</v>
      </c>
      <c r="G1370">
        <v>1</v>
      </c>
      <c r="H1370" s="2">
        <v>43222.023090277777</v>
      </c>
      <c r="I1370" s="2">
        <v>43560.501840277779</v>
      </c>
      <c r="J1370" t="s">
        <v>4023</v>
      </c>
    </row>
    <row r="1371" spans="1:10" x14ac:dyDescent="0.15">
      <c r="A1371">
        <v>77556305</v>
      </c>
      <c r="B1371" s="3" t="str">
        <f>HYPERLINK("https://github.com/polera/publicip", "https://github.com/polera/publicip")</f>
        <v>https://github.com/polera/publicip</v>
      </c>
      <c r="D1371">
        <v>17</v>
      </c>
      <c r="E1371" t="s">
        <v>4024</v>
      </c>
      <c r="F1371" t="s">
        <v>4025</v>
      </c>
      <c r="G1371">
        <v>2</v>
      </c>
      <c r="H1371" s="2">
        <v>42732.813275462962</v>
      </c>
      <c r="I1371" s="2">
        <v>43486.192847222221</v>
      </c>
      <c r="J1371" t="s">
        <v>4026</v>
      </c>
    </row>
    <row r="1372" spans="1:10" x14ac:dyDescent="0.15">
      <c r="A1372">
        <v>101149056</v>
      </c>
      <c r="B1372" s="3" t="str">
        <f>HYPERLINK("https://github.com/ssgreg/journald", "https://github.com/ssgreg/journald")</f>
        <v>https://github.com/ssgreg/journald</v>
      </c>
      <c r="D1372">
        <v>17</v>
      </c>
      <c r="E1372" t="s">
        <v>4027</v>
      </c>
      <c r="F1372" t="s">
        <v>4028</v>
      </c>
      <c r="G1372">
        <v>0</v>
      </c>
      <c r="H1372" s="2">
        <v>42970.295937499999</v>
      </c>
      <c r="I1372" s="2">
        <v>43465.113402777781</v>
      </c>
      <c r="J1372" t="s">
        <v>4029</v>
      </c>
    </row>
    <row r="1373" spans="1:10" x14ac:dyDescent="0.15">
      <c r="A1373">
        <v>134302156</v>
      </c>
      <c r="B1373" s="3" t="str">
        <f>HYPERLINK("https://github.com/auyer/steganography", "https://github.com/auyer/steganography")</f>
        <v>https://github.com/auyer/steganography</v>
      </c>
      <c r="D1373">
        <v>17</v>
      </c>
      <c r="E1373" t="s">
        <v>4030</v>
      </c>
      <c r="F1373" t="s">
        <v>4031</v>
      </c>
      <c r="G1373">
        <v>4</v>
      </c>
      <c r="H1373" s="2">
        <v>43241.727500000001</v>
      </c>
      <c r="I1373" s="2">
        <v>43567.667627314811</v>
      </c>
      <c r="J1373" t="s">
        <v>4032</v>
      </c>
    </row>
    <row r="1374" spans="1:10" x14ac:dyDescent="0.15">
      <c r="A1374">
        <v>102645557</v>
      </c>
      <c r="B1374" s="3" t="str">
        <f>HYPERLINK("https://github.com/shettyh/threadpool", "https://github.com/shettyh/threadpool")</f>
        <v>https://github.com/shettyh/threadpool</v>
      </c>
      <c r="D1374">
        <v>17</v>
      </c>
      <c r="E1374" t="s">
        <v>4033</v>
      </c>
      <c r="F1374" t="s">
        <v>4034</v>
      </c>
      <c r="G1374">
        <v>3</v>
      </c>
      <c r="H1374" s="2">
        <v>42984.781701388893</v>
      </c>
      <c r="I1374" s="2">
        <v>43579.278136574067</v>
      </c>
      <c r="J1374" t="s">
        <v>4035</v>
      </c>
    </row>
    <row r="1375" spans="1:10" x14ac:dyDescent="0.15">
      <c r="A1375">
        <v>25951961</v>
      </c>
      <c r="B1375" s="3" t="str">
        <f>HYPERLINK("https://github.com/rapito/go-spotify", "https://github.com/rapito/go-spotify")</f>
        <v>https://github.com/rapito/go-spotify</v>
      </c>
      <c r="D1375">
        <v>16</v>
      </c>
      <c r="E1375" t="s">
        <v>4036</v>
      </c>
      <c r="F1375" t="s">
        <v>4037</v>
      </c>
      <c r="G1375">
        <v>1</v>
      </c>
      <c r="H1375" s="2">
        <v>41942.119490740741</v>
      </c>
      <c r="I1375" s="2">
        <v>43348.378877314812</v>
      </c>
      <c r="J1375" t="s">
        <v>4038</v>
      </c>
    </row>
    <row r="1376" spans="1:10" x14ac:dyDescent="0.15">
      <c r="A1376">
        <v>62173717</v>
      </c>
      <c r="B1376" s="3" t="str">
        <f>HYPERLINK("https://github.com/knspriggs/go-twitch", "https://github.com/knspriggs/go-twitch")</f>
        <v>https://github.com/knspriggs/go-twitch</v>
      </c>
      <c r="D1376">
        <v>16</v>
      </c>
      <c r="E1376" t="s">
        <v>4039</v>
      </c>
      <c r="F1376" t="s">
        <v>4040</v>
      </c>
      <c r="G1376">
        <v>3</v>
      </c>
      <c r="H1376" s="2">
        <v>42549.87122685185</v>
      </c>
      <c r="I1376" s="2">
        <v>43550.146458333344</v>
      </c>
      <c r="J1376" t="s">
        <v>4041</v>
      </c>
    </row>
    <row r="1377" spans="1:10" x14ac:dyDescent="0.15">
      <c r="A1377">
        <v>34981569</v>
      </c>
      <c r="B1377" s="3" t="str">
        <f>HYPERLINK("https://github.com/nstratos/go-myanimelist", "https://github.com/nstratos/go-myanimelist")</f>
        <v>https://github.com/nstratos/go-myanimelist</v>
      </c>
      <c r="D1377">
        <v>16</v>
      </c>
      <c r="E1377" t="s">
        <v>4042</v>
      </c>
      <c r="F1377" t="s">
        <v>4043</v>
      </c>
      <c r="G1377">
        <v>2</v>
      </c>
      <c r="H1377" s="2">
        <v>42127.421585648153</v>
      </c>
      <c r="I1377" s="2">
        <v>43540.734571759262</v>
      </c>
      <c r="J1377" t="s">
        <v>4044</v>
      </c>
    </row>
    <row r="1378" spans="1:10" x14ac:dyDescent="0.15">
      <c r="A1378">
        <v>21257617</v>
      </c>
      <c r="B1378" s="3" t="str">
        <f>HYPERLINK("https://github.com/velour/velour", "https://github.com/velour/velour")</f>
        <v>https://github.com/velour/velour</v>
      </c>
      <c r="D1378">
        <v>16</v>
      </c>
      <c r="E1378" t="s">
        <v>4045</v>
      </c>
      <c r="F1378" t="s">
        <v>4046</v>
      </c>
      <c r="G1378">
        <v>4</v>
      </c>
      <c r="H1378" s="2">
        <v>41816.959629629629</v>
      </c>
      <c r="I1378" s="2">
        <v>43404.816481481481</v>
      </c>
      <c r="J1378" t="s">
        <v>4047</v>
      </c>
    </row>
    <row r="1379" spans="1:10" x14ac:dyDescent="0.15">
      <c r="A1379">
        <v>122375722</v>
      </c>
      <c r="B1379" s="3" t="str">
        <f>HYPERLINK("https://github.com/hexdigest/gounit-vim", "https://github.com/hexdigest/gounit-vim")</f>
        <v>https://github.com/hexdigest/gounit-vim</v>
      </c>
      <c r="D1379">
        <v>16</v>
      </c>
      <c r="E1379" t="s">
        <v>4048</v>
      </c>
      <c r="F1379" t="s">
        <v>4049</v>
      </c>
      <c r="G1379">
        <v>0</v>
      </c>
      <c r="H1379" s="2">
        <v>43152.768946759257</v>
      </c>
      <c r="I1379" s="2">
        <v>43529.046296296299</v>
      </c>
      <c r="J1379" t="s">
        <v>4050</v>
      </c>
    </row>
    <row r="1380" spans="1:10" x14ac:dyDescent="0.15">
      <c r="A1380">
        <v>155061556</v>
      </c>
      <c r="B1380" s="3" t="str">
        <f>HYPERLINK("https://github.com/faceair/jio", "https://github.com/faceair/jio")</f>
        <v>https://github.com/faceair/jio</v>
      </c>
      <c r="D1380">
        <v>16</v>
      </c>
      <c r="E1380" t="s">
        <v>4051</v>
      </c>
      <c r="F1380" t="s">
        <v>4052</v>
      </c>
      <c r="G1380">
        <v>3</v>
      </c>
      <c r="H1380" s="2">
        <v>43401.460243055553</v>
      </c>
      <c r="I1380" s="2">
        <v>43572.476122685177</v>
      </c>
      <c r="J1380" t="s">
        <v>4053</v>
      </c>
    </row>
    <row r="1381" spans="1:10" x14ac:dyDescent="0.15">
      <c r="A1381">
        <v>33969976</v>
      </c>
      <c r="B1381" s="3" t="str">
        <f>HYPERLINK("https://github.com/naegelejd/brewerydb", "https://github.com/naegelejd/brewerydb")</f>
        <v>https://github.com/naegelejd/brewerydb</v>
      </c>
      <c r="D1381">
        <v>16</v>
      </c>
      <c r="E1381" t="s">
        <v>4054</v>
      </c>
      <c r="F1381" t="s">
        <v>4055</v>
      </c>
      <c r="G1381">
        <v>0</v>
      </c>
      <c r="H1381" s="2">
        <v>42109.124780092592</v>
      </c>
      <c r="I1381" s="2">
        <v>43556.215254629627</v>
      </c>
      <c r="J1381" t="s">
        <v>4056</v>
      </c>
    </row>
    <row r="1382" spans="1:10" x14ac:dyDescent="0.15">
      <c r="A1382">
        <v>110886422</v>
      </c>
      <c r="B1382" s="3" t="str">
        <f>HYPERLINK("https://github.com/ianlopshire/go-fixedwidth", "https://github.com/ianlopshire/go-fixedwidth")</f>
        <v>https://github.com/ianlopshire/go-fixedwidth</v>
      </c>
      <c r="D1382">
        <v>16</v>
      </c>
      <c r="E1382" t="s">
        <v>4057</v>
      </c>
      <c r="F1382" t="s">
        <v>4058</v>
      </c>
      <c r="G1382">
        <v>7</v>
      </c>
      <c r="H1382" s="2">
        <v>43054.878981481481</v>
      </c>
      <c r="I1382" s="2">
        <v>43578.514849537038</v>
      </c>
      <c r="J1382" t="s">
        <v>4059</v>
      </c>
    </row>
    <row r="1383" spans="1:10" x14ac:dyDescent="0.15">
      <c r="A1383">
        <v>59423019</v>
      </c>
      <c r="B1383" s="3" t="str">
        <f>HYPERLINK("https://github.com/wlbr/templify", "https://github.com/wlbr/templify")</f>
        <v>https://github.com/wlbr/templify</v>
      </c>
      <c r="D1383">
        <v>16</v>
      </c>
      <c r="E1383" t="s">
        <v>4060</v>
      </c>
      <c r="F1383" t="s">
        <v>4061</v>
      </c>
      <c r="G1383">
        <v>3</v>
      </c>
      <c r="H1383" s="2">
        <v>42512.696377314824</v>
      </c>
      <c r="I1383" s="2">
        <v>43559.126886574071</v>
      </c>
      <c r="J1383" t="s">
        <v>4062</v>
      </c>
    </row>
    <row r="1384" spans="1:10" x14ac:dyDescent="0.15">
      <c r="A1384">
        <v>108708663</v>
      </c>
      <c r="B1384" s="3" t="str">
        <f>HYPERLINK("https://github.com/aerogo/packet", "https://github.com/aerogo/packet")</f>
        <v>https://github.com/aerogo/packet</v>
      </c>
      <c r="D1384">
        <v>16</v>
      </c>
      <c r="E1384" t="s">
        <v>4063</v>
      </c>
      <c r="F1384" t="s">
        <v>4064</v>
      </c>
      <c r="G1384">
        <v>5</v>
      </c>
      <c r="H1384" s="2">
        <v>43037.240787037037</v>
      </c>
      <c r="I1384" s="2">
        <v>43579.290185185193</v>
      </c>
      <c r="J1384" t="s">
        <v>4065</v>
      </c>
    </row>
    <row r="1385" spans="1:10" x14ac:dyDescent="0.15">
      <c r="A1385">
        <v>25471841</v>
      </c>
      <c r="B1385" s="3" t="str">
        <f>HYPERLINK("https://github.com/jbrodriguez/mlog", "https://github.com/jbrodriguez/mlog")</f>
        <v>https://github.com/jbrodriguez/mlog</v>
      </c>
      <c r="D1385">
        <v>16</v>
      </c>
      <c r="E1385" t="s">
        <v>4066</v>
      </c>
      <c r="F1385" t="s">
        <v>4067</v>
      </c>
      <c r="G1385">
        <v>12</v>
      </c>
      <c r="H1385" s="2">
        <v>41932.629467592589</v>
      </c>
      <c r="I1385" s="2">
        <v>43453.792581018519</v>
      </c>
      <c r="J1385" t="s">
        <v>4068</v>
      </c>
    </row>
    <row r="1386" spans="1:10" x14ac:dyDescent="0.15">
      <c r="A1386">
        <v>170883193</v>
      </c>
      <c r="B1386" s="3" t="str">
        <f>HYPERLINK("https://github.com/kamilsk/breaker", "https://github.com/kamilsk/breaker")</f>
        <v>https://github.com/kamilsk/breaker</v>
      </c>
      <c r="D1386">
        <v>16</v>
      </c>
      <c r="E1386" t="s">
        <v>4069</v>
      </c>
      <c r="F1386" t="s">
        <v>4070</v>
      </c>
      <c r="G1386">
        <v>0</v>
      </c>
      <c r="H1386" s="2">
        <v>43511.630833333344</v>
      </c>
      <c r="I1386" s="2">
        <v>43570.798611111109</v>
      </c>
      <c r="J1386" t="s">
        <v>4071</v>
      </c>
    </row>
    <row r="1387" spans="1:10" x14ac:dyDescent="0.15">
      <c r="A1387">
        <v>65305991</v>
      </c>
      <c r="B1387" s="3" t="str">
        <f>HYPERLINK("https://github.com/db47h/ngaro", "https://github.com/db47h/ngaro")</f>
        <v>https://github.com/db47h/ngaro</v>
      </c>
      <c r="D1387">
        <v>16</v>
      </c>
      <c r="E1387" t="s">
        <v>4072</v>
      </c>
      <c r="F1387" t="s">
        <v>4073</v>
      </c>
      <c r="G1387">
        <v>1</v>
      </c>
      <c r="H1387" s="2">
        <v>42591.641550925917</v>
      </c>
      <c r="I1387" s="2">
        <v>43525.621446759258</v>
      </c>
      <c r="J1387" t="s">
        <v>4074</v>
      </c>
    </row>
    <row r="1388" spans="1:10" x14ac:dyDescent="0.15">
      <c r="A1388">
        <v>104077592</v>
      </c>
      <c r="B1388" s="3" t="str">
        <f>HYPERLINK("https://github.com/stackerzzq/xj2go", "https://github.com/stackerzzq/xj2go")</f>
        <v>https://github.com/stackerzzq/xj2go</v>
      </c>
      <c r="D1388">
        <v>16</v>
      </c>
      <c r="E1388" t="s">
        <v>4075</v>
      </c>
      <c r="F1388" t="s">
        <v>4076</v>
      </c>
      <c r="G1388">
        <v>3</v>
      </c>
      <c r="H1388" s="2">
        <v>42997.556215277778</v>
      </c>
      <c r="I1388" s="2">
        <v>43549.69804398148</v>
      </c>
      <c r="J1388" t="s">
        <v>4077</v>
      </c>
    </row>
    <row r="1389" spans="1:10" x14ac:dyDescent="0.15">
      <c r="A1389">
        <v>71943139</v>
      </c>
      <c r="B1389" s="3" t="str">
        <f>HYPERLINK("https://github.com/XML-Comp/XML-Comp", "https://github.com/XML-Comp/XML-Comp")</f>
        <v>https://github.com/XML-Comp/XML-Comp</v>
      </c>
      <c r="D1389">
        <v>15</v>
      </c>
      <c r="E1389" t="s">
        <v>4078</v>
      </c>
      <c r="F1389" t="s">
        <v>4079</v>
      </c>
      <c r="G1389">
        <v>8</v>
      </c>
      <c r="H1389" s="2">
        <v>42668.923055555562</v>
      </c>
      <c r="I1389" s="2">
        <v>43502.94458333333</v>
      </c>
      <c r="J1389" t="s">
        <v>4080</v>
      </c>
    </row>
    <row r="1390" spans="1:10" x14ac:dyDescent="0.15">
      <c r="A1390">
        <v>99513690</v>
      </c>
      <c r="B1390" s="3" t="str">
        <f>HYPERLINK("https://github.com/mxpv/patreon-go", "https://github.com/mxpv/patreon-go")</f>
        <v>https://github.com/mxpv/patreon-go</v>
      </c>
      <c r="D1390">
        <v>15</v>
      </c>
      <c r="E1390" t="s">
        <v>4081</v>
      </c>
      <c r="F1390" t="s">
        <v>4082</v>
      </c>
      <c r="G1390">
        <v>5</v>
      </c>
      <c r="H1390" s="2">
        <v>42953.885578703703</v>
      </c>
      <c r="I1390" s="2">
        <v>43564.345509259263</v>
      </c>
      <c r="J1390" t="s">
        <v>4083</v>
      </c>
    </row>
    <row r="1391" spans="1:10" x14ac:dyDescent="0.15">
      <c r="A1391">
        <v>115111788</v>
      </c>
      <c r="B1391" s="3" t="str">
        <f>HYPERLINK("https://github.com/aandryashin/selenoid", "https://github.com/aandryashin/selenoid")</f>
        <v>https://github.com/aandryashin/selenoid</v>
      </c>
      <c r="D1391">
        <v>15</v>
      </c>
      <c r="E1391" t="s">
        <v>1043</v>
      </c>
      <c r="F1391" t="s">
        <v>1044</v>
      </c>
      <c r="G1391">
        <v>0</v>
      </c>
      <c r="H1391" s="2">
        <v>43091.503229166658</v>
      </c>
      <c r="I1391" s="2">
        <v>43559.705196759263</v>
      </c>
      <c r="J1391" t="s">
        <v>4084</v>
      </c>
    </row>
    <row r="1392" spans="1:10" x14ac:dyDescent="0.15">
      <c r="A1392">
        <v>5318484</v>
      </c>
      <c r="B1392" s="3" t="str">
        <f>HYPERLINK("https://github.com/rjohnsondev/golibstemmer", "https://github.com/rjohnsondev/golibstemmer")</f>
        <v>https://github.com/rjohnsondev/golibstemmer</v>
      </c>
      <c r="D1392">
        <v>15</v>
      </c>
      <c r="E1392" t="s">
        <v>4085</v>
      </c>
      <c r="F1392" t="s">
        <v>4086</v>
      </c>
      <c r="G1392">
        <v>4</v>
      </c>
      <c r="H1392" s="2">
        <v>41127.813252314823</v>
      </c>
      <c r="I1392" s="2">
        <v>43310.934733796297</v>
      </c>
      <c r="J1392" t="s">
        <v>4087</v>
      </c>
    </row>
    <row r="1393" spans="1:10" x14ac:dyDescent="0.15">
      <c r="A1393">
        <v>41634108</v>
      </c>
      <c r="B1393" s="3" t="str">
        <f>HYPERLINK("https://github.com/aphistic/gomol", "https://github.com/aphistic/gomol")</f>
        <v>https://github.com/aphistic/gomol</v>
      </c>
      <c r="D1393">
        <v>15</v>
      </c>
      <c r="E1393" t="s">
        <v>4088</v>
      </c>
      <c r="F1393" t="s">
        <v>4089</v>
      </c>
      <c r="G1393">
        <v>0</v>
      </c>
      <c r="H1393" s="2">
        <v>42246.660949074067</v>
      </c>
      <c r="I1393" s="2">
        <v>43576.903368055559</v>
      </c>
      <c r="J1393" t="s">
        <v>4090</v>
      </c>
    </row>
    <row r="1394" spans="1:10" x14ac:dyDescent="0.15">
      <c r="A1394">
        <v>87474667</v>
      </c>
      <c r="B1394" s="3" t="str">
        <f>HYPERLINK("https://github.com/lucasgomide/snitch", "https://github.com/lucasgomide/snitch")</f>
        <v>https://github.com/lucasgomide/snitch</v>
      </c>
      <c r="D1394">
        <v>15</v>
      </c>
      <c r="E1394" t="s">
        <v>4091</v>
      </c>
      <c r="F1394" t="s">
        <v>4092</v>
      </c>
      <c r="G1394">
        <v>1</v>
      </c>
      <c r="H1394" s="2">
        <v>42831.876446759263</v>
      </c>
      <c r="I1394" s="2">
        <v>43310.580451388887</v>
      </c>
      <c r="J1394" t="s">
        <v>4093</v>
      </c>
    </row>
    <row r="1395" spans="1:10" x14ac:dyDescent="0.15">
      <c r="A1395">
        <v>143763518</v>
      </c>
      <c r="B1395" s="3" t="str">
        <f>HYPERLINK("https://github.com/sbabiv/xml2map", "https://github.com/sbabiv/xml2map")</f>
        <v>https://github.com/sbabiv/xml2map</v>
      </c>
      <c r="D1395">
        <v>15</v>
      </c>
      <c r="E1395" t="s">
        <v>4094</v>
      </c>
      <c r="F1395" t="s">
        <v>4095</v>
      </c>
      <c r="G1395">
        <v>4</v>
      </c>
      <c r="H1395" s="2">
        <v>43318.74428240741</v>
      </c>
      <c r="I1395" s="2">
        <v>43579.39707175926</v>
      </c>
      <c r="J1395" t="s">
        <v>4096</v>
      </c>
    </row>
    <row r="1396" spans="1:10" x14ac:dyDescent="0.15">
      <c r="A1396">
        <v>121042058</v>
      </c>
      <c r="B1396" s="3" t="str">
        <f>HYPERLINK("https://github.com/gobuffalo/validate", "https://github.com/gobuffalo/validate")</f>
        <v>https://github.com/gobuffalo/validate</v>
      </c>
      <c r="D1396">
        <v>15</v>
      </c>
      <c r="E1396" t="s">
        <v>3120</v>
      </c>
      <c r="F1396" t="s">
        <v>3503</v>
      </c>
      <c r="G1396">
        <v>11</v>
      </c>
      <c r="H1396" s="2">
        <v>43141.767997685187</v>
      </c>
      <c r="I1396" s="2">
        <v>43568.291307870371</v>
      </c>
      <c r="J1396" t="s">
        <v>4097</v>
      </c>
    </row>
    <row r="1397" spans="1:10" x14ac:dyDescent="0.15">
      <c r="A1397">
        <v>62585134</v>
      </c>
      <c r="B1397" s="3" t="str">
        <f>HYPERLINK("https://github.com/kirillDanshin/dlog", "https://github.com/kirillDanshin/dlog")</f>
        <v>https://github.com/kirillDanshin/dlog</v>
      </c>
      <c r="D1397">
        <v>15</v>
      </c>
      <c r="E1397" t="s">
        <v>4098</v>
      </c>
      <c r="F1397" t="s">
        <v>4099</v>
      </c>
      <c r="G1397">
        <v>1</v>
      </c>
      <c r="H1397" s="2">
        <v>42555.832743055558</v>
      </c>
      <c r="I1397" s="2">
        <v>43526.01189814815</v>
      </c>
      <c r="J1397" t="s">
        <v>4100</v>
      </c>
    </row>
    <row r="1398" spans="1:10" x14ac:dyDescent="0.15">
      <c r="A1398">
        <v>139835016</v>
      </c>
      <c r="B1398" s="3" t="str">
        <f>HYPERLINK("https://github.com/Fs02/wire", "https://github.com/Fs02/wire")</f>
        <v>https://github.com/Fs02/wire</v>
      </c>
      <c r="D1398">
        <v>15</v>
      </c>
      <c r="E1398" t="s">
        <v>4101</v>
      </c>
      <c r="F1398" t="s">
        <v>4102</v>
      </c>
      <c r="G1398">
        <v>2</v>
      </c>
      <c r="H1398" s="2">
        <v>43286.446111111109</v>
      </c>
      <c r="I1398" s="2">
        <v>43576.877152777779</v>
      </c>
      <c r="J1398" t="s">
        <v>4103</v>
      </c>
    </row>
    <row r="1399" spans="1:10" x14ac:dyDescent="0.15">
      <c r="A1399">
        <v>95908667</v>
      </c>
      <c r="B1399" s="3" t="str">
        <f>HYPERLINK("https://github.com/StudioSol/async", "https://github.com/StudioSol/async")</f>
        <v>https://github.com/StudioSol/async</v>
      </c>
      <c r="D1399">
        <v>15</v>
      </c>
      <c r="E1399" t="s">
        <v>4104</v>
      </c>
      <c r="F1399" t="s">
        <v>4105</v>
      </c>
      <c r="G1399">
        <v>4</v>
      </c>
      <c r="H1399" s="2">
        <v>42916.714270833327</v>
      </c>
      <c r="I1399" s="2">
        <v>43558.920474537037</v>
      </c>
      <c r="J1399" t="s">
        <v>4106</v>
      </c>
    </row>
    <row r="1400" spans="1:10" x14ac:dyDescent="0.15">
      <c r="A1400">
        <v>35420738</v>
      </c>
      <c r="B1400" s="3" t="str">
        <f>HYPERLINK("https://github.com/TreyBastian/colourize", "https://github.com/TreyBastian/colourize")</f>
        <v>https://github.com/TreyBastian/colourize</v>
      </c>
      <c r="D1400">
        <v>15</v>
      </c>
      <c r="E1400" t="s">
        <v>4107</v>
      </c>
      <c r="F1400" t="s">
        <v>4108</v>
      </c>
      <c r="G1400">
        <v>2</v>
      </c>
      <c r="H1400" s="2">
        <v>42135.492812500001</v>
      </c>
      <c r="I1400" s="2">
        <v>43515.893564814818</v>
      </c>
      <c r="J1400" t="s">
        <v>4109</v>
      </c>
    </row>
    <row r="1401" spans="1:10" x14ac:dyDescent="0.15">
      <c r="A1401">
        <v>87284067</v>
      </c>
      <c r="B1401" s="3" t="str">
        <f>HYPERLINK("https://github.com/yaronsumel/filler", "https://github.com/yaronsumel/filler")</f>
        <v>https://github.com/yaronsumel/filler</v>
      </c>
      <c r="D1401">
        <v>14</v>
      </c>
      <c r="E1401" t="s">
        <v>4110</v>
      </c>
      <c r="F1401" t="s">
        <v>4111</v>
      </c>
      <c r="G1401">
        <v>2</v>
      </c>
      <c r="H1401" s="2">
        <v>42830.343101851853</v>
      </c>
      <c r="I1401" s="2">
        <v>43392.835034722222</v>
      </c>
      <c r="J1401" t="s">
        <v>4112</v>
      </c>
    </row>
    <row r="1402" spans="1:10" x14ac:dyDescent="0.15">
      <c r="A1402">
        <v>95293551</v>
      </c>
      <c r="B1402" s="3" t="str">
        <f>HYPERLINK("https://github.com/mozillazg/go-httpheader", "https://github.com/mozillazg/go-httpheader")</f>
        <v>https://github.com/mozillazg/go-httpheader</v>
      </c>
      <c r="D1402">
        <v>14</v>
      </c>
      <c r="E1402" t="s">
        <v>4113</v>
      </c>
      <c r="F1402" t="s">
        <v>4114</v>
      </c>
      <c r="G1402">
        <v>3</v>
      </c>
      <c r="H1402" s="2">
        <v>42910.477847222217</v>
      </c>
      <c r="I1402" s="2">
        <v>43407.347685185188</v>
      </c>
      <c r="J1402" t="s">
        <v>4115</v>
      </c>
    </row>
    <row r="1403" spans="1:10" x14ac:dyDescent="0.15">
      <c r="A1403">
        <v>27038892</v>
      </c>
      <c r="B1403" s="3" t="str">
        <f>HYPERLINK("https://github.com/sostronk/go-steam", "https://github.com/sostronk/go-steam")</f>
        <v>https://github.com/sostronk/go-steam</v>
      </c>
      <c r="D1403">
        <v>14</v>
      </c>
      <c r="E1403" t="s">
        <v>4116</v>
      </c>
      <c r="F1403" t="s">
        <v>4117</v>
      </c>
      <c r="G1403">
        <v>3</v>
      </c>
      <c r="H1403" s="2">
        <v>41966.690925925926</v>
      </c>
      <c r="I1403" s="2">
        <v>43574.942210648151</v>
      </c>
      <c r="J1403" t="s">
        <v>4118</v>
      </c>
    </row>
    <row r="1404" spans="1:10" x14ac:dyDescent="0.15">
      <c r="A1404">
        <v>46257096</v>
      </c>
      <c r="B1404" s="3" t="str">
        <f>HYPERLINK("https://github.com/sunwxg/golibwireshark", "https://github.com/sunwxg/golibwireshark")</f>
        <v>https://github.com/sunwxg/golibwireshark</v>
      </c>
      <c r="D1404">
        <v>14</v>
      </c>
      <c r="E1404" t="s">
        <v>4119</v>
      </c>
      <c r="G1404">
        <v>3</v>
      </c>
      <c r="H1404" s="2">
        <v>42324.283807870372</v>
      </c>
      <c r="I1404" s="2">
        <v>43528.893877314818</v>
      </c>
      <c r="J1404" t="s">
        <v>4120</v>
      </c>
    </row>
    <row r="1405" spans="1:10" x14ac:dyDescent="0.15">
      <c r="A1405">
        <v>18795391</v>
      </c>
      <c r="B1405" s="3" t="str">
        <f>HYPERLINK("https://github.com/jimrobinson/kvbench", "https://github.com/jimrobinson/kvbench")</f>
        <v>https://github.com/jimrobinson/kvbench</v>
      </c>
      <c r="D1405">
        <v>14</v>
      </c>
      <c r="E1405" t="s">
        <v>4121</v>
      </c>
      <c r="F1405" t="s">
        <v>4122</v>
      </c>
      <c r="G1405">
        <v>1</v>
      </c>
      <c r="H1405" s="2">
        <v>41744.416284722232</v>
      </c>
      <c r="I1405" s="2">
        <v>43383.615416666667</v>
      </c>
      <c r="J1405" t="s">
        <v>4123</v>
      </c>
    </row>
    <row r="1406" spans="1:10" x14ac:dyDescent="0.15">
      <c r="A1406">
        <v>102362669</v>
      </c>
      <c r="B1406" s="3" t="str">
        <f>HYPERLINK("https://github.com/verygoodsoftwarenotvirus/blanket", "https://github.com/verygoodsoftwarenotvirus/blanket")</f>
        <v>https://github.com/verygoodsoftwarenotvirus/blanket</v>
      </c>
      <c r="D1406">
        <v>14</v>
      </c>
      <c r="E1406" t="s">
        <v>4124</v>
      </c>
      <c r="F1406" t="s">
        <v>4125</v>
      </c>
      <c r="G1406">
        <v>1</v>
      </c>
      <c r="H1406" s="2">
        <v>42982.54824074074</v>
      </c>
      <c r="I1406" s="2">
        <v>43549.215798611112</v>
      </c>
      <c r="J1406" t="s">
        <v>4126</v>
      </c>
    </row>
    <row r="1407" spans="1:10" x14ac:dyDescent="0.15">
      <c r="A1407">
        <v>149437718</v>
      </c>
      <c r="B1407" s="3" t="str">
        <f>HYPERLINK("https://github.com/ik5/gostrutils", "https://github.com/ik5/gostrutils")</f>
        <v>https://github.com/ik5/gostrutils</v>
      </c>
      <c r="D1407">
        <v>14</v>
      </c>
      <c r="E1407" t="s">
        <v>4127</v>
      </c>
      <c r="F1407" t="s">
        <v>4128</v>
      </c>
      <c r="G1407">
        <v>2</v>
      </c>
      <c r="H1407" s="2">
        <v>43362.462627314817</v>
      </c>
      <c r="I1407" s="2">
        <v>43563.626192129632</v>
      </c>
      <c r="J1407" t="s">
        <v>4129</v>
      </c>
    </row>
    <row r="1408" spans="1:10" x14ac:dyDescent="0.15">
      <c r="A1408">
        <v>89628525</v>
      </c>
      <c r="B1408" s="3" t="str">
        <f>HYPERLINK("https://github.com/nullne/evaluator", "https://github.com/nullne/evaluator")</f>
        <v>https://github.com/nullne/evaluator</v>
      </c>
      <c r="D1408">
        <v>14</v>
      </c>
      <c r="E1408" t="s">
        <v>4130</v>
      </c>
      <c r="G1408">
        <v>0</v>
      </c>
      <c r="H1408" s="2">
        <v>42852.772060185183</v>
      </c>
      <c r="I1408" s="2">
        <v>43539.641562500001</v>
      </c>
      <c r="J1408" t="s">
        <v>4131</v>
      </c>
    </row>
    <row r="1409" spans="1:10" x14ac:dyDescent="0.15">
      <c r="A1409">
        <v>102884066</v>
      </c>
      <c r="B1409" s="3" t="str">
        <f>HYPERLINK("https://github.com/codeship/codeship-go", "https://github.com/codeship/codeship-go")</f>
        <v>https://github.com/codeship/codeship-go</v>
      </c>
      <c r="D1409">
        <v>14</v>
      </c>
      <c r="E1409" t="s">
        <v>4132</v>
      </c>
      <c r="F1409" t="s">
        <v>4133</v>
      </c>
      <c r="G1409">
        <v>3</v>
      </c>
      <c r="H1409" s="2">
        <v>42986.701377314806</v>
      </c>
      <c r="I1409" s="2">
        <v>43560.581736111111</v>
      </c>
      <c r="J1409" t="s">
        <v>4134</v>
      </c>
    </row>
    <row r="1410" spans="1:10" x14ac:dyDescent="0.15">
      <c r="A1410">
        <v>135977273</v>
      </c>
      <c r="B1410" s="3" t="str">
        <f>HYPERLINK("https://github.com/pantrif/url-shortener", "https://github.com/pantrif/url-shortener")</f>
        <v>https://github.com/pantrif/url-shortener</v>
      </c>
      <c r="D1410">
        <v>14</v>
      </c>
      <c r="E1410" t="s">
        <v>4135</v>
      </c>
      <c r="F1410" t="s">
        <v>4136</v>
      </c>
      <c r="G1410">
        <v>2</v>
      </c>
      <c r="H1410" s="2">
        <v>43255.248437499999</v>
      </c>
      <c r="I1410" s="2">
        <v>43560.690347222233</v>
      </c>
      <c r="J1410" t="s">
        <v>4137</v>
      </c>
    </row>
    <row r="1411" spans="1:10" x14ac:dyDescent="0.15">
      <c r="A1411">
        <v>134830868</v>
      </c>
      <c r="B1411" s="3" t="str">
        <f>HYPERLINK("https://github.com/osamingo/gosh", "https://github.com/osamingo/gosh")</f>
        <v>https://github.com/osamingo/gosh</v>
      </c>
      <c r="D1411">
        <v>14</v>
      </c>
      <c r="E1411" t="s">
        <v>4138</v>
      </c>
      <c r="F1411" t="s">
        <v>4139</v>
      </c>
      <c r="G1411">
        <v>1</v>
      </c>
      <c r="H1411" s="2">
        <v>43245.372164351851</v>
      </c>
      <c r="I1411" s="2">
        <v>43557.219953703701</v>
      </c>
      <c r="J1411" t="s">
        <v>4140</v>
      </c>
    </row>
    <row r="1412" spans="1:10" x14ac:dyDescent="0.15">
      <c r="A1412">
        <v>104001262</v>
      </c>
      <c r="B1412" s="3" t="str">
        <f>HYPERLINK("https://github.com/maguro/pbf", "https://github.com/maguro/pbf")</f>
        <v>https://github.com/maguro/pbf</v>
      </c>
      <c r="D1412">
        <v>14</v>
      </c>
      <c r="E1412" t="s">
        <v>4141</v>
      </c>
      <c r="F1412" t="s">
        <v>4142</v>
      </c>
      <c r="G1412">
        <v>1</v>
      </c>
      <c r="H1412" s="2">
        <v>42996.967569444438</v>
      </c>
      <c r="I1412" s="2">
        <v>43574.482511574082</v>
      </c>
      <c r="J1412" t="s">
        <v>4143</v>
      </c>
    </row>
    <row r="1413" spans="1:10" x14ac:dyDescent="0.15">
      <c r="A1413">
        <v>117443737</v>
      </c>
      <c r="B1413" s="3" t="str">
        <f>HYPERLINK("https://github.com/gentee/gentee", "https://github.com/gentee/gentee")</f>
        <v>https://github.com/gentee/gentee</v>
      </c>
      <c r="D1413">
        <v>14</v>
      </c>
      <c r="E1413" t="s">
        <v>4144</v>
      </c>
      <c r="F1413" t="s">
        <v>4145</v>
      </c>
      <c r="G1413">
        <v>0</v>
      </c>
      <c r="H1413" s="2">
        <v>43114.659085648149</v>
      </c>
      <c r="I1413" s="2">
        <v>43580.115844907406</v>
      </c>
      <c r="J1413" t="s">
        <v>4146</v>
      </c>
    </row>
    <row r="1414" spans="1:10" x14ac:dyDescent="0.15">
      <c r="A1414">
        <v>101388126</v>
      </c>
      <c r="B1414" s="3" t="str">
        <f>HYPERLINK("https://github.com/zoumo/goset", "https://github.com/zoumo/goset")</f>
        <v>https://github.com/zoumo/goset</v>
      </c>
      <c r="D1414">
        <v>14</v>
      </c>
      <c r="E1414" t="s">
        <v>4147</v>
      </c>
      <c r="F1414" t="s">
        <v>4148</v>
      </c>
      <c r="G1414">
        <v>3</v>
      </c>
      <c r="H1414" s="2">
        <v>42972.389930555553</v>
      </c>
      <c r="I1414" s="2">
        <v>43546.09642361111</v>
      </c>
      <c r="J1414" t="s">
        <v>4149</v>
      </c>
    </row>
    <row r="1415" spans="1:10" x14ac:dyDescent="0.15">
      <c r="A1415">
        <v>147979190</v>
      </c>
      <c r="B1415" s="3" t="str">
        <f>HYPERLINK("https://github.com/JoshuaDoes/gofuckyourself", "https://github.com/JoshuaDoes/gofuckyourself")</f>
        <v>https://github.com/JoshuaDoes/gofuckyourself</v>
      </c>
      <c r="D1415">
        <v>13</v>
      </c>
      <c r="E1415" t="s">
        <v>4150</v>
      </c>
      <c r="F1415" t="s">
        <v>4151</v>
      </c>
      <c r="G1415">
        <v>1</v>
      </c>
      <c r="H1415" s="2">
        <v>43352.005162037043</v>
      </c>
      <c r="I1415" s="2">
        <v>43558.930856481478</v>
      </c>
      <c r="J1415" t="s">
        <v>4152</v>
      </c>
    </row>
    <row r="1416" spans="1:10" x14ac:dyDescent="0.15">
      <c r="A1416">
        <v>25470929</v>
      </c>
      <c r="B1416" s="3" t="str">
        <f>HYPERLINK("https://github.com/jbrodriguez/go-tmdb", "https://github.com/jbrodriguez/go-tmdb")</f>
        <v>https://github.com/jbrodriguez/go-tmdb</v>
      </c>
      <c r="D1416">
        <v>13</v>
      </c>
      <c r="E1416" t="s">
        <v>4153</v>
      </c>
      <c r="G1416">
        <v>1</v>
      </c>
      <c r="H1416" s="2">
        <v>41932.615393518521</v>
      </c>
      <c r="I1416" s="2">
        <v>43576.537939814807</v>
      </c>
      <c r="J1416" t="s">
        <v>4154</v>
      </c>
    </row>
    <row r="1417" spans="1:10" x14ac:dyDescent="0.15">
      <c r="A1417">
        <v>47507340</v>
      </c>
      <c r="B1417" s="3" t="str">
        <f>HYPERLINK("https://github.com/pyros2097/go-embed", "https://github.com/pyros2097/go-embed")</f>
        <v>https://github.com/pyros2097/go-embed</v>
      </c>
      <c r="D1417">
        <v>13</v>
      </c>
      <c r="E1417" t="s">
        <v>4155</v>
      </c>
      <c r="F1417" t="s">
        <v>4156</v>
      </c>
      <c r="G1417">
        <v>2</v>
      </c>
      <c r="H1417" s="2">
        <v>42344.74895833333</v>
      </c>
      <c r="I1417" s="2">
        <v>43538.070567129631</v>
      </c>
      <c r="J1417" t="s">
        <v>4157</v>
      </c>
    </row>
    <row r="1418" spans="1:10" x14ac:dyDescent="0.15">
      <c r="A1418">
        <v>96674195</v>
      </c>
      <c r="B1418" s="3" t="str">
        <f>HYPERLINK("https://github.com/artonge/go-gtfs", "https://github.com/artonge/go-gtfs")</f>
        <v>https://github.com/artonge/go-gtfs</v>
      </c>
      <c r="D1418">
        <v>13</v>
      </c>
      <c r="E1418" t="s">
        <v>4158</v>
      </c>
      <c r="F1418" t="s">
        <v>4159</v>
      </c>
      <c r="G1418">
        <v>7</v>
      </c>
      <c r="H1418" s="2">
        <v>42925.396192129629</v>
      </c>
      <c r="I1418" s="2">
        <v>43546.584930555553</v>
      </c>
      <c r="J1418" t="s">
        <v>4160</v>
      </c>
    </row>
    <row r="1419" spans="1:10" x14ac:dyDescent="0.15">
      <c r="A1419">
        <v>24667873</v>
      </c>
      <c r="B1419" s="3" t="str">
        <f>HYPERLINK("https://github.com/xta/okrun", "https://github.com/xta/okrun")</f>
        <v>https://github.com/xta/okrun</v>
      </c>
      <c r="D1419">
        <v>13</v>
      </c>
      <c r="E1419" t="s">
        <v>4161</v>
      </c>
      <c r="F1419" t="s">
        <v>4162</v>
      </c>
      <c r="G1419">
        <v>2</v>
      </c>
      <c r="H1419" s="2">
        <v>41913.263148148151</v>
      </c>
      <c r="I1419" s="2">
        <v>43322.037048611113</v>
      </c>
      <c r="J1419" t="s">
        <v>4163</v>
      </c>
    </row>
    <row r="1420" spans="1:10" x14ac:dyDescent="0.15">
      <c r="A1420">
        <v>150863977</v>
      </c>
      <c r="B1420" s="3" t="str">
        <f>HYPERLINK("https://github.com/hishamkaram/gismanager", "https://github.com/hishamkaram/gismanager")</f>
        <v>https://github.com/hishamkaram/gismanager</v>
      </c>
      <c r="D1420">
        <v>13</v>
      </c>
      <c r="E1420" t="s">
        <v>4164</v>
      </c>
      <c r="F1420" t="s">
        <v>4165</v>
      </c>
      <c r="G1420">
        <v>5</v>
      </c>
      <c r="H1420" s="2">
        <v>43372.535844907397</v>
      </c>
      <c r="I1420" s="2">
        <v>43559.793483796297</v>
      </c>
      <c r="J1420" t="s">
        <v>4166</v>
      </c>
    </row>
    <row r="1421" spans="1:10" x14ac:dyDescent="0.15">
      <c r="A1421">
        <v>99029654</v>
      </c>
      <c r="B1421" s="3" t="str">
        <f>HYPERLINK("https://github.com/C2FO/vfs", "https://github.com/C2FO/vfs")</f>
        <v>https://github.com/C2FO/vfs</v>
      </c>
      <c r="D1421">
        <v>13</v>
      </c>
      <c r="E1421" t="s">
        <v>4167</v>
      </c>
      <c r="F1421" t="s">
        <v>4168</v>
      </c>
      <c r="G1421">
        <v>3</v>
      </c>
      <c r="H1421" s="2">
        <v>42948.754328703697</v>
      </c>
      <c r="I1421" s="2">
        <v>43571.792743055557</v>
      </c>
      <c r="J1421" t="s">
        <v>4169</v>
      </c>
    </row>
    <row r="1422" spans="1:10" x14ac:dyDescent="0.15">
      <c r="A1422">
        <v>85341126</v>
      </c>
      <c r="B1422" s="3" t="str">
        <f>HYPERLINK("https://github.com/rafaeljesus/tempdb", "https://github.com/rafaeljesus/tempdb")</f>
        <v>https://github.com/rafaeljesus/tempdb</v>
      </c>
      <c r="D1422">
        <v>13</v>
      </c>
      <c r="E1422" t="s">
        <v>4170</v>
      </c>
      <c r="F1422" t="s">
        <v>4171</v>
      </c>
      <c r="G1422">
        <v>1</v>
      </c>
      <c r="H1422" s="2">
        <v>42811.752569444441</v>
      </c>
      <c r="I1422" s="2">
        <v>43400.955138888887</v>
      </c>
      <c r="J1422" t="s">
        <v>4172</v>
      </c>
    </row>
    <row r="1423" spans="1:10" x14ac:dyDescent="0.15">
      <c r="A1423">
        <v>36663730</v>
      </c>
      <c r="B1423" s="3" t="str">
        <f>HYPERLINK("https://github.com/chonthu/go-google-analytics", "https://github.com/chonthu/go-google-analytics")</f>
        <v>https://github.com/chonthu/go-google-analytics</v>
      </c>
      <c r="D1423">
        <v>12</v>
      </c>
      <c r="E1423" t="s">
        <v>4173</v>
      </c>
      <c r="F1423" t="s">
        <v>4174</v>
      </c>
      <c r="G1423">
        <v>2</v>
      </c>
      <c r="H1423" s="2">
        <v>42156.576388888891</v>
      </c>
      <c r="I1423" s="2">
        <v>43546.601817129631</v>
      </c>
      <c r="J1423" t="s">
        <v>4175</v>
      </c>
    </row>
    <row r="1424" spans="1:10" x14ac:dyDescent="0.15">
      <c r="A1424">
        <v>20948751</v>
      </c>
      <c r="B1424" s="3" t="str">
        <f>HYPERLINK("https://github.com/beyang/hgo", "https://github.com/beyang/hgo")</f>
        <v>https://github.com/beyang/hgo</v>
      </c>
      <c r="D1424">
        <v>12</v>
      </c>
      <c r="E1424" t="s">
        <v>4176</v>
      </c>
      <c r="F1424" t="s">
        <v>4177</v>
      </c>
      <c r="G1424">
        <v>2</v>
      </c>
      <c r="H1424" s="2">
        <v>41808.162962962961</v>
      </c>
      <c r="I1424" s="2">
        <v>43309.41810185185</v>
      </c>
      <c r="J1424" t="s">
        <v>4178</v>
      </c>
    </row>
    <row r="1425" spans="1:10" x14ac:dyDescent="0.15">
      <c r="A1425">
        <v>55101072</v>
      </c>
      <c r="B1425" s="3" t="str">
        <f>HYPERLINK("https://github.com/koffeinsource/go-imgur", "https://github.com/koffeinsource/go-imgur")</f>
        <v>https://github.com/koffeinsource/go-imgur</v>
      </c>
      <c r="D1425">
        <v>12</v>
      </c>
      <c r="E1425" t="s">
        <v>4179</v>
      </c>
      <c r="F1425" t="s">
        <v>4180</v>
      </c>
      <c r="G1425">
        <v>1</v>
      </c>
      <c r="H1425" s="2">
        <v>42459.920543981483</v>
      </c>
      <c r="I1425" s="2">
        <v>43546.601377314822</v>
      </c>
      <c r="J1425" t="s">
        <v>4181</v>
      </c>
    </row>
    <row r="1426" spans="1:10" x14ac:dyDescent="0.15">
      <c r="A1426">
        <v>39399339</v>
      </c>
      <c r="B1426" s="3" t="str">
        <f>HYPERLINK("https://github.com/go-playground/assert", "https://github.com/go-playground/assert")</f>
        <v>https://github.com/go-playground/assert</v>
      </c>
      <c r="D1426">
        <v>12</v>
      </c>
      <c r="E1426" t="s">
        <v>4182</v>
      </c>
      <c r="F1426" t="s">
        <v>4183</v>
      </c>
      <c r="G1426">
        <v>2</v>
      </c>
      <c r="H1426" s="2">
        <v>42205.745659722219</v>
      </c>
      <c r="I1426" s="2">
        <v>43470.778113425928</v>
      </c>
      <c r="J1426" t="s">
        <v>4184</v>
      </c>
    </row>
    <row r="1427" spans="1:10" x14ac:dyDescent="0.15">
      <c r="A1427">
        <v>12940595</v>
      </c>
      <c r="B1427" s="3" t="str">
        <f>HYPERLINK("https://github.com/GlenKelley/go-collada", "https://github.com/GlenKelley/go-collada")</f>
        <v>https://github.com/GlenKelley/go-collada</v>
      </c>
      <c r="D1427">
        <v>12</v>
      </c>
      <c r="E1427" t="s">
        <v>4185</v>
      </c>
      <c r="F1427" t="s">
        <v>4186</v>
      </c>
      <c r="G1427">
        <v>2</v>
      </c>
      <c r="H1427" s="2">
        <v>41536.180034722223</v>
      </c>
      <c r="I1427" s="2">
        <v>43268.61309027778</v>
      </c>
      <c r="J1427" t="s">
        <v>4187</v>
      </c>
    </row>
    <row r="1428" spans="1:10" x14ac:dyDescent="0.15">
      <c r="A1428">
        <v>50104983</v>
      </c>
      <c r="B1428" s="3" t="str">
        <f>HYPERLINK("https://github.com/diankong/GoDocTooltip", "https://github.com/diankong/GoDocTooltip")</f>
        <v>https://github.com/diankong/GoDocTooltip</v>
      </c>
      <c r="D1428">
        <v>12</v>
      </c>
      <c r="E1428" t="s">
        <v>4188</v>
      </c>
      <c r="F1428" t="s">
        <v>4189</v>
      </c>
      <c r="G1428">
        <v>1</v>
      </c>
      <c r="H1428" s="2">
        <v>42390.504803240743</v>
      </c>
      <c r="I1428" s="2">
        <v>43335.735937500001</v>
      </c>
      <c r="J1428" t="s">
        <v>4190</v>
      </c>
    </row>
    <row r="1429" spans="1:10" x14ac:dyDescent="0.15">
      <c r="A1429">
        <v>101477714</v>
      </c>
      <c r="B1429" s="3" t="str">
        <f>HYPERLINK("https://github.com/PumpkinSeed/structs", "https://github.com/PumpkinSeed/structs")</f>
        <v>https://github.com/PumpkinSeed/structs</v>
      </c>
      <c r="D1429">
        <v>12</v>
      </c>
      <c r="E1429" t="s">
        <v>4191</v>
      </c>
      <c r="F1429" t="s">
        <v>4192</v>
      </c>
      <c r="G1429">
        <v>1</v>
      </c>
      <c r="H1429" s="2">
        <v>42973.415972222218</v>
      </c>
      <c r="I1429" s="2">
        <v>43531.791967592602</v>
      </c>
      <c r="J1429" t="s">
        <v>4193</v>
      </c>
    </row>
    <row r="1430" spans="1:10" x14ac:dyDescent="0.15">
      <c r="A1430">
        <v>59557219</v>
      </c>
      <c r="B1430" s="3" t="str">
        <f>HYPERLINK("https://github.com/abo/rerate", "https://github.com/abo/rerate")</f>
        <v>https://github.com/abo/rerate</v>
      </c>
      <c r="D1430">
        <v>12</v>
      </c>
      <c r="E1430" t="s">
        <v>4194</v>
      </c>
      <c r="F1430" t="s">
        <v>4195</v>
      </c>
      <c r="G1430">
        <v>3</v>
      </c>
      <c r="H1430" s="2">
        <v>42514.374305555553</v>
      </c>
      <c r="I1430" s="2">
        <v>43463.318726851852</v>
      </c>
      <c r="J1430" t="s">
        <v>4196</v>
      </c>
    </row>
    <row r="1431" spans="1:10" x14ac:dyDescent="0.15">
      <c r="A1431">
        <v>41767365</v>
      </c>
      <c r="B1431" s="3" t="str">
        <f>HYPERLINK("https://github.com/farmergreg/textbelt", "https://github.com/farmergreg/textbelt")</f>
        <v>https://github.com/farmergreg/textbelt</v>
      </c>
      <c r="D1431">
        <v>12</v>
      </c>
      <c r="E1431" t="s">
        <v>4197</v>
      </c>
      <c r="F1431" t="s">
        <v>4198</v>
      </c>
      <c r="G1431">
        <v>0</v>
      </c>
      <c r="H1431" s="2">
        <v>42248.949097222219</v>
      </c>
      <c r="I1431" s="2">
        <v>43309.606724537043</v>
      </c>
      <c r="J1431" t="s">
        <v>4199</v>
      </c>
    </row>
    <row r="1432" spans="1:10" x14ac:dyDescent="0.15">
      <c r="A1432">
        <v>94477788</v>
      </c>
      <c r="B1432" s="3" t="str">
        <f>HYPERLINK("https://github.com/nathan-osman/go-sunrise", "https://github.com/nathan-osman/go-sunrise")</f>
        <v>https://github.com/nathan-osman/go-sunrise</v>
      </c>
      <c r="D1432">
        <v>12</v>
      </c>
      <c r="E1432" t="s">
        <v>4200</v>
      </c>
      <c r="F1432" t="s">
        <v>4201</v>
      </c>
      <c r="G1432">
        <v>2</v>
      </c>
      <c r="H1432" s="2">
        <v>42901.867835648147</v>
      </c>
      <c r="I1432" s="2">
        <v>43574.67114583333</v>
      </c>
      <c r="J1432" t="s">
        <v>4202</v>
      </c>
    </row>
    <row r="1433" spans="1:10" x14ac:dyDescent="0.15">
      <c r="A1433">
        <v>70476229</v>
      </c>
      <c r="B1433" s="3" t="str">
        <f>HYPERLINK("https://github.com/yitsushi/go-commander", "https://github.com/yitsushi/go-commander")</f>
        <v>https://github.com/yitsushi/go-commander</v>
      </c>
      <c r="D1433">
        <v>12</v>
      </c>
      <c r="E1433" t="s">
        <v>4203</v>
      </c>
      <c r="F1433" t="s">
        <v>4204</v>
      </c>
      <c r="G1433">
        <v>4</v>
      </c>
      <c r="H1433" s="2">
        <v>42653.423391203702</v>
      </c>
      <c r="I1433" s="2">
        <v>43553.80746527778</v>
      </c>
      <c r="J1433" t="s">
        <v>4205</v>
      </c>
    </row>
    <row r="1434" spans="1:10" x14ac:dyDescent="0.15">
      <c r="A1434">
        <v>61979066</v>
      </c>
      <c r="B1434" s="3" t="str">
        <f>HYPERLINK("https://github.com/lawrencewoodman/roveralls", "https://github.com/lawrencewoodman/roveralls")</f>
        <v>https://github.com/lawrencewoodman/roveralls</v>
      </c>
      <c r="D1434">
        <v>12</v>
      </c>
      <c r="E1434" t="s">
        <v>4206</v>
      </c>
      <c r="F1434" t="s">
        <v>4207</v>
      </c>
      <c r="G1434">
        <v>2</v>
      </c>
      <c r="H1434" s="2">
        <v>42547.323287037027</v>
      </c>
      <c r="I1434" s="2">
        <v>43580.415127314824</v>
      </c>
      <c r="J1434" t="s">
        <v>4208</v>
      </c>
    </row>
    <row r="1435" spans="1:10" x14ac:dyDescent="0.15">
      <c r="A1435">
        <v>61067172</v>
      </c>
      <c r="B1435" s="3" t="str">
        <f>HYPERLINK("https://github.com/viant/bgc", "https://github.com/viant/bgc")</f>
        <v>https://github.com/viant/bgc</v>
      </c>
      <c r="D1435">
        <v>12</v>
      </c>
      <c r="E1435" t="s">
        <v>4209</v>
      </c>
      <c r="F1435" t="s">
        <v>4210</v>
      </c>
      <c r="G1435">
        <v>4</v>
      </c>
      <c r="H1435" s="2">
        <v>42534.850300925929</v>
      </c>
      <c r="I1435" s="2">
        <v>43572.038287037038</v>
      </c>
      <c r="J1435" t="s">
        <v>4211</v>
      </c>
    </row>
    <row r="1436" spans="1:10" x14ac:dyDescent="0.15">
      <c r="A1436">
        <v>130927661</v>
      </c>
      <c r="B1436" s="3" t="str">
        <f>HYPERLINK("https://github.com/hyfather/pipeline", "https://github.com/hyfather/pipeline")</f>
        <v>https://github.com/hyfather/pipeline</v>
      </c>
      <c r="D1436">
        <v>12</v>
      </c>
      <c r="E1436" t="s">
        <v>4212</v>
      </c>
      <c r="F1436" t="s">
        <v>4213</v>
      </c>
      <c r="G1436">
        <v>0</v>
      </c>
      <c r="H1436" s="2">
        <v>43215.008055555547</v>
      </c>
      <c r="I1436" s="2">
        <v>43578.80537037037</v>
      </c>
      <c r="J1436" t="s">
        <v>4214</v>
      </c>
    </row>
    <row r="1437" spans="1:10" x14ac:dyDescent="0.15">
      <c r="A1437">
        <v>146662344</v>
      </c>
      <c r="B1437" s="3" t="str">
        <f>HYPERLINK("https://github.com/vectaport/flowgraph", "https://github.com/vectaport/flowgraph")</f>
        <v>https://github.com/vectaport/flowgraph</v>
      </c>
      <c r="D1437">
        <v>12</v>
      </c>
      <c r="E1437" t="s">
        <v>4215</v>
      </c>
      <c r="F1437" t="s">
        <v>4216</v>
      </c>
      <c r="G1437">
        <v>2</v>
      </c>
      <c r="H1437" s="2">
        <v>43341.906550925924</v>
      </c>
      <c r="I1437" s="2">
        <v>43566.980243055557</v>
      </c>
      <c r="J1437" t="s">
        <v>4217</v>
      </c>
    </row>
    <row r="1438" spans="1:10" x14ac:dyDescent="0.15">
      <c r="A1438">
        <v>79711179</v>
      </c>
      <c r="B1438" s="3" t="str">
        <f>HYPERLINK("https://github.com/cosiner/argv", "https://github.com/cosiner/argv")</f>
        <v>https://github.com/cosiner/argv</v>
      </c>
      <c r="D1438">
        <v>12</v>
      </c>
      <c r="E1438" t="s">
        <v>4218</v>
      </c>
      <c r="G1438">
        <v>1</v>
      </c>
      <c r="H1438" s="2">
        <v>42757.442604166667</v>
      </c>
      <c r="I1438" s="2">
        <v>43553.808078703703</v>
      </c>
      <c r="J1438" t="s">
        <v>4219</v>
      </c>
    </row>
    <row r="1439" spans="1:10" x14ac:dyDescent="0.15">
      <c r="A1439">
        <v>99654101</v>
      </c>
      <c r="B1439" s="3" t="str">
        <f>HYPERLINK("https://github.com/kzahedi/goent", "https://github.com/kzahedi/goent")</f>
        <v>https://github.com/kzahedi/goent</v>
      </c>
      <c r="D1439">
        <v>12</v>
      </c>
      <c r="E1439" t="s">
        <v>4220</v>
      </c>
      <c r="F1439" t="s">
        <v>4221</v>
      </c>
      <c r="G1439">
        <v>2</v>
      </c>
      <c r="H1439" s="2">
        <v>42955.234166666669</v>
      </c>
      <c r="I1439" s="2">
        <v>43558.404120370367</v>
      </c>
      <c r="J1439" t="s">
        <v>4222</v>
      </c>
    </row>
    <row r="1440" spans="1:10" x14ac:dyDescent="0.15">
      <c r="A1440">
        <v>90193369</v>
      </c>
      <c r="B1440" s="3" t="str">
        <f>HYPERLINK("https://github.com/wargarblgarbl/libgosubs", "https://github.com/wargarblgarbl/libgosubs")</f>
        <v>https://github.com/wargarblgarbl/libgosubs</v>
      </c>
      <c r="D1440">
        <v>11</v>
      </c>
      <c r="E1440" t="s">
        <v>4223</v>
      </c>
      <c r="F1440" t="s">
        <v>4224</v>
      </c>
      <c r="G1440">
        <v>2</v>
      </c>
      <c r="H1440" s="2">
        <v>42858.878761574073</v>
      </c>
      <c r="I1440" s="2">
        <v>43481.997314814813</v>
      </c>
      <c r="J1440" t="s">
        <v>4225</v>
      </c>
    </row>
    <row r="1441" spans="1:10" x14ac:dyDescent="0.15">
      <c r="A1441">
        <v>84783303</v>
      </c>
      <c r="B1441" s="3" t="str">
        <f>HYPERLINK("https://github.com/fterrag/goxlsxwriter", "https://github.com/fterrag/goxlsxwriter")</f>
        <v>https://github.com/fterrag/goxlsxwriter</v>
      </c>
      <c r="D1441">
        <v>11</v>
      </c>
      <c r="E1441" t="s">
        <v>4226</v>
      </c>
      <c r="F1441" t="s">
        <v>4227</v>
      </c>
      <c r="G1441">
        <v>0</v>
      </c>
      <c r="H1441" s="2">
        <v>42807.17728009259</v>
      </c>
      <c r="I1441" s="2">
        <v>43456.732800925929</v>
      </c>
      <c r="J1441" t="s">
        <v>4228</v>
      </c>
    </row>
    <row r="1442" spans="1:10" x14ac:dyDescent="0.15">
      <c r="A1442">
        <v>34726687</v>
      </c>
      <c r="B1442" s="3" t="str">
        <f>HYPERLINK("https://github.com/ematvey/go-fn", "https://github.com/ematvey/go-fn")</f>
        <v>https://github.com/ematvey/go-fn</v>
      </c>
      <c r="D1442">
        <v>11</v>
      </c>
      <c r="E1442" t="s">
        <v>4229</v>
      </c>
      <c r="F1442" t="s">
        <v>4230</v>
      </c>
      <c r="G1442">
        <v>2</v>
      </c>
      <c r="H1442" s="2">
        <v>42122.479814814818</v>
      </c>
      <c r="I1442" s="2">
        <v>43487.791331018518</v>
      </c>
      <c r="J1442" t="s">
        <v>4231</v>
      </c>
    </row>
    <row r="1443" spans="1:10" x14ac:dyDescent="0.15">
      <c r="A1443">
        <v>72781849</v>
      </c>
      <c r="B1443" s="3" t="str">
        <f>HYPERLINK("https://github.com/maxatome/go-vitotrol", "https://github.com/maxatome/go-vitotrol")</f>
        <v>https://github.com/maxatome/go-vitotrol</v>
      </c>
      <c r="D1443">
        <v>11</v>
      </c>
      <c r="E1443" t="s">
        <v>4232</v>
      </c>
      <c r="F1443" t="s">
        <v>4233</v>
      </c>
      <c r="G1443">
        <v>0</v>
      </c>
      <c r="H1443" s="2">
        <v>42677.833136574067</v>
      </c>
      <c r="I1443" s="2">
        <v>43513.280023148152</v>
      </c>
      <c r="J1443" t="s">
        <v>4234</v>
      </c>
    </row>
    <row r="1444" spans="1:10" x14ac:dyDescent="0.15">
      <c r="A1444">
        <v>103391887</v>
      </c>
      <c r="B1444" s="3" t="str">
        <f>HYPERLINK("https://github.com/axelspringer/generator-go-lang", "https://github.com/axelspringer/generator-go-lang")</f>
        <v>https://github.com/axelspringer/generator-go-lang</v>
      </c>
      <c r="D1444">
        <v>11</v>
      </c>
      <c r="E1444" t="s">
        <v>4235</v>
      </c>
      <c r="F1444" t="s">
        <v>4236</v>
      </c>
      <c r="G1444">
        <v>2</v>
      </c>
      <c r="H1444" s="2">
        <v>42991.481319444443</v>
      </c>
      <c r="I1444" s="2">
        <v>43558.429583333331</v>
      </c>
      <c r="J1444" t="s">
        <v>4237</v>
      </c>
    </row>
    <row r="1445" spans="1:10" x14ac:dyDescent="0.15">
      <c r="A1445">
        <v>112626244</v>
      </c>
      <c r="B1445" s="3" t="str">
        <f>HYPERLINK("https://github.com/theia-ide/theia-go-extension", "https://github.com/theia-ide/theia-go-extension")</f>
        <v>https://github.com/theia-ide/theia-go-extension</v>
      </c>
      <c r="D1445">
        <v>11</v>
      </c>
      <c r="E1445" t="s">
        <v>4238</v>
      </c>
      <c r="F1445" t="s">
        <v>4239</v>
      </c>
      <c r="G1445">
        <v>2</v>
      </c>
      <c r="H1445" s="2">
        <v>43069.635868055557</v>
      </c>
      <c r="I1445" s="2">
        <v>43544.306076388893</v>
      </c>
      <c r="J1445" t="s">
        <v>4240</v>
      </c>
    </row>
    <row r="1446" spans="1:10" x14ac:dyDescent="0.15">
      <c r="A1446">
        <v>28489259</v>
      </c>
      <c r="B1446" s="3" t="str">
        <f>HYPERLINK("https://github.com/digitalcrab/fastlz", "https://github.com/digitalcrab/fastlz")</f>
        <v>https://github.com/digitalcrab/fastlz</v>
      </c>
      <c r="D1446">
        <v>11</v>
      </c>
      <c r="E1446" t="s">
        <v>4241</v>
      </c>
      <c r="F1446" t="s">
        <v>4242</v>
      </c>
      <c r="G1446">
        <v>3</v>
      </c>
      <c r="H1446" s="2">
        <v>41998.802870370368</v>
      </c>
      <c r="I1446" s="2">
        <v>43499.132870370369</v>
      </c>
      <c r="J1446" t="s">
        <v>4243</v>
      </c>
    </row>
    <row r="1447" spans="1:10" x14ac:dyDescent="0.15">
      <c r="A1447">
        <v>153238770</v>
      </c>
      <c r="B1447" s="3" t="str">
        <f>HYPERLINK("https://github.com/hugocarreira/go-decent-copy", "https://github.com/hugocarreira/go-decent-copy")</f>
        <v>https://github.com/hugocarreira/go-decent-copy</v>
      </c>
      <c r="D1447">
        <v>11</v>
      </c>
      <c r="E1447" t="s">
        <v>4244</v>
      </c>
      <c r="F1447" t="s">
        <v>4245</v>
      </c>
      <c r="G1447">
        <v>1</v>
      </c>
      <c r="H1447" s="2">
        <v>43389.297500000001</v>
      </c>
      <c r="I1447" s="2">
        <v>43513.517106481479</v>
      </c>
      <c r="J1447" t="s">
        <v>4246</v>
      </c>
    </row>
    <row r="1448" spans="1:10" x14ac:dyDescent="0.15">
      <c r="A1448">
        <v>61066818</v>
      </c>
      <c r="B1448" s="3" t="str">
        <f>HYPERLINK("https://github.com/viant/dsc", "https://github.com/viant/dsc")</f>
        <v>https://github.com/viant/dsc</v>
      </c>
      <c r="D1448">
        <v>11</v>
      </c>
      <c r="E1448" t="s">
        <v>4247</v>
      </c>
      <c r="F1448" t="s">
        <v>4248</v>
      </c>
      <c r="G1448">
        <v>4</v>
      </c>
      <c r="H1448" s="2">
        <v>42534.845949074072</v>
      </c>
      <c r="I1448" s="2">
        <v>43575.095694444448</v>
      </c>
      <c r="J1448" t="s">
        <v>4249</v>
      </c>
    </row>
    <row r="1449" spans="1:10" x14ac:dyDescent="0.15">
      <c r="A1449">
        <v>36894128</v>
      </c>
      <c r="B1449" s="3" t="str">
        <f>HYPERLINK("https://github.com/codemodus/kace", "https://github.com/codemodus/kace")</f>
        <v>https://github.com/codemodus/kace</v>
      </c>
      <c r="D1449">
        <v>10</v>
      </c>
      <c r="E1449" t="s">
        <v>4250</v>
      </c>
      <c r="F1449" t="s">
        <v>4251</v>
      </c>
      <c r="G1449">
        <v>1</v>
      </c>
      <c r="H1449" s="2">
        <v>42159.858900462961</v>
      </c>
      <c r="I1449" s="2">
        <v>43549.351539351846</v>
      </c>
      <c r="J1449" t="s">
        <v>4252</v>
      </c>
    </row>
    <row r="1450" spans="1:10" x14ac:dyDescent="0.15">
      <c r="A1450">
        <v>15096116</v>
      </c>
      <c r="B1450" s="3" t="str">
        <f>HYPERLINK("https://github.com/sergiotapia/smitego", "https://github.com/sergiotapia/smitego")</f>
        <v>https://github.com/sergiotapia/smitego</v>
      </c>
      <c r="D1450">
        <v>10</v>
      </c>
      <c r="E1450" t="s">
        <v>4253</v>
      </c>
      <c r="F1450" t="s">
        <v>4254</v>
      </c>
      <c r="G1450">
        <v>0</v>
      </c>
      <c r="H1450" s="2">
        <v>41619.109942129631</v>
      </c>
      <c r="I1450" s="2">
        <v>43574.942731481482</v>
      </c>
      <c r="J1450" t="s">
        <v>4255</v>
      </c>
    </row>
    <row r="1451" spans="1:10" x14ac:dyDescent="0.15">
      <c r="A1451">
        <v>98079587</v>
      </c>
      <c r="B1451" s="3" t="str">
        <f>HYPERLINK("https://github.com/osamingo/shamoji", "https://github.com/osamingo/shamoji")</f>
        <v>https://github.com/osamingo/shamoji</v>
      </c>
      <c r="D1451">
        <v>10</v>
      </c>
      <c r="E1451" t="s">
        <v>4256</v>
      </c>
      <c r="F1451" t="s">
        <v>4257</v>
      </c>
      <c r="G1451">
        <v>0</v>
      </c>
      <c r="H1451" s="2">
        <v>42939.276875000003</v>
      </c>
      <c r="I1451" s="2">
        <v>43482.149548611109</v>
      </c>
      <c r="J1451" t="s">
        <v>4258</v>
      </c>
    </row>
    <row r="1452" spans="1:10" x14ac:dyDescent="0.15">
      <c r="A1452">
        <v>7101004</v>
      </c>
      <c r="B1452" s="3" t="str">
        <f>HYPERLINK("https://github.com/goodsign/libtextcat", "https://github.com/goodsign/libtextcat")</f>
        <v>https://github.com/goodsign/libtextcat</v>
      </c>
      <c r="D1452">
        <v>10</v>
      </c>
      <c r="E1452" t="s">
        <v>4259</v>
      </c>
      <c r="F1452" t="s">
        <v>4260</v>
      </c>
      <c r="G1452">
        <v>6</v>
      </c>
      <c r="H1452" s="2">
        <v>41253.890127314808</v>
      </c>
      <c r="I1452" s="2">
        <v>43310.277754629627</v>
      </c>
      <c r="J1452" t="s">
        <v>4261</v>
      </c>
    </row>
    <row r="1453" spans="1:10" x14ac:dyDescent="0.15">
      <c r="A1453">
        <v>50969823</v>
      </c>
      <c r="B1453" s="3" t="str">
        <f>HYPERLINK("https://github.com/agext/uuid", "https://github.com/agext/uuid")</f>
        <v>https://github.com/agext/uuid</v>
      </c>
      <c r="D1453">
        <v>10</v>
      </c>
      <c r="E1453" t="s">
        <v>1619</v>
      </c>
      <c r="F1453" t="s">
        <v>4262</v>
      </c>
      <c r="G1453">
        <v>2</v>
      </c>
      <c r="H1453" s="2">
        <v>42403.126979166656</v>
      </c>
      <c r="I1453" s="2">
        <v>43546.604131944441</v>
      </c>
      <c r="J1453" t="s">
        <v>4263</v>
      </c>
    </row>
    <row r="1454" spans="1:10" x14ac:dyDescent="0.15">
      <c r="A1454">
        <v>150399806</v>
      </c>
      <c r="B1454" s="3" t="str">
        <f>HYPERLINK("https://github.com/gookit/filter", "https://github.com/gookit/filter")</f>
        <v>https://github.com/gookit/filter</v>
      </c>
      <c r="D1454">
        <v>10</v>
      </c>
      <c r="E1454" t="s">
        <v>4264</v>
      </c>
      <c r="F1454" t="s">
        <v>4265</v>
      </c>
      <c r="G1454">
        <v>0</v>
      </c>
      <c r="H1454" s="2">
        <v>43369.382789351846</v>
      </c>
      <c r="I1454" s="2">
        <v>43555.548703703702</v>
      </c>
      <c r="J1454" t="s">
        <v>4266</v>
      </c>
    </row>
    <row r="1455" spans="1:10" x14ac:dyDescent="0.15">
      <c r="A1455">
        <v>122559805</v>
      </c>
      <c r="B1455" s="3" t="str">
        <f>HYPERLINK("https://github.com/posener/client-timing", "https://github.com/posener/client-timing")</f>
        <v>https://github.com/posener/client-timing</v>
      </c>
      <c r="D1455">
        <v>10</v>
      </c>
      <c r="E1455" t="s">
        <v>4267</v>
      </c>
      <c r="F1455" t="s">
        <v>4268</v>
      </c>
      <c r="G1455">
        <v>2</v>
      </c>
      <c r="H1455" s="2">
        <v>43154.078298611108</v>
      </c>
      <c r="I1455" s="2">
        <v>43310.859039351853</v>
      </c>
      <c r="J1455" t="s">
        <v>4269</v>
      </c>
    </row>
    <row r="1456" spans="1:10" x14ac:dyDescent="0.15">
      <c r="A1456">
        <v>144329837</v>
      </c>
      <c r="B1456" s="3" t="str">
        <f>HYPERLINK("https://github.com/dannyvankooten/extemplate", "https://github.com/dannyvankooten/extemplate")</f>
        <v>https://github.com/dannyvankooten/extemplate</v>
      </c>
      <c r="D1456">
        <v>10</v>
      </c>
      <c r="E1456" t="s">
        <v>4270</v>
      </c>
      <c r="F1456" t="s">
        <v>4271</v>
      </c>
      <c r="G1456">
        <v>2</v>
      </c>
      <c r="H1456" s="2">
        <v>43322.857164351852</v>
      </c>
      <c r="I1456" s="2">
        <v>43567.114074074067</v>
      </c>
      <c r="J1456" t="s">
        <v>4272</v>
      </c>
    </row>
    <row r="1457" spans="1:10" x14ac:dyDescent="0.15">
      <c r="A1457">
        <v>155613071</v>
      </c>
      <c r="B1457" s="3" t="str">
        <f>HYPERLINK("https://github.com/borderstech/artifex", "https://github.com/borderstech/artifex")</f>
        <v>https://github.com/borderstech/artifex</v>
      </c>
      <c r="D1457">
        <v>10</v>
      </c>
      <c r="E1457" t="s">
        <v>4273</v>
      </c>
      <c r="F1457" t="s">
        <v>4274</v>
      </c>
      <c r="G1457">
        <v>2</v>
      </c>
      <c r="H1457" s="2">
        <v>43404.815636574072</v>
      </c>
      <c r="I1457" s="2">
        <v>43572.809027777781</v>
      </c>
      <c r="J1457" t="s">
        <v>4275</v>
      </c>
    </row>
    <row r="1458" spans="1:10" x14ac:dyDescent="0.15">
      <c r="A1458">
        <v>140186941</v>
      </c>
      <c r="B1458" s="3" t="str">
        <f>HYPERLINK("https://github.com/Konstantin8105/f4go", "https://github.com/Konstantin8105/f4go")</f>
        <v>https://github.com/Konstantin8105/f4go</v>
      </c>
      <c r="D1458">
        <v>10</v>
      </c>
      <c r="E1458" t="s">
        <v>4276</v>
      </c>
      <c r="F1458" t="s">
        <v>4277</v>
      </c>
      <c r="G1458">
        <v>1</v>
      </c>
      <c r="H1458" s="2">
        <v>43289.71230324074</v>
      </c>
      <c r="I1458" s="2">
        <v>43579.766192129631</v>
      </c>
      <c r="J1458" t="s">
        <v>4278</v>
      </c>
    </row>
    <row r="1459" spans="1:10" x14ac:dyDescent="0.15">
      <c r="A1459">
        <v>40180137</v>
      </c>
      <c r="B1459" s="3" t="str">
        <f>HYPERLINK("https://github.com/txgruppi/werr", "https://github.com/txgruppi/werr")</f>
        <v>https://github.com/txgruppi/werr</v>
      </c>
      <c r="D1459">
        <v>10</v>
      </c>
      <c r="E1459" t="s">
        <v>4279</v>
      </c>
      <c r="F1459" t="s">
        <v>4280</v>
      </c>
      <c r="G1459">
        <v>3</v>
      </c>
      <c r="H1459" s="2">
        <v>42220.465428240743</v>
      </c>
      <c r="I1459" s="2">
        <v>43511.367013888892</v>
      </c>
      <c r="J1459" t="s">
        <v>4281</v>
      </c>
    </row>
    <row r="1460" spans="1:10" x14ac:dyDescent="0.15">
      <c r="A1460">
        <v>105729699</v>
      </c>
      <c r="B1460" s="3" t="str">
        <f>HYPERLINK("https://github.com/andizzle/rwdb", "https://github.com/andizzle/rwdb")</f>
        <v>https://github.com/andizzle/rwdb</v>
      </c>
      <c r="D1460">
        <v>10</v>
      </c>
      <c r="E1460" t="s">
        <v>4282</v>
      </c>
      <c r="F1460" t="s">
        <v>4283</v>
      </c>
      <c r="G1460">
        <v>0</v>
      </c>
      <c r="H1460" s="2">
        <v>43012.163530092592</v>
      </c>
      <c r="I1460" s="2">
        <v>43487.223321759258</v>
      </c>
      <c r="J1460" t="s">
        <v>4284</v>
      </c>
    </row>
    <row r="1461" spans="1:10" x14ac:dyDescent="0.15">
      <c r="A1461">
        <v>73516898</v>
      </c>
      <c r="B1461" s="3" t="str">
        <f>HYPERLINK("https://github.com/ChristopherRabotin/ode", "https://github.com/ChristopherRabotin/ode")</f>
        <v>https://github.com/ChristopherRabotin/ode</v>
      </c>
      <c r="D1461">
        <v>10</v>
      </c>
      <c r="E1461" t="s">
        <v>4285</v>
      </c>
      <c r="F1461" t="s">
        <v>4286</v>
      </c>
      <c r="G1461">
        <v>0</v>
      </c>
      <c r="H1461" s="2">
        <v>42685.944687499999</v>
      </c>
      <c r="I1461" s="2">
        <v>43561.73165509259</v>
      </c>
      <c r="J1461" t="s">
        <v>4287</v>
      </c>
    </row>
    <row r="1462" spans="1:10" x14ac:dyDescent="0.15">
      <c r="A1462">
        <v>99963255</v>
      </c>
      <c r="B1462" s="3" t="str">
        <f>HYPERLINK("https://github.com/PaulRosset/go-hacknews", "https://github.com/PaulRosset/go-hacknews")</f>
        <v>https://github.com/PaulRosset/go-hacknews</v>
      </c>
      <c r="D1462">
        <v>9</v>
      </c>
      <c r="E1462" t="s">
        <v>4288</v>
      </c>
      <c r="F1462" t="s">
        <v>4289</v>
      </c>
      <c r="G1462">
        <v>0</v>
      </c>
      <c r="H1462" s="2">
        <v>42957.863912037043</v>
      </c>
      <c r="I1462" s="2">
        <v>43520.360636574071</v>
      </c>
      <c r="J1462" t="s">
        <v>4290</v>
      </c>
    </row>
    <row r="1463" spans="1:10" x14ac:dyDescent="0.15">
      <c r="A1463">
        <v>141929983</v>
      </c>
      <c r="B1463" s="3" t="str">
        <f>HYPERLINK("https://github.com/OGFris/GoStats", "https://github.com/OGFris/GoStats")</f>
        <v>https://github.com/OGFris/GoStats</v>
      </c>
      <c r="D1463">
        <v>9</v>
      </c>
      <c r="E1463" t="s">
        <v>4291</v>
      </c>
      <c r="F1463" t="s">
        <v>4292</v>
      </c>
      <c r="G1463">
        <v>0</v>
      </c>
      <c r="H1463" s="2">
        <v>43303.871712962973</v>
      </c>
      <c r="I1463" s="2">
        <v>43548.854143518518</v>
      </c>
      <c r="J1463" t="s">
        <v>4293</v>
      </c>
    </row>
    <row r="1464" spans="1:10" x14ac:dyDescent="0.15">
      <c r="A1464">
        <v>135371721</v>
      </c>
      <c r="B1464" s="3" t="str">
        <f>HYPERLINK("https://github.com/dwin/goArgonPass", "https://github.com/dwin/goArgonPass")</f>
        <v>https://github.com/dwin/goArgonPass</v>
      </c>
      <c r="D1464">
        <v>9</v>
      </c>
      <c r="E1464" t="s">
        <v>4294</v>
      </c>
      <c r="F1464" t="s">
        <v>4295</v>
      </c>
      <c r="G1464">
        <v>3</v>
      </c>
      <c r="H1464" s="2">
        <v>43250.064004629632</v>
      </c>
      <c r="I1464" s="2">
        <v>43574.500393518523</v>
      </c>
      <c r="J1464" t="s">
        <v>4296</v>
      </c>
    </row>
    <row r="1465" spans="1:10" x14ac:dyDescent="0.15">
      <c r="A1465">
        <v>150225415</v>
      </c>
      <c r="B1465" s="3" t="str">
        <f>HYPERLINK("https://github.com/coinpaprika/coinpaprika-api-go-client", "https://github.com/coinpaprika/coinpaprika-api-go-client")</f>
        <v>https://github.com/coinpaprika/coinpaprika-api-go-client</v>
      </c>
      <c r="D1465">
        <v>9</v>
      </c>
      <c r="E1465" t="s">
        <v>4297</v>
      </c>
      <c r="F1465" t="s">
        <v>4298</v>
      </c>
      <c r="G1465">
        <v>4</v>
      </c>
      <c r="H1465" s="2">
        <v>43368.31585648148</v>
      </c>
      <c r="I1465" s="2">
        <v>43578.79</v>
      </c>
      <c r="J1465" t="s">
        <v>4299</v>
      </c>
    </row>
    <row r="1466" spans="1:10" x14ac:dyDescent="0.15">
      <c r="A1466">
        <v>41295171</v>
      </c>
      <c r="B1466" s="3" t="str">
        <f>HYPERLINK("https://github.com/txgruppi/command", "https://github.com/txgruppi/command")</f>
        <v>https://github.com/txgruppi/command</v>
      </c>
      <c r="D1466">
        <v>9</v>
      </c>
      <c r="E1466" t="s">
        <v>4300</v>
      </c>
      <c r="F1466" t="s">
        <v>4301</v>
      </c>
      <c r="G1466">
        <v>2</v>
      </c>
      <c r="H1466" s="2">
        <v>42240.405439814807</v>
      </c>
      <c r="I1466" s="2">
        <v>43525.105821759258</v>
      </c>
      <c r="J1466" t="s">
        <v>4302</v>
      </c>
    </row>
    <row r="1467" spans="1:10" x14ac:dyDescent="0.15">
      <c r="A1467">
        <v>160658086</v>
      </c>
      <c r="B1467" s="3" t="str">
        <f>HYPERLINK("https://github.com/rhnvrm/simples3", "https://github.com/rhnvrm/simples3")</f>
        <v>https://github.com/rhnvrm/simples3</v>
      </c>
      <c r="D1467">
        <v>9</v>
      </c>
      <c r="E1467" t="s">
        <v>4303</v>
      </c>
      <c r="F1467" t="s">
        <v>4304</v>
      </c>
      <c r="G1467">
        <v>2</v>
      </c>
      <c r="H1467" s="2">
        <v>43440.433576388888</v>
      </c>
      <c r="I1467" s="2">
        <v>43510.308159722219</v>
      </c>
      <c r="J1467" t="s">
        <v>4305</v>
      </c>
    </row>
    <row r="1468" spans="1:10" x14ac:dyDescent="0.15">
      <c r="A1468">
        <v>140837406</v>
      </c>
      <c r="B1468" s="3" t="str">
        <f>HYPERLINK("https://github.com/brunomvsouza/ynab.go", "https://github.com/brunomvsouza/ynab.go")</f>
        <v>https://github.com/brunomvsouza/ynab.go</v>
      </c>
      <c r="D1468">
        <v>9</v>
      </c>
      <c r="E1468" t="s">
        <v>4306</v>
      </c>
      <c r="F1468" t="s">
        <v>4307</v>
      </c>
      <c r="G1468">
        <v>4</v>
      </c>
      <c r="H1468" s="2">
        <v>43294.465902777767</v>
      </c>
      <c r="I1468" s="2">
        <v>43578.587592592587</v>
      </c>
      <c r="J1468" t="s">
        <v>4308</v>
      </c>
    </row>
    <row r="1469" spans="1:10" x14ac:dyDescent="0.15">
      <c r="A1469">
        <v>115740699</v>
      </c>
      <c r="B1469" s="3" t="str">
        <f>HYPERLINK("https://github.com/mudler/anagent", "https://github.com/mudler/anagent")</f>
        <v>https://github.com/mudler/anagent</v>
      </c>
      <c r="D1469">
        <v>9</v>
      </c>
      <c r="E1469" t="s">
        <v>4309</v>
      </c>
      <c r="F1469" t="s">
        <v>4310</v>
      </c>
      <c r="G1469">
        <v>1</v>
      </c>
      <c r="H1469" s="2">
        <v>43098.719733796293</v>
      </c>
      <c r="I1469" s="2">
        <v>43473.329270833332</v>
      </c>
      <c r="J1469" t="s">
        <v>4311</v>
      </c>
    </row>
    <row r="1470" spans="1:10" x14ac:dyDescent="0.15">
      <c r="A1470">
        <v>143419931</v>
      </c>
      <c r="B1470" s="3" t="str">
        <f>HYPERLINK("https://github.com/antham/ghokin", "https://github.com/antham/ghokin")</f>
        <v>https://github.com/antham/ghokin</v>
      </c>
      <c r="D1470">
        <v>9</v>
      </c>
      <c r="E1470" t="s">
        <v>4312</v>
      </c>
      <c r="F1470" t="s">
        <v>4313</v>
      </c>
      <c r="G1470">
        <v>0</v>
      </c>
      <c r="H1470" s="2">
        <v>43315.483738425923</v>
      </c>
      <c r="I1470" s="2">
        <v>43559.629467592589</v>
      </c>
      <c r="J1470" t="s">
        <v>4314</v>
      </c>
    </row>
    <row r="1471" spans="1:10" x14ac:dyDescent="0.15">
      <c r="A1471">
        <v>99442533</v>
      </c>
      <c r="B1471" s="3" t="str">
        <f>HYPERLINK("https://github.com/kirillDanshin/avgRating", "https://github.com/kirillDanshin/avgRating")</f>
        <v>https://github.com/kirillDanshin/avgRating</v>
      </c>
      <c r="D1471">
        <v>9</v>
      </c>
      <c r="E1471" t="s">
        <v>4315</v>
      </c>
      <c r="F1471" t="s">
        <v>4316</v>
      </c>
      <c r="G1471">
        <v>1</v>
      </c>
      <c r="H1471" s="2">
        <v>42952.794791666667</v>
      </c>
      <c r="I1471" s="2">
        <v>43550.806041666663</v>
      </c>
      <c r="J1471" t="s">
        <v>4317</v>
      </c>
    </row>
    <row r="1472" spans="1:10" x14ac:dyDescent="0.15">
      <c r="A1472">
        <v>136999994</v>
      </c>
      <c r="B1472" s="3" t="str">
        <f>HYPERLINK("https://github.com/aofei/sandid", "https://github.com/aofei/sandid")</f>
        <v>https://github.com/aofei/sandid</v>
      </c>
      <c r="D1472">
        <v>9</v>
      </c>
      <c r="E1472" t="s">
        <v>4318</v>
      </c>
      <c r="F1472" t="s">
        <v>4319</v>
      </c>
      <c r="G1472">
        <v>0</v>
      </c>
      <c r="H1472" s="2">
        <v>43263.058495370373</v>
      </c>
      <c r="I1472" s="2">
        <v>43562.090810185182</v>
      </c>
      <c r="J1472" t="s">
        <v>4320</v>
      </c>
    </row>
    <row r="1473" spans="1:10" x14ac:dyDescent="0.15">
      <c r="A1473">
        <v>161317847</v>
      </c>
      <c r="B1473" s="3" t="str">
        <f>HYPERLINK("https://github.com/catchplay/scaffold", "https://github.com/catchplay/scaffold")</f>
        <v>https://github.com/catchplay/scaffold</v>
      </c>
      <c r="D1473">
        <v>9</v>
      </c>
      <c r="E1473" t="s">
        <v>4321</v>
      </c>
      <c r="F1473" t="s">
        <v>4322</v>
      </c>
      <c r="G1473">
        <v>0</v>
      </c>
      <c r="H1473" s="2">
        <v>43445.441701388889</v>
      </c>
      <c r="I1473" s="2">
        <v>43575.798298611109</v>
      </c>
      <c r="J1473" t="s">
        <v>4323</v>
      </c>
    </row>
    <row r="1474" spans="1:10" x14ac:dyDescent="0.15">
      <c r="A1474">
        <v>53232318</v>
      </c>
      <c r="B1474" s="3" t="str">
        <f>HYPERLINK("https://github.com/kirillDanshin/nulltime", "https://github.com/kirillDanshin/nulltime")</f>
        <v>https://github.com/kirillDanshin/nulltime</v>
      </c>
      <c r="D1474">
        <v>9</v>
      </c>
      <c r="E1474" t="s">
        <v>4324</v>
      </c>
      <c r="G1474">
        <v>2</v>
      </c>
      <c r="H1474" s="2">
        <v>42435.072893518518</v>
      </c>
      <c r="I1474" s="2">
        <v>43514.010706018518</v>
      </c>
      <c r="J1474" t="s">
        <v>4325</v>
      </c>
    </row>
    <row r="1475" spans="1:10" x14ac:dyDescent="0.15">
      <c r="A1475">
        <v>151437885</v>
      </c>
      <c r="B1475" s="3" t="str">
        <f>HYPERLINK("https://github.com/GuilhermeCaruso/kair", "https://github.com/GuilhermeCaruso/kair")</f>
        <v>https://github.com/GuilhermeCaruso/kair</v>
      </c>
      <c r="D1475">
        <v>9</v>
      </c>
      <c r="E1475" t="s">
        <v>4326</v>
      </c>
      <c r="F1475" t="s">
        <v>4327</v>
      </c>
      <c r="G1475">
        <v>1</v>
      </c>
      <c r="H1475" s="2">
        <v>43376.655636574083</v>
      </c>
      <c r="I1475" s="2">
        <v>43550.502002314817</v>
      </c>
      <c r="J1475" t="s">
        <v>4328</v>
      </c>
    </row>
    <row r="1476" spans="1:10" x14ac:dyDescent="0.15">
      <c r="A1476">
        <v>94270152</v>
      </c>
      <c r="B1476" s="3" t="str">
        <f>HYPERLINK("https://github.com/shomali11/xredis", "https://github.com/shomali11/xredis")</f>
        <v>https://github.com/shomali11/xredis</v>
      </c>
      <c r="D1476">
        <v>9</v>
      </c>
      <c r="E1476" t="s">
        <v>4329</v>
      </c>
      <c r="F1476" t="s">
        <v>4330</v>
      </c>
      <c r="G1476">
        <v>2</v>
      </c>
      <c r="H1476" s="2">
        <v>42900.013495370367</v>
      </c>
      <c r="I1476" s="2">
        <v>43320.327662037038</v>
      </c>
      <c r="J1476" t="s">
        <v>4331</v>
      </c>
    </row>
    <row r="1477" spans="1:10" x14ac:dyDescent="0.15">
      <c r="A1477">
        <v>163194803</v>
      </c>
      <c r="B1477" s="3" t="str">
        <f>HYPERLINK("https://github.com/iwanbk/bcache", "https://github.com/iwanbk/bcache")</f>
        <v>https://github.com/iwanbk/bcache</v>
      </c>
      <c r="D1477">
        <v>9</v>
      </c>
      <c r="E1477" t="s">
        <v>4332</v>
      </c>
      <c r="F1477" t="s">
        <v>4333</v>
      </c>
      <c r="G1477">
        <v>4</v>
      </c>
      <c r="H1477" s="2">
        <v>43460.656435185178</v>
      </c>
      <c r="I1477" s="2">
        <v>43571.954351851848</v>
      </c>
      <c r="J1477" t="s">
        <v>4334</v>
      </c>
    </row>
    <row r="1478" spans="1:10" x14ac:dyDescent="0.15">
      <c r="A1478">
        <v>104418115</v>
      </c>
      <c r="B1478" s="3" t="str">
        <f>HYPERLINK("https://github.com/amallia/go-ef", "https://github.com/amallia/go-ef")</f>
        <v>https://github.com/amallia/go-ef</v>
      </c>
      <c r="D1478">
        <v>9</v>
      </c>
      <c r="E1478" t="s">
        <v>4335</v>
      </c>
      <c r="F1478" t="s">
        <v>4336</v>
      </c>
      <c r="G1478">
        <v>2</v>
      </c>
      <c r="H1478" s="2">
        <v>43000.074490740742</v>
      </c>
      <c r="I1478" s="2">
        <v>43544.73940972222</v>
      </c>
      <c r="J1478" t="s">
        <v>4337</v>
      </c>
    </row>
    <row r="1479" spans="1:10" x14ac:dyDescent="0.15">
      <c r="A1479">
        <v>172839693</v>
      </c>
      <c r="B1479" s="3" t="str">
        <f>HYPERLINK("https://github.com/superwhiskers/crunch", "https://github.com/superwhiskers/crunch")</f>
        <v>https://github.com/superwhiskers/crunch</v>
      </c>
      <c r="D1479">
        <v>9</v>
      </c>
      <c r="E1479" t="s">
        <v>4338</v>
      </c>
      <c r="F1479" t="s">
        <v>4339</v>
      </c>
      <c r="G1479">
        <v>0</v>
      </c>
      <c r="H1479" s="2">
        <v>43523.164490740739</v>
      </c>
      <c r="I1479" s="2">
        <v>43569.58666666667</v>
      </c>
      <c r="J1479" t="s">
        <v>4340</v>
      </c>
    </row>
    <row r="1480" spans="1:10" x14ac:dyDescent="0.15">
      <c r="A1480">
        <v>119880400</v>
      </c>
      <c r="B1480" s="3" t="str">
        <f>HYPERLINK("https://github.com/the4thamigo-uk/conflate", "https://github.com/the4thamigo-uk/conflate")</f>
        <v>https://github.com/the4thamigo-uk/conflate</v>
      </c>
      <c r="D1480">
        <v>9</v>
      </c>
      <c r="E1480" t="s">
        <v>4341</v>
      </c>
      <c r="F1480" t="s">
        <v>4342</v>
      </c>
      <c r="G1480">
        <v>3</v>
      </c>
      <c r="H1480" s="2">
        <v>43132.796006944453</v>
      </c>
      <c r="I1480" s="2">
        <v>43578.491608796299</v>
      </c>
      <c r="J1480" t="s">
        <v>4343</v>
      </c>
    </row>
    <row r="1481" spans="1:10" x14ac:dyDescent="0.15">
      <c r="A1481">
        <v>56234344</v>
      </c>
      <c r="B1481" s="3" t="str">
        <f>HYPERLINK("https://github.com/onrik/micha", "https://github.com/onrik/micha")</f>
        <v>https://github.com/onrik/micha</v>
      </c>
      <c r="D1481">
        <v>9</v>
      </c>
      <c r="E1481" t="s">
        <v>4344</v>
      </c>
      <c r="F1481" t="s">
        <v>4345</v>
      </c>
      <c r="G1481">
        <v>2</v>
      </c>
      <c r="H1481" s="2">
        <v>42474.50675925926</v>
      </c>
      <c r="I1481" s="2">
        <v>43517.177893518521</v>
      </c>
      <c r="J1481" t="s">
        <v>4346</v>
      </c>
    </row>
    <row r="1482" spans="1:10" x14ac:dyDescent="0.15">
      <c r="A1482">
        <v>42446284</v>
      </c>
      <c r="B1482" s="3" t="str">
        <f>HYPERLINK("https://github.com/ThePaw/probab", "https://github.com/ThePaw/probab")</f>
        <v>https://github.com/ThePaw/probab</v>
      </c>
      <c r="D1482">
        <v>9</v>
      </c>
      <c r="E1482" t="s">
        <v>4347</v>
      </c>
      <c r="F1482" t="s">
        <v>4348</v>
      </c>
      <c r="G1482">
        <v>4</v>
      </c>
      <c r="H1482" s="2">
        <v>42261.505462962959</v>
      </c>
      <c r="I1482" s="2">
        <v>43311.138668981483</v>
      </c>
      <c r="J1482" t="s">
        <v>4349</v>
      </c>
    </row>
    <row r="1483" spans="1:10" x14ac:dyDescent="0.15">
      <c r="A1483">
        <v>74303288</v>
      </c>
      <c r="B1483" s="3" t="str">
        <f>HYPERLINK("https://github.com/dh1tw/gosamplerate", "https://github.com/dh1tw/gosamplerate")</f>
        <v>https://github.com/dh1tw/gosamplerate</v>
      </c>
      <c r="D1483">
        <v>8</v>
      </c>
      <c r="E1483" t="s">
        <v>4350</v>
      </c>
      <c r="F1483" t="s">
        <v>4351</v>
      </c>
      <c r="G1483">
        <v>1</v>
      </c>
      <c r="H1483" s="2">
        <v>42694.888553240737</v>
      </c>
      <c r="I1483" s="2">
        <v>43420.161157407398</v>
      </c>
      <c r="J1483" t="s">
        <v>4352</v>
      </c>
    </row>
    <row r="1484" spans="1:10" x14ac:dyDescent="0.15">
      <c r="A1484">
        <v>24073900</v>
      </c>
      <c r="B1484" s="3" t="str">
        <f>HYPERLINK("https://github.com/Omie/rrdaclient", "https://github.com/Omie/rrdaclient")</f>
        <v>https://github.com/Omie/rrdaclient</v>
      </c>
      <c r="D1484">
        <v>8</v>
      </c>
      <c r="E1484" t="s">
        <v>4353</v>
      </c>
      <c r="F1484" t="s">
        <v>4354</v>
      </c>
      <c r="G1484">
        <v>0</v>
      </c>
      <c r="H1484" s="2">
        <v>41897.879351851851</v>
      </c>
      <c r="I1484" s="2">
        <v>43406.326111111113</v>
      </c>
      <c r="J1484" t="s">
        <v>4355</v>
      </c>
    </row>
    <row r="1485" spans="1:10" x14ac:dyDescent="0.15">
      <c r="A1485">
        <v>141415114</v>
      </c>
      <c r="B1485" s="3" t="str">
        <f>HYPERLINK("https://github.com/shafreeck/retry", "https://github.com/shafreeck/retry")</f>
        <v>https://github.com/shafreeck/retry</v>
      </c>
      <c r="D1485">
        <v>8</v>
      </c>
      <c r="E1485" t="s">
        <v>2603</v>
      </c>
      <c r="F1485" t="s">
        <v>4356</v>
      </c>
      <c r="G1485">
        <v>0</v>
      </c>
      <c r="H1485" s="2">
        <v>43299.408715277779</v>
      </c>
      <c r="I1485" s="2">
        <v>43518.430775462963</v>
      </c>
      <c r="J1485" t="s">
        <v>4357</v>
      </c>
    </row>
    <row r="1486" spans="1:10" x14ac:dyDescent="0.15">
      <c r="A1486">
        <v>142245484</v>
      </c>
      <c r="B1486" s="3" t="str">
        <f>HYPERLINK("https://github.com/centerorbit/depcharge", "https://github.com/centerorbit/depcharge")</f>
        <v>https://github.com/centerorbit/depcharge</v>
      </c>
      <c r="D1486">
        <v>8</v>
      </c>
      <c r="E1486" t="s">
        <v>4358</v>
      </c>
      <c r="F1486" t="s">
        <v>4359</v>
      </c>
      <c r="G1486">
        <v>2</v>
      </c>
      <c r="H1486" s="2">
        <v>43306.16815972222</v>
      </c>
      <c r="I1486" s="2">
        <v>43502.722743055558</v>
      </c>
      <c r="J1486" t="s">
        <v>4360</v>
      </c>
    </row>
    <row r="1487" spans="1:10" x14ac:dyDescent="0.15">
      <c r="A1487">
        <v>130552847</v>
      </c>
      <c r="B1487" s="3" t="str">
        <f>HYPERLINK("https://github.com/timdp/lwc", "https://github.com/timdp/lwc")</f>
        <v>https://github.com/timdp/lwc</v>
      </c>
      <c r="D1487">
        <v>8</v>
      </c>
      <c r="E1487" t="s">
        <v>4361</v>
      </c>
      <c r="F1487" t="s">
        <v>4362</v>
      </c>
      <c r="G1487">
        <v>2</v>
      </c>
      <c r="H1487" s="2">
        <v>43212.391481481478</v>
      </c>
      <c r="I1487" s="2">
        <v>43576.966643518521</v>
      </c>
      <c r="J1487" t="s">
        <v>4363</v>
      </c>
    </row>
    <row r="1488" spans="1:10" x14ac:dyDescent="0.15">
      <c r="A1488">
        <v>71008857</v>
      </c>
      <c r="B1488" s="3" t="str">
        <f>HYPERLINK("https://github.com/pavlo/gosuite", "https://github.com/pavlo/gosuite")</f>
        <v>https://github.com/pavlo/gosuite</v>
      </c>
      <c r="D1488">
        <v>8</v>
      </c>
      <c r="E1488" t="s">
        <v>4364</v>
      </c>
      <c r="F1488" t="s">
        <v>4365</v>
      </c>
      <c r="G1488">
        <v>2</v>
      </c>
      <c r="H1488" s="2">
        <v>42658.811273148152</v>
      </c>
      <c r="I1488" s="2">
        <v>43506.728761574072</v>
      </c>
      <c r="J1488" t="s">
        <v>4366</v>
      </c>
    </row>
    <row r="1489" spans="1:10" x14ac:dyDescent="0.15">
      <c r="A1489">
        <v>91610983</v>
      </c>
      <c r="B1489" s="3" t="str">
        <f>HYPERLINK("https://github.com/workanator/go-ataman", "https://github.com/workanator/go-ataman")</f>
        <v>https://github.com/workanator/go-ataman</v>
      </c>
      <c r="D1489">
        <v>8</v>
      </c>
      <c r="E1489" t="s">
        <v>4367</v>
      </c>
      <c r="F1489" t="s">
        <v>4368</v>
      </c>
      <c r="G1489">
        <v>1</v>
      </c>
      <c r="H1489" s="2">
        <v>42872.795104166667</v>
      </c>
      <c r="I1489" s="2">
        <v>43441.998194444437</v>
      </c>
      <c r="J1489" t="s">
        <v>4369</v>
      </c>
    </row>
    <row r="1490" spans="1:10" x14ac:dyDescent="0.15">
      <c r="A1490">
        <v>45331649</v>
      </c>
      <c r="B1490" s="3" t="str">
        <f>HYPERLINK("https://github.com/sunwxg/goshark", "https://github.com/sunwxg/goshark")</f>
        <v>https://github.com/sunwxg/goshark</v>
      </c>
      <c r="D1490">
        <v>8</v>
      </c>
      <c r="E1490" t="s">
        <v>4370</v>
      </c>
      <c r="G1490">
        <v>2</v>
      </c>
      <c r="H1490" s="2">
        <v>42309.307743055557</v>
      </c>
      <c r="I1490" s="2">
        <v>43501.078460648147</v>
      </c>
      <c r="J1490" t="s">
        <v>4371</v>
      </c>
    </row>
    <row r="1491" spans="1:10" x14ac:dyDescent="0.15">
      <c r="A1491">
        <v>63948013</v>
      </c>
      <c r="B1491" s="3" t="str">
        <f>HYPERLINK("https://github.com/claygod/PiHex", "https://github.com/claygod/PiHex")</f>
        <v>https://github.com/claygod/PiHex</v>
      </c>
      <c r="D1491">
        <v>8</v>
      </c>
      <c r="E1491" t="s">
        <v>4372</v>
      </c>
      <c r="F1491" t="s">
        <v>4373</v>
      </c>
      <c r="G1491">
        <v>1</v>
      </c>
      <c r="H1491" s="2">
        <v>42573.473344907397</v>
      </c>
      <c r="I1491" s="2">
        <v>43571.805590277778</v>
      </c>
      <c r="J1491" t="s">
        <v>4374</v>
      </c>
    </row>
    <row r="1492" spans="1:10" x14ac:dyDescent="0.15">
      <c r="A1492">
        <v>103075183</v>
      </c>
      <c r="B1492" s="3" t="str">
        <f>HYPERLINK("https://github.com/sergioaugrod/go-sptrans", "https://github.com/sergioaugrod/go-sptrans")</f>
        <v>https://github.com/sergioaugrod/go-sptrans</v>
      </c>
      <c r="D1492">
        <v>8</v>
      </c>
      <c r="E1492" t="s">
        <v>4375</v>
      </c>
      <c r="F1492" t="s">
        <v>4376</v>
      </c>
      <c r="G1492">
        <v>0</v>
      </c>
      <c r="H1492" s="2">
        <v>42989.056574074071</v>
      </c>
      <c r="I1492" s="2">
        <v>43475.407650462963</v>
      </c>
      <c r="J1492" t="s">
        <v>4377</v>
      </c>
    </row>
    <row r="1493" spans="1:10" x14ac:dyDescent="0.15">
      <c r="A1493">
        <v>90518012</v>
      </c>
      <c r="B1493" s="3" t="str">
        <f>HYPERLINK("https://github.com/subchen/go-log", "https://github.com/subchen/go-log")</f>
        <v>https://github.com/subchen/go-log</v>
      </c>
      <c r="D1493">
        <v>8</v>
      </c>
      <c r="E1493" t="s">
        <v>3582</v>
      </c>
      <c r="F1493" t="s">
        <v>4378</v>
      </c>
      <c r="G1493">
        <v>3</v>
      </c>
      <c r="H1493" s="2">
        <v>42862.339861111112</v>
      </c>
      <c r="I1493" s="2">
        <v>43452.383923611109</v>
      </c>
      <c r="J1493" t="s">
        <v>4379</v>
      </c>
    </row>
    <row r="1494" spans="1:10" x14ac:dyDescent="0.15">
      <c r="A1494">
        <v>115227858</v>
      </c>
      <c r="B1494" s="3" t="str">
        <f>HYPERLINK("https://github.com/corbym/gocrest", "https://github.com/corbym/gocrest")</f>
        <v>https://github.com/corbym/gocrest</v>
      </c>
      <c r="D1494">
        <v>8</v>
      </c>
      <c r="E1494" t="s">
        <v>4380</v>
      </c>
      <c r="F1494" t="s">
        <v>4381</v>
      </c>
      <c r="G1494">
        <v>0</v>
      </c>
      <c r="H1494" s="2">
        <v>43092.977083333331</v>
      </c>
      <c r="I1494" s="2">
        <v>43495.652581018519</v>
      </c>
      <c r="J1494" t="s">
        <v>4382</v>
      </c>
    </row>
    <row r="1495" spans="1:10" x14ac:dyDescent="0.15">
      <c r="A1495">
        <v>78861795</v>
      </c>
      <c r="B1495" s="3" t="str">
        <f>HYPERLINK("https://github.com/ewwwwwqm/logdump", "https://github.com/ewwwwwqm/logdump")</f>
        <v>https://github.com/ewwwwwqm/logdump</v>
      </c>
      <c r="D1495">
        <v>8</v>
      </c>
      <c r="E1495" t="s">
        <v>4383</v>
      </c>
      <c r="F1495" t="s">
        <v>4384</v>
      </c>
      <c r="G1495">
        <v>2</v>
      </c>
      <c r="H1495" s="2">
        <v>42748.648969907408</v>
      </c>
      <c r="I1495" s="2">
        <v>43556.524768518517</v>
      </c>
      <c r="J1495" t="s">
        <v>4385</v>
      </c>
    </row>
    <row r="1496" spans="1:10" x14ac:dyDescent="0.15">
      <c r="A1496">
        <v>141491194</v>
      </c>
      <c r="B1496" s="3" t="str">
        <f>HYPERLINK("https://github.com/tchayen/triangolatte", "https://github.com/tchayen/triangolatte")</f>
        <v>https://github.com/tchayen/triangolatte</v>
      </c>
      <c r="D1496">
        <v>8</v>
      </c>
      <c r="E1496" t="s">
        <v>4386</v>
      </c>
      <c r="F1496" t="s">
        <v>4387</v>
      </c>
      <c r="G1496">
        <v>1</v>
      </c>
      <c r="H1496" s="2">
        <v>43299.88690972222</v>
      </c>
      <c r="I1496" s="2">
        <v>43555.558819444443</v>
      </c>
      <c r="J1496" t="s">
        <v>4388</v>
      </c>
    </row>
    <row r="1497" spans="1:10" x14ac:dyDescent="0.15">
      <c r="A1497">
        <v>169774914</v>
      </c>
      <c r="B1497" s="3" t="str">
        <f>HYPERLINK("https://github.com/tylfin/dynatomic", "https://github.com/tylfin/dynatomic")</f>
        <v>https://github.com/tylfin/dynatomic</v>
      </c>
      <c r="D1497">
        <v>8</v>
      </c>
      <c r="E1497" t="s">
        <v>4389</v>
      </c>
      <c r="F1497" t="s">
        <v>4390</v>
      </c>
      <c r="G1497">
        <v>0</v>
      </c>
      <c r="H1497" s="2">
        <v>43504.739745370367</v>
      </c>
      <c r="I1497" s="2">
        <v>43560.059548611112</v>
      </c>
      <c r="J1497" t="s">
        <v>4391</v>
      </c>
    </row>
    <row r="1498" spans="1:10" x14ac:dyDescent="0.15">
      <c r="A1498">
        <v>49715565</v>
      </c>
      <c r="B1498" s="3" t="str">
        <f>HYPERLINK("https://github.com/RichardKnop/jsonhal", "https://github.com/RichardKnop/jsonhal")</f>
        <v>https://github.com/RichardKnop/jsonhal</v>
      </c>
      <c r="D1498">
        <v>8</v>
      </c>
      <c r="E1498" t="s">
        <v>4392</v>
      </c>
      <c r="F1498" t="s">
        <v>4393</v>
      </c>
      <c r="G1498">
        <v>4</v>
      </c>
      <c r="H1498" s="2">
        <v>42384.485185185193</v>
      </c>
      <c r="I1498" s="2">
        <v>43405.164652777778</v>
      </c>
      <c r="J1498" t="s">
        <v>4394</v>
      </c>
    </row>
    <row r="1499" spans="1:10" x14ac:dyDescent="0.15">
      <c r="A1499">
        <v>12893197</v>
      </c>
      <c r="B1499" s="3" t="str">
        <f>HYPERLINK("https://github.com/a2800276/porter", "https://github.com/a2800276/porter")</f>
        <v>https://github.com/a2800276/porter</v>
      </c>
      <c r="D1499">
        <v>8</v>
      </c>
      <c r="E1499" t="s">
        <v>4395</v>
      </c>
      <c r="F1499" t="s">
        <v>4396</v>
      </c>
      <c r="G1499">
        <v>0</v>
      </c>
      <c r="H1499" s="2">
        <v>41534.465462962973</v>
      </c>
      <c r="I1499" s="2">
        <v>43309.217106481483</v>
      </c>
      <c r="J1499" t="s">
        <v>4397</v>
      </c>
    </row>
    <row r="1500" spans="1:10" x14ac:dyDescent="0.15">
      <c r="A1500">
        <v>52194067</v>
      </c>
      <c r="B1500" s="3" t="str">
        <f>HYPERLINK("https://github.com/kirillDanshin/llb", "https://github.com/kirillDanshin/llb")</f>
        <v>https://github.com/kirillDanshin/llb</v>
      </c>
      <c r="D1500">
        <v>8</v>
      </c>
      <c r="E1500" t="s">
        <v>4398</v>
      </c>
      <c r="G1500">
        <v>0</v>
      </c>
      <c r="H1500" s="2">
        <v>42421.27103009259</v>
      </c>
      <c r="I1500" s="2">
        <v>43551.459641203714</v>
      </c>
      <c r="J1500" t="s">
        <v>4399</v>
      </c>
    </row>
    <row r="1501" spans="1:10" x14ac:dyDescent="0.15">
      <c r="A1501">
        <v>51507764</v>
      </c>
      <c r="B1501" s="3" t="str">
        <f>HYPERLINK("https://github.com/cavaliercoder/badio", "https://github.com/cavaliercoder/badio")</f>
        <v>https://github.com/cavaliercoder/badio</v>
      </c>
      <c r="D1501">
        <v>7</v>
      </c>
      <c r="E1501" t="s">
        <v>4400</v>
      </c>
      <c r="F1501" t="s">
        <v>4401</v>
      </c>
      <c r="G1501">
        <v>1</v>
      </c>
      <c r="H1501" s="2">
        <v>42411.437094907407</v>
      </c>
      <c r="I1501" s="2">
        <v>43515.280532407407</v>
      </c>
      <c r="J1501" t="s">
        <v>4402</v>
      </c>
    </row>
    <row r="1502" spans="1:10" x14ac:dyDescent="0.15">
      <c r="A1502">
        <v>904551</v>
      </c>
      <c r="B1502" s="3" t="str">
        <f>HYPERLINK("https://github.com/anschelsc/gofrac", "https://github.com/anschelsc/gofrac")</f>
        <v>https://github.com/anschelsc/gofrac</v>
      </c>
      <c r="D1502">
        <v>7</v>
      </c>
      <c r="E1502" t="s">
        <v>4403</v>
      </c>
      <c r="F1502" t="s">
        <v>4404</v>
      </c>
      <c r="G1502">
        <v>3</v>
      </c>
      <c r="H1502" s="2">
        <v>40433.155763888892</v>
      </c>
      <c r="I1502" s="2">
        <v>43335.734953703701</v>
      </c>
      <c r="J1502" t="s">
        <v>4405</v>
      </c>
    </row>
    <row r="1503" spans="1:10" x14ac:dyDescent="0.15">
      <c r="A1503">
        <v>95732167</v>
      </c>
      <c r="B1503" s="3" t="str">
        <f>HYPERLINK("https://github.com/osamingo/gaurun-client", "https://github.com/osamingo/gaurun-client")</f>
        <v>https://github.com/osamingo/gaurun-client</v>
      </c>
      <c r="D1503">
        <v>7</v>
      </c>
      <c r="E1503" t="s">
        <v>4406</v>
      </c>
      <c r="F1503" t="s">
        <v>4407</v>
      </c>
      <c r="G1503">
        <v>1</v>
      </c>
      <c r="H1503" s="2">
        <v>42915.118645833332</v>
      </c>
      <c r="I1503" s="2">
        <v>43310.802303240736</v>
      </c>
      <c r="J1503" t="s">
        <v>4408</v>
      </c>
    </row>
    <row r="1504" spans="1:10" x14ac:dyDescent="0.15">
      <c r="A1504">
        <v>147057558</v>
      </c>
      <c r="B1504" s="3" t="str">
        <f>HYPERLINK("https://github.com/thedevsir/gosuccinctly", "https://github.com/thedevsir/gosuccinctly")</f>
        <v>https://github.com/thedevsir/gosuccinctly</v>
      </c>
      <c r="D1504">
        <v>7</v>
      </c>
      <c r="E1504" t="s">
        <v>4409</v>
      </c>
      <c r="F1504" t="s">
        <v>4410</v>
      </c>
      <c r="G1504">
        <v>0</v>
      </c>
      <c r="H1504" s="2">
        <v>43345.233449074083</v>
      </c>
      <c r="I1504" s="2">
        <v>43577.209432870368</v>
      </c>
      <c r="J1504" t="s">
        <v>4411</v>
      </c>
    </row>
    <row r="1505" spans="1:10" x14ac:dyDescent="0.15">
      <c r="A1505">
        <v>39967690</v>
      </c>
      <c r="B1505" s="3" t="str">
        <f>HYPERLINK("https://github.com/codemodus/catena", "https://github.com/codemodus/catena")</f>
        <v>https://github.com/codemodus/catena</v>
      </c>
      <c r="D1505">
        <v>7</v>
      </c>
      <c r="E1505" t="s">
        <v>4412</v>
      </c>
      <c r="F1505" t="s">
        <v>4413</v>
      </c>
      <c r="G1505">
        <v>0</v>
      </c>
      <c r="H1505" s="2">
        <v>42215.796539351853</v>
      </c>
      <c r="I1505" s="2">
        <v>43337.920914351853</v>
      </c>
      <c r="J1505" t="s">
        <v>4414</v>
      </c>
    </row>
    <row r="1506" spans="1:10" x14ac:dyDescent="0.15">
      <c r="A1506">
        <v>107376688</v>
      </c>
      <c r="B1506" s="3" t="str">
        <f>HYPERLINK("https://github.com/icza/backscanner", "https://github.com/icza/backscanner")</f>
        <v>https://github.com/icza/backscanner</v>
      </c>
      <c r="D1506">
        <v>7</v>
      </c>
      <c r="E1506" t="s">
        <v>4415</v>
      </c>
      <c r="F1506" t="s">
        <v>4416</v>
      </c>
      <c r="G1506">
        <v>2</v>
      </c>
      <c r="H1506" s="2">
        <v>43026.332719907397</v>
      </c>
      <c r="I1506" s="2">
        <v>43518.303842592592</v>
      </c>
      <c r="J1506" t="s">
        <v>4417</v>
      </c>
    </row>
    <row r="1507" spans="1:10" x14ac:dyDescent="0.15">
      <c r="A1507">
        <v>115888361</v>
      </c>
      <c r="B1507" s="3" t="str">
        <f>HYPERLINK("https://github.com/corbym/gogiven", "https://github.com/corbym/gogiven")</f>
        <v>https://github.com/corbym/gogiven</v>
      </c>
      <c r="D1507">
        <v>7</v>
      </c>
      <c r="E1507" t="s">
        <v>4418</v>
      </c>
      <c r="F1507" t="s">
        <v>4419</v>
      </c>
      <c r="G1507">
        <v>2</v>
      </c>
      <c r="H1507" s="2">
        <v>43100.940011574072</v>
      </c>
      <c r="I1507" s="2">
        <v>43309.526377314818</v>
      </c>
      <c r="J1507" t="s">
        <v>4420</v>
      </c>
    </row>
    <row r="1508" spans="1:10" x14ac:dyDescent="0.15">
      <c r="A1508">
        <v>104833107</v>
      </c>
      <c r="B1508" s="3" t="str">
        <f>HYPERLINK("https://github.com/Wing924/hostutils", "https://github.com/Wing924/hostutils")</f>
        <v>https://github.com/Wing924/hostutils</v>
      </c>
      <c r="D1508">
        <v>7</v>
      </c>
      <c r="E1508" t="s">
        <v>4421</v>
      </c>
      <c r="F1508" t="s">
        <v>4422</v>
      </c>
      <c r="G1508">
        <v>2</v>
      </c>
      <c r="H1508" s="2">
        <v>43004.158009259263</v>
      </c>
      <c r="I1508" s="2">
        <v>43530.740925925929</v>
      </c>
      <c r="J1508" t="s">
        <v>4423</v>
      </c>
    </row>
    <row r="1509" spans="1:10" x14ac:dyDescent="0.15">
      <c r="A1509">
        <v>137878564</v>
      </c>
      <c r="B1509" s="3" t="str">
        <f>HYPERLINK("https://github.com/ssgreg/stl", "https://github.com/ssgreg/stl")</f>
        <v>https://github.com/ssgreg/stl</v>
      </c>
      <c r="D1509">
        <v>7</v>
      </c>
      <c r="E1509" t="s">
        <v>4424</v>
      </c>
      <c r="F1509" t="s">
        <v>4425</v>
      </c>
      <c r="G1509">
        <v>1</v>
      </c>
      <c r="H1509" s="2">
        <v>43270.451516203713</v>
      </c>
      <c r="I1509" s="2">
        <v>43567.285173611112</v>
      </c>
      <c r="J1509" t="s">
        <v>4426</v>
      </c>
    </row>
    <row r="1510" spans="1:10" x14ac:dyDescent="0.15">
      <c r="A1510">
        <v>99963422</v>
      </c>
      <c r="B1510" s="3" t="str">
        <f>HYPERLINK("https://github.com/osteele/tuesday", "https://github.com/osteele/tuesday")</f>
        <v>https://github.com/osteele/tuesday</v>
      </c>
      <c r="D1510">
        <v>7</v>
      </c>
      <c r="E1510" t="s">
        <v>4427</v>
      </c>
      <c r="F1510" t="s">
        <v>4428</v>
      </c>
      <c r="G1510">
        <v>1</v>
      </c>
      <c r="H1510" s="2">
        <v>42957.865578703713</v>
      </c>
      <c r="I1510" s="2">
        <v>43486.601793981477</v>
      </c>
      <c r="J1510" t="s">
        <v>4429</v>
      </c>
    </row>
    <row r="1511" spans="1:10" x14ac:dyDescent="0.15">
      <c r="A1511">
        <v>25770528</v>
      </c>
      <c r="B1511" s="3" t="str">
        <f>HYPERLINK("https://github.com/ian-kent/envconf", "https://github.com/ian-kent/envconf")</f>
        <v>https://github.com/ian-kent/envconf</v>
      </c>
      <c r="D1511">
        <v>7</v>
      </c>
      <c r="E1511" t="s">
        <v>4430</v>
      </c>
      <c r="F1511" t="s">
        <v>4431</v>
      </c>
      <c r="G1511">
        <v>2</v>
      </c>
      <c r="H1511" s="2">
        <v>41938.508634259262</v>
      </c>
      <c r="I1511" s="2">
        <v>43310.400277777779</v>
      </c>
      <c r="J1511" t="s">
        <v>4432</v>
      </c>
    </row>
    <row r="1512" spans="1:10" x14ac:dyDescent="0.15">
      <c r="A1512">
        <v>131329799</v>
      </c>
      <c r="B1512" s="3" t="str">
        <f>HYPERLINK("https://github.com/wzshiming/ctc", "https://github.com/wzshiming/ctc")</f>
        <v>https://github.com/wzshiming/ctc</v>
      </c>
      <c r="D1512">
        <v>7</v>
      </c>
      <c r="E1512" t="s">
        <v>4433</v>
      </c>
      <c r="F1512" t="s">
        <v>4434</v>
      </c>
      <c r="G1512">
        <v>0</v>
      </c>
      <c r="H1512" s="2">
        <v>43217.755347222221</v>
      </c>
      <c r="I1512" s="2">
        <v>43578.58666666667</v>
      </c>
      <c r="J1512" t="s">
        <v>4435</v>
      </c>
    </row>
    <row r="1513" spans="1:10" x14ac:dyDescent="0.15">
      <c r="A1513">
        <v>116457867</v>
      </c>
      <c r="B1513" s="3" t="str">
        <f>HYPERLINK("https://github.com/sashka/signedvalue", "https://github.com/sashka/signedvalue")</f>
        <v>https://github.com/sashka/signedvalue</v>
      </c>
      <c r="D1513">
        <v>7</v>
      </c>
      <c r="E1513" t="s">
        <v>4436</v>
      </c>
      <c r="F1513" t="s">
        <v>4437</v>
      </c>
      <c r="G1513">
        <v>1</v>
      </c>
      <c r="H1513" s="2">
        <v>43106.248020833344</v>
      </c>
      <c r="I1513" s="2">
        <v>43557.219953703701</v>
      </c>
      <c r="J1513" t="s">
        <v>4438</v>
      </c>
    </row>
    <row r="1514" spans="1:10" x14ac:dyDescent="0.15">
      <c r="A1514">
        <v>107628787</v>
      </c>
      <c r="B1514" s="3" t="str">
        <f>HYPERLINK("https://github.com/f0rmiga/sessiongate-go", "https://github.com/f0rmiga/sessiongate-go")</f>
        <v>https://github.com/f0rmiga/sessiongate-go</v>
      </c>
      <c r="D1514">
        <v>7</v>
      </c>
      <c r="E1514" t="s">
        <v>4439</v>
      </c>
      <c r="F1514" t="s">
        <v>4440</v>
      </c>
      <c r="G1514">
        <v>0</v>
      </c>
      <c r="H1514" s="2">
        <v>43028.15221064815</v>
      </c>
      <c r="I1514" s="2">
        <v>43533.263449074067</v>
      </c>
      <c r="J1514" t="s">
        <v>4441</v>
      </c>
    </row>
    <row r="1515" spans="1:10" x14ac:dyDescent="0.15">
      <c r="A1515">
        <v>152524966</v>
      </c>
      <c r="B1515" s="3" t="str">
        <f>HYPERLINK("https://github.com/xujiajun/gotokenizer", "https://github.com/xujiajun/gotokenizer")</f>
        <v>https://github.com/xujiajun/gotokenizer</v>
      </c>
      <c r="D1515">
        <v>6</v>
      </c>
      <c r="E1515" t="s">
        <v>4442</v>
      </c>
      <c r="F1515" t="s">
        <v>4443</v>
      </c>
      <c r="G1515">
        <v>1</v>
      </c>
      <c r="H1515" s="2">
        <v>43384.140694444453</v>
      </c>
      <c r="I1515" s="2">
        <v>43565.402199074073</v>
      </c>
      <c r="J1515" t="s">
        <v>4444</v>
      </c>
    </row>
    <row r="1516" spans="1:10" x14ac:dyDescent="0.15">
      <c r="A1516">
        <v>71745058</v>
      </c>
      <c r="B1516" s="3" t="str">
        <f>HYPERLINK("https://github.com/ngs/go-google-email-audit-api", "https://github.com/ngs/go-google-email-audit-api")</f>
        <v>https://github.com/ngs/go-google-email-audit-api</v>
      </c>
      <c r="D1516">
        <v>6</v>
      </c>
      <c r="E1516" t="s">
        <v>4445</v>
      </c>
      <c r="F1516" t="s">
        <v>4446</v>
      </c>
      <c r="G1516">
        <v>4</v>
      </c>
      <c r="H1516" s="2">
        <v>42667.10728009259</v>
      </c>
      <c r="I1516" s="2">
        <v>43465.324490740742</v>
      </c>
      <c r="J1516" t="s">
        <v>4447</v>
      </c>
    </row>
    <row r="1517" spans="1:10" x14ac:dyDescent="0.15">
      <c r="A1517">
        <v>115337993</v>
      </c>
      <c r="B1517" s="3" t="str">
        <f>HYPERLINK("https://github.com/o1egl/fwencoder", "https://github.com/o1egl/fwencoder")</f>
        <v>https://github.com/o1egl/fwencoder</v>
      </c>
      <c r="D1517">
        <v>6</v>
      </c>
      <c r="E1517" t="s">
        <v>4448</v>
      </c>
      <c r="F1517" t="s">
        <v>4449</v>
      </c>
      <c r="G1517">
        <v>1</v>
      </c>
      <c r="H1517" s="2">
        <v>43094.538530092592</v>
      </c>
      <c r="I1517" s="2">
        <v>43324.064386574071</v>
      </c>
      <c r="J1517" t="s">
        <v>4450</v>
      </c>
    </row>
    <row r="1518" spans="1:10" x14ac:dyDescent="0.15">
      <c r="A1518">
        <v>149873128</v>
      </c>
      <c r="B1518" s="3" t="str">
        <f>HYPERLINK("https://github.com/zhulongcheng/testsql", "https://github.com/zhulongcheng/testsql")</f>
        <v>https://github.com/zhulongcheng/testsql</v>
      </c>
      <c r="D1518">
        <v>6</v>
      </c>
      <c r="E1518" t="s">
        <v>4451</v>
      </c>
      <c r="F1518" t="s">
        <v>4452</v>
      </c>
      <c r="G1518">
        <v>0</v>
      </c>
      <c r="H1518" s="2">
        <v>43365.502662037034</v>
      </c>
      <c r="I1518" s="2">
        <v>43529.28087962963</v>
      </c>
      <c r="J1518" t="s">
        <v>4453</v>
      </c>
    </row>
    <row r="1519" spans="1:10" x14ac:dyDescent="0.15">
      <c r="A1519">
        <v>28121701</v>
      </c>
      <c r="B1519" s="3" t="str">
        <f>HYPERLINK("https://github.com/endeveit/enca", "https://github.com/endeveit/enca")</f>
        <v>https://github.com/endeveit/enca</v>
      </c>
      <c r="D1519">
        <v>6</v>
      </c>
      <c r="E1519" t="s">
        <v>4454</v>
      </c>
      <c r="F1519" t="s">
        <v>4455</v>
      </c>
      <c r="G1519">
        <v>2</v>
      </c>
      <c r="H1519" s="2">
        <v>41990.205046296287</v>
      </c>
      <c r="I1519" s="2">
        <v>43553.003182870372</v>
      </c>
      <c r="J1519" t="s">
        <v>4456</v>
      </c>
    </row>
    <row r="1520" spans="1:10" x14ac:dyDescent="0.15">
      <c r="A1520">
        <v>38849920</v>
      </c>
      <c r="B1520" s="3" t="str">
        <f>HYPERLINK("https://github.com/mattcunningham/gumblr", "https://github.com/mattcunningham/gumblr")</f>
        <v>https://github.com/mattcunningham/gumblr</v>
      </c>
      <c r="D1520">
        <v>6</v>
      </c>
      <c r="E1520" t="s">
        <v>4457</v>
      </c>
      <c r="F1520" t="s">
        <v>4458</v>
      </c>
      <c r="G1520">
        <v>5</v>
      </c>
      <c r="H1520" s="2">
        <v>42194.967951388891</v>
      </c>
      <c r="I1520" s="2">
        <v>43310.619166666656</v>
      </c>
      <c r="J1520" t="s">
        <v>4459</v>
      </c>
    </row>
    <row r="1521" spans="1:10" x14ac:dyDescent="0.15">
      <c r="A1521">
        <v>112260492</v>
      </c>
      <c r="B1521" s="3" t="str">
        <f>HYPERLINK("https://github.com/blockloop/scan", "https://github.com/blockloop/scan")</f>
        <v>https://github.com/blockloop/scan</v>
      </c>
      <c r="D1521">
        <v>6</v>
      </c>
      <c r="E1521" t="s">
        <v>4460</v>
      </c>
      <c r="F1521" t="s">
        <v>4461</v>
      </c>
      <c r="G1521">
        <v>2</v>
      </c>
      <c r="H1521" s="2">
        <v>43066.973819444444</v>
      </c>
      <c r="I1521" s="2">
        <v>43574.077847222223</v>
      </c>
      <c r="J1521" t="s">
        <v>4462</v>
      </c>
    </row>
    <row r="1522" spans="1:10" x14ac:dyDescent="0.15">
      <c r="A1522">
        <v>87889223</v>
      </c>
      <c r="B1522" s="3" t="str">
        <f>HYPERLINK("https://github.com/shabbyrobe/xmlwriter", "https://github.com/shabbyrobe/xmlwriter")</f>
        <v>https://github.com/shabbyrobe/xmlwriter</v>
      </c>
      <c r="D1522">
        <v>6</v>
      </c>
      <c r="E1522" t="s">
        <v>4463</v>
      </c>
      <c r="F1522" t="s">
        <v>4464</v>
      </c>
      <c r="G1522">
        <v>1</v>
      </c>
      <c r="H1522" s="2">
        <v>42836.196828703702</v>
      </c>
      <c r="I1522" s="2">
        <v>43474.432592592602</v>
      </c>
      <c r="J1522" t="s">
        <v>4465</v>
      </c>
    </row>
    <row r="1523" spans="1:10" x14ac:dyDescent="0.15">
      <c r="A1523">
        <v>179127712</v>
      </c>
      <c r="B1523" s="3" t="str">
        <f>HYPERLINK("https://github.com/adrianosela/sslmgr", "https://github.com/adrianosela/sslmgr")</f>
        <v>https://github.com/adrianosela/sslmgr</v>
      </c>
      <c r="D1523">
        <v>6</v>
      </c>
      <c r="E1523" t="s">
        <v>4466</v>
      </c>
      <c r="F1523" t="s">
        <v>4467</v>
      </c>
      <c r="G1523">
        <v>0</v>
      </c>
      <c r="H1523" s="2">
        <v>43557.733078703714</v>
      </c>
      <c r="I1523" s="2">
        <v>43572.219548611109</v>
      </c>
      <c r="J1523" t="s">
        <v>4468</v>
      </c>
    </row>
    <row r="1524" spans="1:10" x14ac:dyDescent="0.15">
      <c r="A1524">
        <v>115612500</v>
      </c>
      <c r="B1524" s="3" t="str">
        <f>HYPERLINK("https://github.com/kapitan-k/gorocksdb", "https://github.com/kapitan-k/gorocksdb")</f>
        <v>https://github.com/kapitan-k/gorocksdb</v>
      </c>
      <c r="D1524">
        <v>6</v>
      </c>
      <c r="E1524" t="s">
        <v>4469</v>
      </c>
      <c r="F1524" t="s">
        <v>4470</v>
      </c>
      <c r="G1524">
        <v>1</v>
      </c>
      <c r="H1524" s="2">
        <v>43097.436666666668</v>
      </c>
      <c r="I1524" s="2">
        <v>43393.291932870372</v>
      </c>
      <c r="J1524" t="s">
        <v>4471</v>
      </c>
    </row>
    <row r="1525" spans="1:10" x14ac:dyDescent="0.15">
      <c r="A1525">
        <v>105127044</v>
      </c>
      <c r="B1525" s="3" t="str">
        <f>HYPERLINK("https://github.com/Wing924/shellwords", "https://github.com/Wing924/shellwords")</f>
        <v>https://github.com/Wing924/shellwords</v>
      </c>
      <c r="D1525">
        <v>6</v>
      </c>
      <c r="E1525" t="s">
        <v>4472</v>
      </c>
      <c r="F1525" t="s">
        <v>4473</v>
      </c>
      <c r="G1525">
        <v>1</v>
      </c>
      <c r="H1525" s="2">
        <v>43006.380879629629</v>
      </c>
      <c r="I1525" s="2">
        <v>43570.568206018521</v>
      </c>
      <c r="J1525" t="s">
        <v>4474</v>
      </c>
    </row>
    <row r="1526" spans="1:10" x14ac:dyDescent="0.15">
      <c r="A1526">
        <v>37307096</v>
      </c>
      <c r="B1526" s="3" t="str">
        <f>HYPERLINK("https://github.com/khezen/evoli", "https://github.com/khezen/evoli")</f>
        <v>https://github.com/khezen/evoli</v>
      </c>
      <c r="D1526">
        <v>6</v>
      </c>
      <c r="E1526" t="s">
        <v>4475</v>
      </c>
      <c r="F1526" t="s">
        <v>4476</v>
      </c>
      <c r="G1526">
        <v>2</v>
      </c>
      <c r="H1526" s="2">
        <v>42167.290625000001</v>
      </c>
      <c r="I1526" s="2">
        <v>43559.313113425917</v>
      </c>
      <c r="J1526" t="s">
        <v>4477</v>
      </c>
    </row>
    <row r="1527" spans="1:10" x14ac:dyDescent="0.15">
      <c r="A1527">
        <v>58146351</v>
      </c>
      <c r="B1527" s="3" t="str">
        <f>HYPERLINK("https://github.com/xfxdev/xlog", "https://github.com/xfxdev/xlog")</f>
        <v>https://github.com/xfxdev/xlog</v>
      </c>
      <c r="D1527">
        <v>6</v>
      </c>
      <c r="E1527" t="s">
        <v>2591</v>
      </c>
      <c r="F1527" t="s">
        <v>4478</v>
      </c>
      <c r="G1527">
        <v>1</v>
      </c>
      <c r="H1527" s="2">
        <v>42495.699826388889</v>
      </c>
      <c r="I1527" s="2">
        <v>43542.679664351846</v>
      </c>
      <c r="J1527" t="s">
        <v>4479</v>
      </c>
    </row>
    <row r="1528" spans="1:10" x14ac:dyDescent="0.15">
      <c r="A1528">
        <v>156475181</v>
      </c>
      <c r="B1528" s="3" t="str">
        <f>HYPERLINK("https://github.com/borderstech/logmatic", "https://github.com/borderstech/logmatic")</f>
        <v>https://github.com/borderstech/logmatic</v>
      </c>
      <c r="D1528">
        <v>6</v>
      </c>
      <c r="E1528" t="s">
        <v>4480</v>
      </c>
      <c r="F1528" t="s">
        <v>4481</v>
      </c>
      <c r="G1528">
        <v>0</v>
      </c>
      <c r="H1528" s="2">
        <v>43411.078298611108</v>
      </c>
      <c r="I1528" s="2">
        <v>43572.809027777781</v>
      </c>
      <c r="J1528" t="s">
        <v>4482</v>
      </c>
    </row>
    <row r="1529" spans="1:10" x14ac:dyDescent="0.15">
      <c r="A1529">
        <v>166598763</v>
      </c>
      <c r="B1529" s="3" t="str">
        <f>HYPERLINK("https://github.com/lajosbencz/glo", "https://github.com/lajosbencz/glo")</f>
        <v>https://github.com/lajosbencz/glo</v>
      </c>
      <c r="D1529">
        <v>6</v>
      </c>
      <c r="E1529" t="s">
        <v>4483</v>
      </c>
      <c r="F1529" t="s">
        <v>4484</v>
      </c>
      <c r="G1529">
        <v>0</v>
      </c>
      <c r="H1529" s="2">
        <v>43484.924097222232</v>
      </c>
      <c r="I1529" s="2">
        <v>43558.678263888891</v>
      </c>
      <c r="J1529" t="s">
        <v>4485</v>
      </c>
    </row>
    <row r="1530" spans="1:10" x14ac:dyDescent="0.15">
      <c r="A1530">
        <v>33960659</v>
      </c>
      <c r="B1530" s="3" t="str">
        <f>HYPERLINK("https://github.com/donatj/mpo", "https://github.com/donatj/mpo")</f>
        <v>https://github.com/donatj/mpo</v>
      </c>
      <c r="D1530">
        <v>6</v>
      </c>
      <c r="E1530" t="s">
        <v>4486</v>
      </c>
      <c r="F1530" t="s">
        <v>4487</v>
      </c>
      <c r="G1530">
        <v>1</v>
      </c>
      <c r="H1530" s="2">
        <v>42108.943043981482</v>
      </c>
      <c r="I1530" s="2">
        <v>43531.509131944447</v>
      </c>
      <c r="J1530" t="s">
        <v>4488</v>
      </c>
    </row>
    <row r="1531" spans="1:10" x14ac:dyDescent="0.15">
      <c r="A1531">
        <v>165132834</v>
      </c>
      <c r="B1531" s="3" t="str">
        <f>HYPERLINK("https://github.com/enriquebris/goconcurrentqueue", "https://github.com/enriquebris/goconcurrentqueue")</f>
        <v>https://github.com/enriquebris/goconcurrentqueue</v>
      </c>
      <c r="D1531">
        <v>6</v>
      </c>
      <c r="E1531" t="s">
        <v>4489</v>
      </c>
      <c r="F1531" t="s">
        <v>4490</v>
      </c>
      <c r="G1531">
        <v>1</v>
      </c>
      <c r="H1531" s="2">
        <v>43475.889849537038</v>
      </c>
      <c r="I1531" s="2">
        <v>43561.658090277779</v>
      </c>
      <c r="J1531" t="s">
        <v>4491</v>
      </c>
    </row>
    <row r="1532" spans="1:10" x14ac:dyDescent="0.15">
      <c r="A1532">
        <v>166048649</v>
      </c>
      <c r="B1532" s="3" t="str">
        <f>HYPERLINK("https://github.com/emvi/hide", "https://github.com/emvi/hide")</f>
        <v>https://github.com/emvi/hide</v>
      </c>
      <c r="D1532">
        <v>6</v>
      </c>
      <c r="E1532" t="s">
        <v>4492</v>
      </c>
      <c r="F1532" t="s">
        <v>4493</v>
      </c>
      <c r="G1532">
        <v>1</v>
      </c>
      <c r="H1532" s="2">
        <v>43481.579363425917</v>
      </c>
      <c r="I1532" s="2">
        <v>43551.368680555563</v>
      </c>
      <c r="J1532" t="s">
        <v>4494</v>
      </c>
    </row>
    <row r="1533" spans="1:10" x14ac:dyDescent="0.15">
      <c r="A1533">
        <v>154139907</v>
      </c>
      <c r="B1533" s="3" t="str">
        <f>HYPERLINK("https://github.com/socifi/jazz", "https://github.com/socifi/jazz")</f>
        <v>https://github.com/socifi/jazz</v>
      </c>
      <c r="D1533">
        <v>6</v>
      </c>
      <c r="E1533" t="s">
        <v>4495</v>
      </c>
      <c r="F1533" t="s">
        <v>4496</v>
      </c>
      <c r="G1533">
        <v>0</v>
      </c>
      <c r="H1533" s="2">
        <v>43395.519618055558</v>
      </c>
      <c r="I1533" s="2">
        <v>43545.468275462961</v>
      </c>
      <c r="J1533" t="s">
        <v>4497</v>
      </c>
    </row>
    <row r="1534" spans="1:10" x14ac:dyDescent="0.15">
      <c r="A1534">
        <v>113671825</v>
      </c>
      <c r="B1534" s="3" t="str">
        <f>HYPERLINK("https://github.com/nsheremet/banjo", "https://github.com/nsheremet/banjo")</f>
        <v>https://github.com/nsheremet/banjo</v>
      </c>
      <c r="D1534">
        <v>5</v>
      </c>
      <c r="E1534" t="s">
        <v>4498</v>
      </c>
      <c r="F1534" t="s">
        <v>4499</v>
      </c>
      <c r="G1534">
        <v>3</v>
      </c>
      <c r="H1534" s="2">
        <v>43078.566331018519</v>
      </c>
      <c r="I1534" s="2">
        <v>43547.602673611109</v>
      </c>
      <c r="J1534" t="s">
        <v>4500</v>
      </c>
    </row>
    <row r="1535" spans="1:10" x14ac:dyDescent="0.15">
      <c r="A1535">
        <v>56326782</v>
      </c>
      <c r="B1535" s="3" t="str">
        <f>HYPERLINK("https://github.com/CalebQ42/bbConvert", "https://github.com/CalebQ42/bbConvert")</f>
        <v>https://github.com/CalebQ42/bbConvert</v>
      </c>
      <c r="D1535">
        <v>5</v>
      </c>
      <c r="E1535" t="s">
        <v>4501</v>
      </c>
      <c r="F1535" t="s">
        <v>4502</v>
      </c>
      <c r="G1535">
        <v>1</v>
      </c>
      <c r="H1535" s="2">
        <v>42475.608078703714</v>
      </c>
      <c r="I1535" s="2">
        <v>43353.524189814823</v>
      </c>
      <c r="J1535" t="s">
        <v>4503</v>
      </c>
    </row>
    <row r="1536" spans="1:10" x14ac:dyDescent="0.15">
      <c r="A1536">
        <v>96200684</v>
      </c>
      <c r="B1536" s="3" t="str">
        <f>HYPERLINK("https://github.com/gojuno/go-zooz", "https://github.com/gojuno/go-zooz")</f>
        <v>https://github.com/gojuno/go-zooz</v>
      </c>
      <c r="D1536">
        <v>5</v>
      </c>
      <c r="E1536" t="s">
        <v>4504</v>
      </c>
      <c r="F1536" t="s">
        <v>4505</v>
      </c>
      <c r="G1536">
        <v>4</v>
      </c>
      <c r="H1536" s="2">
        <v>42920.39471064815</v>
      </c>
      <c r="I1536" s="2">
        <v>43507.608263888891</v>
      </c>
      <c r="J1536" t="s">
        <v>4506</v>
      </c>
    </row>
    <row r="1537" spans="1:10" x14ac:dyDescent="0.15">
      <c r="A1537">
        <v>162522864</v>
      </c>
      <c r="B1537" s="3" t="str">
        <f>HYPERLINK("https://github.com/aofei/mimesniffer", "https://github.com/aofei/mimesniffer")</f>
        <v>https://github.com/aofei/mimesniffer</v>
      </c>
      <c r="D1537">
        <v>5</v>
      </c>
      <c r="E1537" t="s">
        <v>4507</v>
      </c>
      <c r="F1537" t="s">
        <v>4508</v>
      </c>
      <c r="G1537">
        <v>2</v>
      </c>
      <c r="H1537" s="2">
        <v>43454.153009259258</v>
      </c>
      <c r="I1537" s="2">
        <v>43562.073263888888</v>
      </c>
      <c r="J1537" t="s">
        <v>4509</v>
      </c>
    </row>
    <row r="1538" spans="1:10" x14ac:dyDescent="0.15">
      <c r="A1538">
        <v>41041481</v>
      </c>
      <c r="B1538" s="3" t="str">
        <f>HYPERLINK("https://github.com/ChristopherRabotin/sg", "https://github.com/ChristopherRabotin/sg")</f>
        <v>https://github.com/ChristopherRabotin/sg</v>
      </c>
      <c r="D1538">
        <v>5</v>
      </c>
      <c r="E1538" t="s">
        <v>4510</v>
      </c>
      <c r="F1538" t="s">
        <v>4511</v>
      </c>
      <c r="G1538">
        <v>0</v>
      </c>
      <c r="H1538" s="2">
        <v>42235.629537037043</v>
      </c>
      <c r="I1538" s="2">
        <v>43500.228831018518</v>
      </c>
      <c r="J1538" t="s">
        <v>4512</v>
      </c>
    </row>
    <row r="1539" spans="1:10" x14ac:dyDescent="0.15">
      <c r="A1539">
        <v>42446193</v>
      </c>
      <c r="B1539" s="3" t="str">
        <f>HYPERLINK("https://github.com/ThePaw/go-gt", "https://github.com/ThePaw/go-gt")</f>
        <v>https://github.com/ThePaw/go-gt</v>
      </c>
      <c r="D1539">
        <v>5</v>
      </c>
      <c r="E1539" t="s">
        <v>4513</v>
      </c>
      <c r="F1539" t="s">
        <v>4514</v>
      </c>
      <c r="G1539">
        <v>0</v>
      </c>
      <c r="H1539" s="2">
        <v>42261.503900462973</v>
      </c>
      <c r="I1539" s="2">
        <v>43487.791365740741</v>
      </c>
      <c r="J1539" t="s">
        <v>4515</v>
      </c>
    </row>
    <row r="1540" spans="1:10" x14ac:dyDescent="0.15">
      <c r="A1540">
        <v>38058017</v>
      </c>
      <c r="B1540" s="3" t="str">
        <f>HYPERLINK("https://github.com/varver/gocomplex", "https://github.com/varver/gocomplex")</f>
        <v>https://github.com/varver/gocomplex</v>
      </c>
      <c r="D1540">
        <v>5</v>
      </c>
      <c r="E1540" t="s">
        <v>4516</v>
      </c>
      <c r="F1540" t="s">
        <v>4517</v>
      </c>
      <c r="G1540">
        <v>1</v>
      </c>
      <c r="H1540" s="2">
        <v>42180.649375000001</v>
      </c>
      <c r="I1540" s="2">
        <v>43487.791388888887</v>
      </c>
      <c r="J1540" t="s">
        <v>4518</v>
      </c>
    </row>
    <row r="1541" spans="1:10" x14ac:dyDescent="0.15">
      <c r="A1541">
        <v>21070919</v>
      </c>
      <c r="B1541" s="3" t="str">
        <f>HYPERLINK("https://github.com/hgfischer/go-type-assertion-benchmark", "https://github.com/hgfischer/go-type-assertion-benchmark")</f>
        <v>https://github.com/hgfischer/go-type-assertion-benchmark</v>
      </c>
      <c r="D1541">
        <v>5</v>
      </c>
      <c r="E1541" t="s">
        <v>4519</v>
      </c>
      <c r="F1541" t="s">
        <v>4520</v>
      </c>
      <c r="G1541">
        <v>1</v>
      </c>
      <c r="H1541" s="2">
        <v>41811.619328703702</v>
      </c>
      <c r="I1541" s="2">
        <v>43268.638773148137</v>
      </c>
      <c r="J1541" t="s">
        <v>4521</v>
      </c>
    </row>
    <row r="1542" spans="1:10" x14ac:dyDescent="0.15">
      <c r="A1542">
        <v>154354680</v>
      </c>
      <c r="B1542" s="3" t="str">
        <f>HYPERLINK("https://github.com/ghostiam/binstruct", "https://github.com/ghostiam/binstruct")</f>
        <v>https://github.com/ghostiam/binstruct</v>
      </c>
      <c r="D1542">
        <v>5</v>
      </c>
      <c r="E1542" t="s">
        <v>4522</v>
      </c>
      <c r="F1542" t="s">
        <v>4523</v>
      </c>
      <c r="G1542">
        <v>1</v>
      </c>
      <c r="H1542" s="2">
        <v>43396.654421296298</v>
      </c>
      <c r="I1542" s="2">
        <v>43574.112581018519</v>
      </c>
      <c r="J1542" t="s">
        <v>4524</v>
      </c>
    </row>
    <row r="1543" spans="1:10" x14ac:dyDescent="0.15">
      <c r="A1543">
        <v>127182646</v>
      </c>
      <c r="B1543" s="3" t="str">
        <f>HYPERLINK("https://github.com/fulldump/biff", "https://github.com/fulldump/biff")</f>
        <v>https://github.com/fulldump/biff</v>
      </c>
      <c r="D1543">
        <v>5</v>
      </c>
      <c r="E1543" t="s">
        <v>4525</v>
      </c>
      <c r="F1543" t="s">
        <v>4526</v>
      </c>
      <c r="G1543">
        <v>0</v>
      </c>
      <c r="H1543" s="2">
        <v>43187.774918981479</v>
      </c>
      <c r="I1543" s="2">
        <v>43388.749363425923</v>
      </c>
      <c r="J1543" t="s">
        <v>4527</v>
      </c>
    </row>
    <row r="1544" spans="1:10" x14ac:dyDescent="0.15">
      <c r="A1544">
        <v>127899657</v>
      </c>
      <c r="B1544" s="3" t="str">
        <f>HYPERLINK("https://github.com/vcaesar/tt", "https://github.com/vcaesar/tt")</f>
        <v>https://github.com/vcaesar/tt</v>
      </c>
      <c r="D1544">
        <v>5</v>
      </c>
      <c r="E1544" t="s">
        <v>4528</v>
      </c>
      <c r="F1544" t="s">
        <v>4529</v>
      </c>
      <c r="G1544">
        <v>0</v>
      </c>
      <c r="H1544" s="2">
        <v>43193.491215277783</v>
      </c>
      <c r="I1544" s="2">
        <v>43573.763842592591</v>
      </c>
      <c r="J1544" t="s">
        <v>4530</v>
      </c>
    </row>
    <row r="1545" spans="1:10" x14ac:dyDescent="0.15">
      <c r="A1545">
        <v>154010475</v>
      </c>
      <c r="B1545" s="3" t="str">
        <f>HYPERLINK("https://github.com/sgreben/piecewiselinear", "https://github.com/sgreben/piecewiselinear")</f>
        <v>https://github.com/sgreben/piecewiselinear</v>
      </c>
      <c r="D1545">
        <v>5</v>
      </c>
      <c r="E1545" t="s">
        <v>4531</v>
      </c>
      <c r="F1545" t="s">
        <v>4532</v>
      </c>
      <c r="G1545">
        <v>0</v>
      </c>
      <c r="H1545" s="2">
        <v>43394.55537037037</v>
      </c>
      <c r="I1545" s="2">
        <v>43418.151446759257</v>
      </c>
      <c r="J1545" t="s">
        <v>4533</v>
      </c>
    </row>
    <row r="1546" spans="1:10" x14ac:dyDescent="0.15">
      <c r="A1546">
        <v>120970657</v>
      </c>
      <c r="B1546" s="3" t="str">
        <f>HYPERLINK("https://github.com/awoodbeck/strftime", "https://github.com/awoodbeck/strftime")</f>
        <v>https://github.com/awoodbeck/strftime</v>
      </c>
      <c r="D1546">
        <v>5</v>
      </c>
      <c r="E1546" t="s">
        <v>4534</v>
      </c>
      <c r="F1546" t="s">
        <v>4535</v>
      </c>
      <c r="G1546">
        <v>0</v>
      </c>
      <c r="H1546" s="2">
        <v>43141.024837962963</v>
      </c>
      <c r="I1546" s="2">
        <v>43374.71502314815</v>
      </c>
      <c r="J1546" t="s">
        <v>4536</v>
      </c>
    </row>
    <row r="1547" spans="1:10" x14ac:dyDescent="0.15">
      <c r="A1547">
        <v>133856386</v>
      </c>
      <c r="B1547" s="3" t="str">
        <f>HYPERLINK("https://github.com/BlackRabbitt/mspm", "https://github.com/BlackRabbitt/mspm")</f>
        <v>https://github.com/BlackRabbitt/mspm</v>
      </c>
      <c r="D1547">
        <v>5</v>
      </c>
      <c r="E1547" t="s">
        <v>4537</v>
      </c>
      <c r="F1547" t="s">
        <v>4538</v>
      </c>
      <c r="G1547">
        <v>1</v>
      </c>
      <c r="H1547" s="2">
        <v>43237.791481481479</v>
      </c>
      <c r="I1547" s="2">
        <v>43550.131481481483</v>
      </c>
      <c r="J1547" t="s">
        <v>4539</v>
      </c>
    </row>
    <row r="1548" spans="1:10" x14ac:dyDescent="0.15">
      <c r="A1548">
        <v>141761192</v>
      </c>
      <c r="B1548" s="3" t="str">
        <f>HYPERLINK("https://github.com/StudioSol/set", "https://github.com/StudioSol/set")</f>
        <v>https://github.com/StudioSol/set</v>
      </c>
      <c r="D1548">
        <v>5</v>
      </c>
      <c r="E1548" t="s">
        <v>4540</v>
      </c>
      <c r="F1548" t="s">
        <v>4541</v>
      </c>
      <c r="G1548">
        <v>2</v>
      </c>
      <c r="H1548" s="2">
        <v>43301.912233796298</v>
      </c>
      <c r="I1548" s="2">
        <v>43393.150902777779</v>
      </c>
      <c r="J1548" t="s">
        <v>4542</v>
      </c>
    </row>
    <row r="1549" spans="1:10" x14ac:dyDescent="0.15">
      <c r="A1549">
        <v>132660332</v>
      </c>
      <c r="B1549" s="3" t="str">
        <f>HYPERLINK("https://github.com/defcronyke/godscache", "https://github.com/defcronyke/godscache")</f>
        <v>https://github.com/defcronyke/godscache</v>
      </c>
      <c r="D1549">
        <v>5</v>
      </c>
      <c r="E1549" t="s">
        <v>4543</v>
      </c>
      <c r="F1549" t="s">
        <v>4544</v>
      </c>
      <c r="G1549">
        <v>1</v>
      </c>
      <c r="H1549" s="2">
        <v>43228.846979166658</v>
      </c>
      <c r="I1549" s="2">
        <v>43551.680937500001</v>
      </c>
      <c r="J1549" t="s">
        <v>4545</v>
      </c>
    </row>
    <row r="1550" spans="1:10" x14ac:dyDescent="0.15">
      <c r="A1550">
        <v>48209526</v>
      </c>
      <c r="B1550" s="3" t="str">
        <f>HYPERLINK("https://github.com/DavidGamba/go-getoptions", "https://github.com/DavidGamba/go-getoptions")</f>
        <v>https://github.com/DavidGamba/go-getoptions</v>
      </c>
      <c r="D1550">
        <v>5</v>
      </c>
      <c r="E1550" t="s">
        <v>4546</v>
      </c>
      <c r="F1550" t="s">
        <v>4547</v>
      </c>
      <c r="G1550">
        <v>0</v>
      </c>
      <c r="H1550" s="2">
        <v>42356.098078703697</v>
      </c>
      <c r="I1550" s="2">
        <v>43526.88789351852</v>
      </c>
      <c r="J1550" t="s">
        <v>4548</v>
      </c>
    </row>
    <row r="1551" spans="1:10" x14ac:dyDescent="0.15">
      <c r="A1551">
        <v>62879735</v>
      </c>
      <c r="B1551" s="3" t="str">
        <f>HYPERLINK("https://github.com/AmuzaTkts/jsonapi-errors", "https://github.com/AmuzaTkts/jsonapi-errors")</f>
        <v>https://github.com/AmuzaTkts/jsonapi-errors</v>
      </c>
      <c r="D1551">
        <v>5</v>
      </c>
      <c r="E1551" t="s">
        <v>4549</v>
      </c>
      <c r="F1551" t="s">
        <v>4550</v>
      </c>
      <c r="G1551">
        <v>1</v>
      </c>
      <c r="H1551" s="2">
        <v>42559.422893518517</v>
      </c>
      <c r="I1551" s="2">
        <v>43437.078275462962</v>
      </c>
      <c r="J1551" t="s">
        <v>4551</v>
      </c>
    </row>
    <row r="1552" spans="1:10" x14ac:dyDescent="0.15">
      <c r="A1552">
        <v>107495533</v>
      </c>
      <c r="B1552" s="3" t="str">
        <f>HYPERLINK("https://github.com/surenderthakran/gomind", "https://github.com/surenderthakran/gomind")</f>
        <v>https://github.com/surenderthakran/gomind</v>
      </c>
      <c r="D1552">
        <v>5</v>
      </c>
      <c r="E1552" t="s">
        <v>4552</v>
      </c>
      <c r="F1552" t="s">
        <v>4553</v>
      </c>
      <c r="G1552">
        <v>1</v>
      </c>
      <c r="H1552" s="2">
        <v>43027.15892361111</v>
      </c>
      <c r="I1552" s="2">
        <v>43413.057523148149</v>
      </c>
      <c r="J1552" t="s">
        <v>4554</v>
      </c>
    </row>
    <row r="1553" spans="1:10" x14ac:dyDescent="0.15">
      <c r="A1553">
        <v>154910365</v>
      </c>
      <c r="B1553" s="3" t="str">
        <f>HYPERLINK("https://github.com/two/tspool", "https://github.com/two/tspool")</f>
        <v>https://github.com/two/tspool</v>
      </c>
      <c r="D1553">
        <v>5</v>
      </c>
      <c r="E1553" t="s">
        <v>4555</v>
      </c>
      <c r="F1553" t="s">
        <v>4556</v>
      </c>
      <c r="G1553">
        <v>1</v>
      </c>
      <c r="H1553" s="2">
        <v>43400.045173611114</v>
      </c>
      <c r="I1553" s="2">
        <v>43503.559525462973</v>
      </c>
      <c r="J1553" t="s">
        <v>4557</v>
      </c>
    </row>
    <row r="1554" spans="1:10" x14ac:dyDescent="0.15">
      <c r="A1554">
        <v>155464777</v>
      </c>
      <c r="B1554" s="3" t="str">
        <f>HYPERLINK("https://github.com/khezen/rootfinding", "https://github.com/khezen/rootfinding")</f>
        <v>https://github.com/khezen/rootfinding</v>
      </c>
      <c r="D1554">
        <v>4</v>
      </c>
      <c r="E1554" t="s">
        <v>4558</v>
      </c>
      <c r="F1554" t="s">
        <v>4559</v>
      </c>
      <c r="G1554">
        <v>0</v>
      </c>
      <c r="H1554" s="2">
        <v>43403.938750000001</v>
      </c>
      <c r="I1554" s="2">
        <v>43552.798090277778</v>
      </c>
      <c r="J1554" t="s">
        <v>4560</v>
      </c>
    </row>
    <row r="1555" spans="1:10" x14ac:dyDescent="0.15">
      <c r="A1555">
        <v>52403028</v>
      </c>
      <c r="B1555" s="3" t="str">
        <f>HYPERLINK("https://github.com/txgruppi/parseargs-go", "https://github.com/txgruppi/parseargs-go")</f>
        <v>https://github.com/txgruppi/parseargs-go</v>
      </c>
      <c r="D1555">
        <v>4</v>
      </c>
      <c r="E1555" t="s">
        <v>4561</v>
      </c>
      <c r="F1555" t="s">
        <v>4562</v>
      </c>
      <c r="G1555">
        <v>1</v>
      </c>
      <c r="H1555" s="2">
        <v>42424.037245370368</v>
      </c>
      <c r="I1555" s="2">
        <v>43178.594710648147</v>
      </c>
      <c r="J1555" t="s">
        <v>4563</v>
      </c>
    </row>
    <row r="1556" spans="1:10" x14ac:dyDescent="0.15">
      <c r="A1556">
        <v>42442289</v>
      </c>
      <c r="B1556" s="3" t="str">
        <f>HYPERLINK("https://github.com/ThePaw/go-eco", "https://github.com/ThePaw/go-eco")</f>
        <v>https://github.com/ThePaw/go-eco</v>
      </c>
      <c r="D1556">
        <v>4</v>
      </c>
      <c r="E1556" t="s">
        <v>4564</v>
      </c>
      <c r="F1556" t="s">
        <v>4565</v>
      </c>
      <c r="G1556">
        <v>2</v>
      </c>
      <c r="H1556" s="2">
        <v>42261.436886574083</v>
      </c>
      <c r="I1556" s="2">
        <v>43311.136863425927</v>
      </c>
      <c r="J1556" t="s">
        <v>4566</v>
      </c>
    </row>
    <row r="1557" spans="1:10" x14ac:dyDescent="0.15">
      <c r="A1557">
        <v>162229699</v>
      </c>
      <c r="B1557" s="3" t="str">
        <f>HYPERLINK("https://github.com/chrispassas/silk", "https://github.com/chrispassas/silk")</f>
        <v>https://github.com/chrispassas/silk</v>
      </c>
      <c r="D1557">
        <v>4</v>
      </c>
      <c r="E1557" t="s">
        <v>4567</v>
      </c>
      <c r="F1557" t="s">
        <v>4568</v>
      </c>
      <c r="G1557">
        <v>0</v>
      </c>
      <c r="H1557" s="2">
        <v>43452.18304398148</v>
      </c>
      <c r="I1557" s="2">
        <v>43503.034375000003</v>
      </c>
      <c r="J1557" t="s">
        <v>4569</v>
      </c>
    </row>
    <row r="1558" spans="1:10" x14ac:dyDescent="0.15">
      <c r="A1558">
        <v>147460369</v>
      </c>
      <c r="B1558" s="3" t="str">
        <f>HYPERLINK("https://github.com/esurdam/go-sophos", "https://github.com/esurdam/go-sophos")</f>
        <v>https://github.com/esurdam/go-sophos</v>
      </c>
      <c r="D1558">
        <v>4</v>
      </c>
      <c r="E1558" t="s">
        <v>4570</v>
      </c>
      <c r="F1558" t="s">
        <v>4571</v>
      </c>
      <c r="G1558">
        <v>1</v>
      </c>
      <c r="H1558" s="2">
        <v>43348.192650462966</v>
      </c>
      <c r="I1558" s="2">
        <v>43538.412569444437</v>
      </c>
      <c r="J1558" t="s">
        <v>4572</v>
      </c>
    </row>
    <row r="1559" spans="1:10" x14ac:dyDescent="0.15">
      <c r="A1559">
        <v>87529527</v>
      </c>
      <c r="B1559" s="3" t="str">
        <f>HYPERLINK("https://github.com/zhengchun/syndfeed", "https://github.com/zhengchun/syndfeed")</f>
        <v>https://github.com/zhengchun/syndfeed</v>
      </c>
      <c r="D1559">
        <v>4</v>
      </c>
      <c r="E1559" t="s">
        <v>4573</v>
      </c>
      <c r="F1559" t="s">
        <v>4574</v>
      </c>
      <c r="G1559">
        <v>1</v>
      </c>
      <c r="H1559" s="2">
        <v>42832.396469907413</v>
      </c>
      <c r="I1559" s="2">
        <v>43442.081759259258</v>
      </c>
      <c r="J1559" t="s">
        <v>4575</v>
      </c>
    </row>
    <row r="1560" spans="1:10" x14ac:dyDescent="0.15">
      <c r="A1560">
        <v>99077897</v>
      </c>
      <c r="B1560" s="3" t="str">
        <f>HYPERLINK("https://github.com/hscells/doi", "https://github.com/hscells/doi")</f>
        <v>https://github.com/hscells/doi</v>
      </c>
      <c r="D1560">
        <v>4</v>
      </c>
      <c r="E1560" t="s">
        <v>4576</v>
      </c>
      <c r="F1560" t="s">
        <v>4577</v>
      </c>
      <c r="G1560">
        <v>0</v>
      </c>
      <c r="H1560" s="2">
        <v>42949.248622685183</v>
      </c>
      <c r="I1560" s="2">
        <v>43473.630057870367</v>
      </c>
      <c r="J1560" t="s">
        <v>4578</v>
      </c>
    </row>
    <row r="1561" spans="1:10" x14ac:dyDescent="0.15">
      <c r="A1561">
        <v>154297788</v>
      </c>
      <c r="B1561" s="3" t="str">
        <f>HYPERLINK("https://github.com/blind-oracle/nginx-prometheus", "https://github.com/blind-oracle/nginx-prometheus")</f>
        <v>https://github.com/blind-oracle/nginx-prometheus</v>
      </c>
      <c r="D1561">
        <v>4</v>
      </c>
      <c r="E1561" t="s">
        <v>4579</v>
      </c>
      <c r="F1561" t="s">
        <v>4580</v>
      </c>
      <c r="G1561">
        <v>1</v>
      </c>
      <c r="H1561" s="2">
        <v>43396.382256944453</v>
      </c>
      <c r="I1561" s="2">
        <v>43522.236111111109</v>
      </c>
      <c r="J1561" t="s">
        <v>4581</v>
      </c>
    </row>
    <row r="1562" spans="1:10" x14ac:dyDescent="0.15">
      <c r="A1562">
        <v>139037123</v>
      </c>
      <c r="B1562" s="3" t="str">
        <f>HYPERLINK("https://github.com/khezen/jwc", "https://github.com/khezen/jwc")</f>
        <v>https://github.com/khezen/jwc</v>
      </c>
      <c r="D1562">
        <v>4</v>
      </c>
      <c r="E1562" t="s">
        <v>4582</v>
      </c>
      <c r="F1562" t="s">
        <v>4583</v>
      </c>
      <c r="G1562">
        <v>1</v>
      </c>
      <c r="H1562" s="2">
        <v>43279.646215277768</v>
      </c>
      <c r="I1562" s="2">
        <v>43560.525046296287</v>
      </c>
      <c r="J1562" t="s">
        <v>4584</v>
      </c>
    </row>
    <row r="1563" spans="1:10" x14ac:dyDescent="0.15">
      <c r="A1563">
        <v>47561561</v>
      </c>
      <c r="B1563" s="3" t="str">
        <f>HYPERLINK("https://github.com/NullHypothesis/mlgo", "https://github.com/NullHypothesis/mlgo")</f>
        <v>https://github.com/NullHypothesis/mlgo</v>
      </c>
      <c r="D1563">
        <v>4</v>
      </c>
      <c r="E1563" t="s">
        <v>4585</v>
      </c>
      <c r="F1563" t="s">
        <v>4586</v>
      </c>
      <c r="G1563">
        <v>1</v>
      </c>
      <c r="H1563" s="2">
        <v>42345.653761574067</v>
      </c>
      <c r="I1563" s="2">
        <v>43310.766261574077</v>
      </c>
      <c r="J1563" t="s">
        <v>4587</v>
      </c>
    </row>
    <row r="1564" spans="1:10" x14ac:dyDescent="0.15">
      <c r="A1564">
        <v>89762390</v>
      </c>
      <c r="B1564" s="3" t="str">
        <f>HYPERLINK("https://github.com/abrahambotros/lore", "https://github.com/abrahambotros/lore")</f>
        <v>https://github.com/abrahambotros/lore</v>
      </c>
      <c r="D1564">
        <v>4</v>
      </c>
      <c r="E1564" t="s">
        <v>4588</v>
      </c>
      <c r="F1564" t="s">
        <v>4589</v>
      </c>
      <c r="G1564">
        <v>1</v>
      </c>
      <c r="H1564" s="2">
        <v>42854.164756944447</v>
      </c>
      <c r="I1564" s="2">
        <v>43309.224305555559</v>
      </c>
      <c r="J1564" t="s">
        <v>4590</v>
      </c>
    </row>
    <row r="1565" spans="1:10" x14ac:dyDescent="0.15">
      <c r="A1565">
        <v>168129077</v>
      </c>
      <c r="B1565" s="3" t="str">
        <f>HYPERLINK("https://github.com/pascaldekloe/metrics", "https://github.com/pascaldekloe/metrics")</f>
        <v>https://github.com/pascaldekloe/metrics</v>
      </c>
      <c r="D1565">
        <v>4</v>
      </c>
      <c r="E1565" t="s">
        <v>4591</v>
      </c>
      <c r="F1565" t="s">
        <v>4592</v>
      </c>
      <c r="G1565">
        <v>0</v>
      </c>
      <c r="H1565" s="2">
        <v>43494.402291666673</v>
      </c>
      <c r="I1565" s="2">
        <v>43564.805844907409</v>
      </c>
      <c r="J1565" t="s">
        <v>4593</v>
      </c>
    </row>
    <row r="1566" spans="1:10" x14ac:dyDescent="0.15">
      <c r="A1566">
        <v>81237818</v>
      </c>
      <c r="B1566" s="3" t="str">
        <f>HYPERLINK("https://github.com/mbndr/logo", "https://github.com/mbndr/logo")</f>
        <v>https://github.com/mbndr/logo</v>
      </c>
      <c r="D1566">
        <v>4</v>
      </c>
      <c r="E1566" t="s">
        <v>4594</v>
      </c>
      <c r="F1566" t="s">
        <v>4595</v>
      </c>
      <c r="G1566">
        <v>1</v>
      </c>
      <c r="H1566" s="2">
        <v>42773.752025462964</v>
      </c>
      <c r="I1566" s="2">
        <v>43349.50708333333</v>
      </c>
      <c r="J1566" t="s">
        <v>4596</v>
      </c>
    </row>
    <row r="1567" spans="1:10" x14ac:dyDescent="0.15">
      <c r="A1567">
        <v>131107469</v>
      </c>
      <c r="B1567" s="3" t="str">
        <f>HYPERLINK("https://github.com/subchen/go-trylock", "https://github.com/subchen/go-trylock")</f>
        <v>https://github.com/subchen/go-trylock</v>
      </c>
      <c r="D1567">
        <v>4</v>
      </c>
      <c r="E1567" t="s">
        <v>4597</v>
      </c>
      <c r="F1567" t="s">
        <v>4598</v>
      </c>
      <c r="G1567">
        <v>1</v>
      </c>
      <c r="H1567" s="2">
        <v>43216.251932870371</v>
      </c>
      <c r="I1567" s="2">
        <v>43415.937511574077</v>
      </c>
      <c r="J1567" t="s">
        <v>4599</v>
      </c>
    </row>
    <row r="1568" spans="1:10" x14ac:dyDescent="0.15">
      <c r="A1568">
        <v>157481066</v>
      </c>
      <c r="B1568" s="3" t="str">
        <f>HYPERLINK("https://github.com/nikhilsaraf/go-tools", "https://github.com/nikhilsaraf/go-tools")</f>
        <v>https://github.com/nikhilsaraf/go-tools</v>
      </c>
      <c r="D1568">
        <v>4</v>
      </c>
      <c r="E1568" t="s">
        <v>4600</v>
      </c>
      <c r="F1568" t="s">
        <v>4601</v>
      </c>
      <c r="G1568">
        <v>1</v>
      </c>
      <c r="H1568" s="2">
        <v>43418.12023148148</v>
      </c>
      <c r="I1568" s="2">
        <v>43552.969131944446</v>
      </c>
      <c r="J1568" t="s">
        <v>4602</v>
      </c>
    </row>
    <row r="1569" spans="1:10" x14ac:dyDescent="0.15">
      <c r="A1569">
        <v>173308443</v>
      </c>
      <c r="B1569" s="3" t="str">
        <f>HYPERLINK("https://github.com/homedepot/flop", "https://github.com/homedepot/flop")</f>
        <v>https://github.com/homedepot/flop</v>
      </c>
      <c r="D1569">
        <v>4</v>
      </c>
      <c r="E1569" t="s">
        <v>4603</v>
      </c>
      <c r="F1569" t="s">
        <v>4604</v>
      </c>
      <c r="G1569">
        <v>2</v>
      </c>
      <c r="H1569" s="2">
        <v>43525.570590277777</v>
      </c>
      <c r="I1569" s="2">
        <v>43578.962476851862</v>
      </c>
      <c r="J1569" t="s">
        <v>4605</v>
      </c>
    </row>
    <row r="1570" spans="1:10" x14ac:dyDescent="0.15">
      <c r="A1570">
        <v>61067049</v>
      </c>
      <c r="B1570" s="3" t="str">
        <f>HYPERLINK("https://github.com/viant/asc", "https://github.com/viant/asc")</f>
        <v>https://github.com/viant/asc</v>
      </c>
      <c r="D1570">
        <v>4</v>
      </c>
      <c r="E1570" t="s">
        <v>4606</v>
      </c>
      <c r="F1570" t="s">
        <v>4607</v>
      </c>
      <c r="G1570">
        <v>1</v>
      </c>
      <c r="H1570" s="2">
        <v>42534.848969907413</v>
      </c>
      <c r="I1570" s="2">
        <v>43575.148599537039</v>
      </c>
      <c r="J1570" t="s">
        <v>4608</v>
      </c>
    </row>
    <row r="1571" spans="1:10" x14ac:dyDescent="0.15">
      <c r="A1571">
        <v>148953747</v>
      </c>
      <c r="B1571" s="3" t="str">
        <f>HYPERLINK("https://github.com/perdata/treap", "https://github.com/perdata/treap")</f>
        <v>https://github.com/perdata/treap</v>
      </c>
      <c r="D1571">
        <v>4</v>
      </c>
      <c r="E1571" t="s">
        <v>4609</v>
      </c>
      <c r="F1571" t="s">
        <v>4610</v>
      </c>
      <c r="G1571">
        <v>1</v>
      </c>
      <c r="H1571" s="2">
        <v>43359.068090277768</v>
      </c>
      <c r="I1571" s="2">
        <v>43569.586400462962</v>
      </c>
      <c r="J1571" t="s">
        <v>4611</v>
      </c>
    </row>
    <row r="1572" spans="1:10" x14ac:dyDescent="0.15">
      <c r="A1572">
        <v>139766763</v>
      </c>
      <c r="B1572" s="3" t="str">
        <f>HYPERLINK("https://github.com/emvi/null", "https://github.com/emvi/null")</f>
        <v>https://github.com/emvi/null</v>
      </c>
      <c r="D1572">
        <v>4</v>
      </c>
      <c r="E1572" t="s">
        <v>4612</v>
      </c>
      <c r="F1572" t="s">
        <v>4613</v>
      </c>
      <c r="G1572">
        <v>0</v>
      </c>
      <c r="H1572" s="2">
        <v>43285.888020833343</v>
      </c>
      <c r="I1572" s="2">
        <v>43578.455578703702</v>
      </c>
      <c r="J1572" t="s">
        <v>4614</v>
      </c>
    </row>
    <row r="1573" spans="1:10" x14ac:dyDescent="0.15">
      <c r="A1573">
        <v>171746931</v>
      </c>
      <c r="B1573" s="3" t="str">
        <f>HYPERLINK("https://github.com/32leaves/bel", "https://github.com/32leaves/bel")</f>
        <v>https://github.com/32leaves/bel</v>
      </c>
      <c r="D1573">
        <v>3</v>
      </c>
      <c r="E1573" t="s">
        <v>4615</v>
      </c>
      <c r="F1573" t="s">
        <v>4616</v>
      </c>
      <c r="G1573">
        <v>0</v>
      </c>
      <c r="H1573" s="2">
        <v>43516.866944444453</v>
      </c>
      <c r="I1573" s="2">
        <v>43573.555208333331</v>
      </c>
      <c r="J1573" t="s">
        <v>4617</v>
      </c>
    </row>
    <row r="1574" spans="1:10" x14ac:dyDescent="0.15">
      <c r="A1574">
        <v>126628429</v>
      </c>
      <c r="B1574" s="3" t="str">
        <f>HYPERLINK("https://github.com/aandryashin/ggr", "https://github.com/aandryashin/ggr")</f>
        <v>https://github.com/aandryashin/ggr</v>
      </c>
      <c r="D1574">
        <v>3</v>
      </c>
      <c r="E1574" t="s">
        <v>2279</v>
      </c>
      <c r="F1574" t="s">
        <v>2280</v>
      </c>
      <c r="G1574">
        <v>0</v>
      </c>
      <c r="H1574" s="2">
        <v>43183.768796296303</v>
      </c>
      <c r="I1574" s="2">
        <v>43517.076643518521</v>
      </c>
      <c r="J1574" t="s">
        <v>4618</v>
      </c>
    </row>
    <row r="1575" spans="1:10" x14ac:dyDescent="0.15">
      <c r="A1575">
        <v>136226996</v>
      </c>
      <c r="B1575" s="3" t="str">
        <f>HYPERLINK("https://github.com/Dynom/TySug", "https://github.com/Dynom/TySug")</f>
        <v>https://github.com/Dynom/TySug</v>
      </c>
      <c r="D1575">
        <v>3</v>
      </c>
      <c r="E1575" t="s">
        <v>4619</v>
      </c>
      <c r="F1575" t="s">
        <v>4620</v>
      </c>
      <c r="G1575">
        <v>1</v>
      </c>
      <c r="H1575" s="2">
        <v>43256.823946759258</v>
      </c>
      <c r="I1575" s="2">
        <v>43558.311226851853</v>
      </c>
      <c r="J1575" t="s">
        <v>4621</v>
      </c>
    </row>
    <row r="1576" spans="1:10" x14ac:dyDescent="0.15">
      <c r="A1576">
        <v>128468950</v>
      </c>
      <c r="B1576" s="3" t="str">
        <f>HYPERLINK("https://github.com/mickep76/encoding", "https://github.com/mickep76/encoding")</f>
        <v>https://github.com/mickep76/encoding</v>
      </c>
      <c r="D1576">
        <v>3</v>
      </c>
      <c r="E1576" t="s">
        <v>2818</v>
      </c>
      <c r="F1576" t="s">
        <v>4622</v>
      </c>
      <c r="G1576">
        <v>1</v>
      </c>
      <c r="H1576" s="2">
        <v>43196.866666666669</v>
      </c>
      <c r="I1576" s="2">
        <v>43368.845347222217</v>
      </c>
      <c r="J1576" t="s">
        <v>4623</v>
      </c>
    </row>
    <row r="1577" spans="1:10" x14ac:dyDescent="0.15">
      <c r="A1577">
        <v>107977940</v>
      </c>
      <c r="B1577" s="3" t="str">
        <f>HYPERLINK("https://github.com/axelspringer/go-chronos", "https://github.com/axelspringer/go-chronos")</f>
        <v>https://github.com/axelspringer/go-chronos</v>
      </c>
      <c r="D1577">
        <v>3</v>
      </c>
      <c r="E1577" t="s">
        <v>4624</v>
      </c>
      <c r="F1577" t="s">
        <v>4625</v>
      </c>
      <c r="G1577">
        <v>2</v>
      </c>
      <c r="H1577" s="2">
        <v>43031.513206018521</v>
      </c>
      <c r="I1577" s="2">
        <v>43420.323877314811</v>
      </c>
      <c r="J1577" t="s">
        <v>4626</v>
      </c>
    </row>
    <row r="1578" spans="1:10" x14ac:dyDescent="0.15">
      <c r="A1578">
        <v>162680118</v>
      </c>
      <c r="B1578" s="3" t="str">
        <f>HYPERLINK("https://github.com/ndabAP/assocentity", "https://github.com/ndabAP/assocentity")</f>
        <v>https://github.com/ndabAP/assocentity</v>
      </c>
      <c r="D1578">
        <v>3</v>
      </c>
      <c r="E1578" t="s">
        <v>4627</v>
      </c>
      <c r="F1578" t="s">
        <v>4628</v>
      </c>
      <c r="G1578">
        <v>0</v>
      </c>
      <c r="H1578" s="2">
        <v>43455.303576388891</v>
      </c>
      <c r="I1578" s="2">
        <v>43562.574803240743</v>
      </c>
      <c r="J1578" t="s">
        <v>4629</v>
      </c>
    </row>
    <row r="1579" spans="1:10" x14ac:dyDescent="0.15">
      <c r="A1579">
        <v>173535197</v>
      </c>
      <c r="B1579" s="3" t="str">
        <f>HYPERLINK("https://github.com/gurukami/typ", "https://github.com/gurukami/typ")</f>
        <v>https://github.com/gurukami/typ</v>
      </c>
      <c r="D1579">
        <v>3</v>
      </c>
      <c r="E1579" t="s">
        <v>4630</v>
      </c>
      <c r="F1579" t="s">
        <v>4631</v>
      </c>
      <c r="G1579">
        <v>0</v>
      </c>
      <c r="H1579" s="2">
        <v>43527.232210648152</v>
      </c>
      <c r="I1579" s="2">
        <v>43578.945428240739</v>
      </c>
      <c r="J1579" t="s">
        <v>4632</v>
      </c>
    </row>
    <row r="1580" spans="1:10" x14ac:dyDescent="0.15">
      <c r="A1580">
        <v>141209508</v>
      </c>
      <c r="B1580" s="3" t="str">
        <f>HYPERLINK("https://github.com/oblq/sprbox", "https://github.com/oblq/sprbox")</f>
        <v>https://github.com/oblq/sprbox</v>
      </c>
      <c r="D1580">
        <v>3</v>
      </c>
      <c r="E1580" t="s">
        <v>4633</v>
      </c>
      <c r="F1580" t="s">
        <v>4634</v>
      </c>
      <c r="G1580">
        <v>0</v>
      </c>
      <c r="H1580" s="2">
        <v>43298.019155092603</v>
      </c>
      <c r="I1580" s="2">
        <v>43404.61078703704</v>
      </c>
      <c r="J1580" t="s">
        <v>4635</v>
      </c>
    </row>
    <row r="1581" spans="1:10" x14ac:dyDescent="0.15">
      <c r="A1581">
        <v>158134327</v>
      </c>
      <c r="B1581" s="3" t="str">
        <f>HYPERLINK("https://github.com/Zaba505/sand", "https://github.com/Zaba505/sand")</f>
        <v>https://github.com/Zaba505/sand</v>
      </c>
      <c r="D1581">
        <v>3</v>
      </c>
      <c r="E1581" t="s">
        <v>4636</v>
      </c>
      <c r="F1581" t="s">
        <v>4637</v>
      </c>
      <c r="G1581">
        <v>1</v>
      </c>
      <c r="H1581" s="2">
        <v>43422.947696759264</v>
      </c>
      <c r="I1581" s="2">
        <v>43534.108819444453</v>
      </c>
      <c r="J1581" t="s">
        <v>4638</v>
      </c>
    </row>
    <row r="1582" spans="1:10" x14ac:dyDescent="0.15">
      <c r="A1582">
        <v>167454721</v>
      </c>
      <c r="B1582" s="3" t="str">
        <f>HYPERLINK("https://github.com/zitryss/go-sample", "https://github.com/zitryss/go-sample")</f>
        <v>https://github.com/zitryss/go-sample</v>
      </c>
      <c r="D1582">
        <v>3</v>
      </c>
      <c r="E1582" t="s">
        <v>4639</v>
      </c>
      <c r="F1582" t="s">
        <v>4640</v>
      </c>
      <c r="G1582">
        <v>0</v>
      </c>
      <c r="H1582" s="2">
        <v>43489.987337962957</v>
      </c>
      <c r="I1582" s="2">
        <v>43576.101527777777</v>
      </c>
      <c r="J1582" t="s">
        <v>4641</v>
      </c>
    </row>
    <row r="1583" spans="1:10" x14ac:dyDescent="0.15">
      <c r="A1583">
        <v>170815847</v>
      </c>
      <c r="B1583" s="3" t="str">
        <f>HYPERLINK("https://github.com/Henry-Sarabia/sliceconv", "https://github.com/Henry-Sarabia/sliceconv")</f>
        <v>https://github.com/Henry-Sarabia/sliceconv</v>
      </c>
      <c r="D1583">
        <v>2</v>
      </c>
      <c r="E1583" t="s">
        <v>4642</v>
      </c>
      <c r="F1583" t="s">
        <v>4643</v>
      </c>
      <c r="G1583">
        <v>0</v>
      </c>
      <c r="H1583" s="2">
        <v>43511.285115740742</v>
      </c>
      <c r="I1583" s="2">
        <v>43543.357592592591</v>
      </c>
      <c r="J1583" t="s">
        <v>4644</v>
      </c>
    </row>
    <row r="1584" spans="1:10" x14ac:dyDescent="0.15">
      <c r="A1584">
        <v>143435840</v>
      </c>
      <c r="B1584" s="3" t="str">
        <f>HYPERLINK("https://github.com/MaxHalford/gago", "https://github.com/MaxHalford/gago")</f>
        <v>https://github.com/MaxHalford/gago</v>
      </c>
      <c r="D1584">
        <v>2</v>
      </c>
      <c r="E1584" t="s">
        <v>4645</v>
      </c>
      <c r="F1584" t="s">
        <v>4646</v>
      </c>
      <c r="G1584">
        <v>0</v>
      </c>
      <c r="H1584" s="2">
        <v>43315.593726851846</v>
      </c>
      <c r="I1584" s="2">
        <v>43467.090613425928</v>
      </c>
      <c r="J1584" t="s">
        <v>4647</v>
      </c>
    </row>
    <row r="1585" spans="1:10" x14ac:dyDescent="0.15">
      <c r="A1585">
        <v>60754729</v>
      </c>
      <c r="B1585" s="3" t="str">
        <f>HYPERLINK("https://github.com/jaybill/sawsij", "https://github.com/jaybill/sawsij")</f>
        <v>https://github.com/jaybill/sawsij</v>
      </c>
      <c r="D1585">
        <v>2</v>
      </c>
      <c r="E1585" t="s">
        <v>4648</v>
      </c>
      <c r="G1585">
        <v>1</v>
      </c>
      <c r="H1585" s="2">
        <v>42530.279062499998</v>
      </c>
      <c r="I1585" s="2">
        <v>43310.4533912037</v>
      </c>
      <c r="J1585" t="s">
        <v>4649</v>
      </c>
    </row>
    <row r="1586" spans="1:10" x14ac:dyDescent="0.15">
      <c r="A1586">
        <v>165034725</v>
      </c>
      <c r="B1586" s="3" t="str">
        <f>HYPERLINK("https://github.com/leaanthony/slicer", "https://github.com/leaanthony/slicer")</f>
        <v>https://github.com/leaanthony/slicer</v>
      </c>
      <c r="D1586">
        <v>2</v>
      </c>
      <c r="E1586" t="s">
        <v>4650</v>
      </c>
      <c r="F1586" t="s">
        <v>4651</v>
      </c>
      <c r="G1586">
        <v>0</v>
      </c>
      <c r="H1586" s="2">
        <v>43475.413483796299</v>
      </c>
      <c r="I1586" s="2">
        <v>43543.511122685188</v>
      </c>
      <c r="J1586" t="s">
        <v>4652</v>
      </c>
    </row>
    <row r="1587" spans="1:10" x14ac:dyDescent="0.15">
      <c r="A1587">
        <v>157906567</v>
      </c>
      <c r="B1587" s="3" t="str">
        <f>HYPERLINK("https://github.com/yaa110/sslice", "https://github.com/yaa110/sslice")</f>
        <v>https://github.com/yaa110/sslice</v>
      </c>
      <c r="D1587">
        <v>2</v>
      </c>
      <c r="E1587" t="s">
        <v>4653</v>
      </c>
      <c r="F1587" t="s">
        <v>4654</v>
      </c>
      <c r="G1587">
        <v>0</v>
      </c>
      <c r="H1587" s="2">
        <v>43420.771840277783</v>
      </c>
      <c r="I1587" s="2">
        <v>43502.577106481483</v>
      </c>
      <c r="J1587" t="s">
        <v>4655</v>
      </c>
    </row>
    <row r="1588" spans="1:10" x14ac:dyDescent="0.15">
      <c r="A1588">
        <v>137524281</v>
      </c>
      <c r="B1588" s="3" t="str">
        <f>HYPERLINK("https://github.com/percolate/retry", "https://github.com/percolate/retry")</f>
        <v>https://github.com/percolate/retry</v>
      </c>
      <c r="D1588">
        <v>2</v>
      </c>
      <c r="E1588" t="s">
        <v>2603</v>
      </c>
      <c r="F1588" t="s">
        <v>4656</v>
      </c>
      <c r="G1588">
        <v>0</v>
      </c>
      <c r="H1588" s="2">
        <v>43266.808055555557</v>
      </c>
      <c r="I1588" s="2">
        <v>43310.836516203701</v>
      </c>
      <c r="J1588" t="s">
        <v>4657</v>
      </c>
    </row>
    <row r="1589" spans="1:10" x14ac:dyDescent="0.15">
      <c r="A1589">
        <v>142866506</v>
      </c>
      <c r="B1589" s="3" t="str">
        <f>HYPERLINK("https://github.com/posener/ctxutil", "https://github.com/posener/ctxutil")</f>
        <v>https://github.com/posener/ctxutil</v>
      </c>
      <c r="D1589">
        <v>2</v>
      </c>
      <c r="E1589" t="s">
        <v>4658</v>
      </c>
      <c r="F1589" t="s">
        <v>4659</v>
      </c>
      <c r="G1589">
        <v>1</v>
      </c>
      <c r="H1589" s="2">
        <v>43311.478437500002</v>
      </c>
      <c r="I1589" s="2">
        <v>43570.393553240741</v>
      </c>
      <c r="J1589" t="s">
        <v>4660</v>
      </c>
    </row>
    <row r="1590" spans="1:10" x14ac:dyDescent="0.15">
      <c r="A1590">
        <v>168637144</v>
      </c>
      <c r="B1590" s="3" t="str">
        <f>HYPERLINK("https://github.com/edwingeng/deque", "https://github.com/edwingeng/deque")</f>
        <v>https://github.com/edwingeng/deque</v>
      </c>
      <c r="D1590">
        <v>2</v>
      </c>
      <c r="E1590" t="s">
        <v>3514</v>
      </c>
      <c r="F1590" t="s">
        <v>4661</v>
      </c>
      <c r="G1590">
        <v>0</v>
      </c>
      <c r="H1590" s="2">
        <v>43497.147546296299</v>
      </c>
      <c r="I1590" s="2">
        <v>43574.849178240736</v>
      </c>
      <c r="J1590" t="s">
        <v>4662</v>
      </c>
    </row>
    <row r="1591" spans="1:10" x14ac:dyDescent="0.15">
      <c r="A1591">
        <v>106274784</v>
      </c>
      <c r="B1591" s="3" t="str">
        <f>HYPERLINK("https://github.com/mengzhuo/cookiestxt", "https://github.com/mengzhuo/cookiestxt")</f>
        <v>https://github.com/mengzhuo/cookiestxt</v>
      </c>
      <c r="D1591">
        <v>2</v>
      </c>
      <c r="E1591" t="s">
        <v>4663</v>
      </c>
      <c r="F1591" t="s">
        <v>4664</v>
      </c>
      <c r="G1591">
        <v>1</v>
      </c>
      <c r="H1591" s="2">
        <v>43017.477303240739</v>
      </c>
      <c r="I1591" s="2">
        <v>43521.861018518517</v>
      </c>
      <c r="J1591" t="s">
        <v>4665</v>
      </c>
    </row>
    <row r="1592" spans="1:10" x14ac:dyDescent="0.15">
      <c r="A1592">
        <v>168676539</v>
      </c>
      <c r="B1592" s="3" t="str">
        <f>HYPERLINK("https://github.com/italolelis/outboxer", "https://github.com/italolelis/outboxer")</f>
        <v>https://github.com/italolelis/outboxer</v>
      </c>
      <c r="D1592">
        <v>1</v>
      </c>
      <c r="E1592" t="s">
        <v>4666</v>
      </c>
      <c r="F1592" t="s">
        <v>4667</v>
      </c>
      <c r="G1592">
        <v>0</v>
      </c>
      <c r="H1592" s="2">
        <v>43497.409872685188</v>
      </c>
      <c r="I1592" s="2">
        <v>43576.563240740739</v>
      </c>
      <c r="J1592" t="s">
        <v>4668</v>
      </c>
    </row>
    <row r="1593" spans="1:10" x14ac:dyDescent="0.15">
      <c r="A1593">
        <v>36222457</v>
      </c>
      <c r="B1593" s="3" t="str">
        <f>HYPERLINK("https://github.com/playlyfe/playlyfe-go-sdk", "https://github.com/playlyfe/playlyfe-go-sdk")</f>
        <v>https://github.com/playlyfe/playlyfe-go-sdk</v>
      </c>
      <c r="D1593">
        <v>1</v>
      </c>
      <c r="E1593" t="s">
        <v>4669</v>
      </c>
      <c r="F1593" t="s">
        <v>4670</v>
      </c>
      <c r="G1593">
        <v>0</v>
      </c>
      <c r="H1593" s="2">
        <v>42149.399155092593</v>
      </c>
      <c r="I1593" s="2">
        <v>43310.850925925923</v>
      </c>
      <c r="J1593" t="s">
        <v>4671</v>
      </c>
    </row>
    <row r="1594" spans="1:10" x14ac:dyDescent="0.15">
      <c r="A1594">
        <v>170410954</v>
      </c>
      <c r="B1594" s="3" t="str">
        <f>HYPERLINK("https://github.com/Henry-Sarabia/blank", "https://github.com/Henry-Sarabia/blank")</f>
        <v>https://github.com/Henry-Sarabia/blank</v>
      </c>
      <c r="D1594">
        <v>1</v>
      </c>
      <c r="E1594" t="s">
        <v>4672</v>
      </c>
      <c r="F1594" t="s">
        <v>4673</v>
      </c>
      <c r="G1594">
        <v>0</v>
      </c>
      <c r="H1594" s="2">
        <v>43509.005173611113</v>
      </c>
      <c r="I1594" s="2">
        <v>43549.351863425924</v>
      </c>
      <c r="J1594" t="s">
        <v>4674</v>
      </c>
    </row>
    <row r="1595" spans="1:10" x14ac:dyDescent="0.15">
      <c r="A1595">
        <v>163976908</v>
      </c>
      <c r="B1595" s="3" t="str">
        <f>HYPERLINK("https://github.com/btnguyen2k/olaf", "https://github.com/btnguyen2k/olaf")</f>
        <v>https://github.com/btnguyen2k/olaf</v>
      </c>
      <c r="D1595">
        <v>1</v>
      </c>
      <c r="E1595" t="s">
        <v>4675</v>
      </c>
      <c r="F1595" t="s">
        <v>4676</v>
      </c>
      <c r="G1595">
        <v>0</v>
      </c>
      <c r="H1595" s="2">
        <v>43468.563310185193</v>
      </c>
      <c r="I1595" s="2">
        <v>43565.374548611107</v>
      </c>
      <c r="J1595" t="s">
        <v>4677</v>
      </c>
    </row>
    <row r="1596" spans="1:10" x14ac:dyDescent="0.15">
      <c r="A1596">
        <v>149353802</v>
      </c>
      <c r="B1596" s="3" t="str">
        <f>HYPERLINK("https://github.com/RangelReale/osin", "https://github.com/RangelReale/osin")</f>
        <v>https://github.com/RangelReale/osin</v>
      </c>
      <c r="D1596">
        <v>1</v>
      </c>
      <c r="E1596" t="s">
        <v>830</v>
      </c>
      <c r="F1596" t="s">
        <v>831</v>
      </c>
      <c r="G1596">
        <v>6</v>
      </c>
      <c r="H1596" s="2">
        <v>43361.891064814823</v>
      </c>
      <c r="I1596" s="2">
        <v>43568.323217592602</v>
      </c>
      <c r="J1596" t="s">
        <v>4678</v>
      </c>
    </row>
    <row r="1597" spans="1:10" x14ac:dyDescent="0.15">
      <c r="A1597">
        <v>168342959</v>
      </c>
      <c r="B1597" s="3" t="str">
        <f>HYPERLINK("https://github.com/zekroTJA/timedmap", "https://github.com/zekroTJA/timedmap")</f>
        <v>https://github.com/zekroTJA/timedmap</v>
      </c>
      <c r="D1597">
        <v>0</v>
      </c>
      <c r="E1597" t="s">
        <v>4679</v>
      </c>
      <c r="F1597" t="s">
        <v>4680</v>
      </c>
      <c r="G1597">
        <v>0</v>
      </c>
      <c r="H1597" s="2">
        <v>43495.538622685177</v>
      </c>
      <c r="I1597" s="2">
        <v>43516.616863425923</v>
      </c>
      <c r="J1597" t="s">
        <v>4681</v>
      </c>
    </row>
    <row r="1598" spans="1:10" x14ac:dyDescent="0.15">
      <c r="A1598">
        <v>139023745</v>
      </c>
      <c r="B1598" s="3" t="str">
        <f>HYPERLINK("https://github.com/pupizoid/ormlite", "https://github.com/pupizoid/ormlite")</f>
        <v>https://github.com/pupizoid/ormlite</v>
      </c>
      <c r="D1598">
        <v>0</v>
      </c>
      <c r="E1598" t="s">
        <v>4682</v>
      </c>
      <c r="F1598" t="s">
        <v>4683</v>
      </c>
      <c r="G1598">
        <v>1</v>
      </c>
      <c r="H1598" s="2">
        <v>43279.570937500001</v>
      </c>
      <c r="I1598" s="2">
        <v>43557.423854166656</v>
      </c>
      <c r="J1598" t="s">
        <v>4684</v>
      </c>
    </row>
    <row r="1599" spans="1:10" x14ac:dyDescent="0.15">
      <c r="A1599">
        <v>165690779</v>
      </c>
      <c r="B1599" s="3" t="str">
        <f>HYPERLINK("https://github.com/sbabiv/rmqconn", "https://github.com/sbabiv/rmqconn")</f>
        <v>https://github.com/sbabiv/rmqconn</v>
      </c>
      <c r="D1599">
        <v>0</v>
      </c>
      <c r="E1599" t="s">
        <v>4685</v>
      </c>
      <c r="F1599" t="s">
        <v>4686</v>
      </c>
      <c r="G1599">
        <v>0</v>
      </c>
      <c r="H1599" s="2">
        <v>43479.670648148152</v>
      </c>
      <c r="I1599" s="2">
        <v>43531.613437499997</v>
      </c>
      <c r="J1599" t="s">
        <v>4687</v>
      </c>
    </row>
    <row r="1600" spans="1:10" x14ac:dyDescent="0.15">
      <c r="B1600"/>
    </row>
    <row r="1601" spans="2:2" x14ac:dyDescent="0.15">
      <c r="B1601"/>
    </row>
    <row r="1602" spans="2:2" x14ac:dyDescent="0.15">
      <c r="B1602"/>
    </row>
    <row r="1603" spans="2:2" x14ac:dyDescent="0.15">
      <c r="B1603"/>
    </row>
    <row r="1604" spans="2:2" x14ac:dyDescent="0.15">
      <c r="B1604"/>
    </row>
    <row r="1605" spans="2:2" x14ac:dyDescent="0.15">
      <c r="B1605"/>
    </row>
    <row r="1606" spans="2:2" x14ac:dyDescent="0.15">
      <c r="B1606"/>
    </row>
    <row r="1607" spans="2:2" x14ac:dyDescent="0.15">
      <c r="B1607"/>
    </row>
    <row r="1608" spans="2:2" x14ac:dyDescent="0.15">
      <c r="B1608"/>
    </row>
    <row r="1609" spans="2:2" x14ac:dyDescent="0.15">
      <c r="B1609"/>
    </row>
    <row r="1610" spans="2:2" x14ac:dyDescent="0.15">
      <c r="B1610"/>
    </row>
    <row r="1611" spans="2:2" x14ac:dyDescent="0.15">
      <c r="B1611"/>
    </row>
    <row r="1612" spans="2:2" x14ac:dyDescent="0.15">
      <c r="B1612"/>
    </row>
    <row r="1613" spans="2:2" x14ac:dyDescent="0.15">
      <c r="B1613"/>
    </row>
    <row r="1614" spans="2:2" x14ac:dyDescent="0.15">
      <c r="B1614"/>
    </row>
    <row r="1615" spans="2:2" x14ac:dyDescent="0.15">
      <c r="B1615"/>
    </row>
    <row r="1616" spans="2:2" x14ac:dyDescent="0.15">
      <c r="B1616"/>
    </row>
    <row r="1617" spans="2:2" x14ac:dyDescent="0.15">
      <c r="B1617"/>
    </row>
    <row r="1618" spans="2:2" x14ac:dyDescent="0.15">
      <c r="B1618"/>
    </row>
    <row r="1619" spans="2:2" x14ac:dyDescent="0.15">
      <c r="B1619"/>
    </row>
    <row r="1620" spans="2:2" x14ac:dyDescent="0.15">
      <c r="B1620"/>
    </row>
    <row r="1621" spans="2:2" x14ac:dyDescent="0.15">
      <c r="B1621"/>
    </row>
    <row r="1622" spans="2:2" x14ac:dyDescent="0.15">
      <c r="B1622"/>
    </row>
    <row r="1623" spans="2:2" x14ac:dyDescent="0.15">
      <c r="B1623"/>
    </row>
    <row r="1624" spans="2:2" x14ac:dyDescent="0.15">
      <c r="B1624"/>
    </row>
    <row r="1625" spans="2:2" x14ac:dyDescent="0.15">
      <c r="B1625"/>
    </row>
    <row r="1626" spans="2:2" x14ac:dyDescent="0.15">
      <c r="B1626"/>
    </row>
    <row r="1627" spans="2:2" x14ac:dyDescent="0.15">
      <c r="B1627"/>
    </row>
    <row r="1628" spans="2:2" x14ac:dyDescent="0.15">
      <c r="B1628"/>
    </row>
    <row r="1629" spans="2:2" x14ac:dyDescent="0.15">
      <c r="B1629"/>
    </row>
    <row r="1630" spans="2:2" x14ac:dyDescent="0.15">
      <c r="B1630"/>
    </row>
    <row r="1631" spans="2:2" x14ac:dyDescent="0.15">
      <c r="B1631"/>
    </row>
    <row r="1632" spans="2:2" x14ac:dyDescent="0.15">
      <c r="B1632"/>
    </row>
    <row r="1633" spans="2:2" x14ac:dyDescent="0.15">
      <c r="B1633"/>
    </row>
    <row r="1634" spans="2:2" x14ac:dyDescent="0.15">
      <c r="B1634"/>
    </row>
    <row r="1635" spans="2:2" x14ac:dyDescent="0.15">
      <c r="B1635"/>
    </row>
    <row r="1636" spans="2:2" x14ac:dyDescent="0.15">
      <c r="B1636"/>
    </row>
    <row r="1637" spans="2:2" x14ac:dyDescent="0.15">
      <c r="B1637"/>
    </row>
    <row r="1638" spans="2:2" x14ac:dyDescent="0.15">
      <c r="B1638"/>
    </row>
    <row r="1639" spans="2:2" x14ac:dyDescent="0.15">
      <c r="B1639"/>
    </row>
    <row r="1640" spans="2:2" x14ac:dyDescent="0.15">
      <c r="B1640"/>
    </row>
    <row r="1641" spans="2:2" x14ac:dyDescent="0.15">
      <c r="B1641"/>
    </row>
    <row r="1642" spans="2:2" x14ac:dyDescent="0.15">
      <c r="B1642"/>
    </row>
    <row r="1643" spans="2:2" x14ac:dyDescent="0.15">
      <c r="B1643"/>
    </row>
    <row r="1644" spans="2:2" x14ac:dyDescent="0.15">
      <c r="B1644"/>
    </row>
    <row r="1645" spans="2:2" x14ac:dyDescent="0.15">
      <c r="B1645"/>
    </row>
    <row r="1646" spans="2:2" x14ac:dyDescent="0.15">
      <c r="B1646"/>
    </row>
    <row r="1647" spans="2:2" x14ac:dyDescent="0.15">
      <c r="B1647"/>
    </row>
    <row r="1648" spans="2:2" x14ac:dyDescent="0.15">
      <c r="B1648"/>
    </row>
    <row r="1649" spans="2:2" x14ac:dyDescent="0.15">
      <c r="B1649"/>
    </row>
    <row r="1650" spans="2:2" x14ac:dyDescent="0.15">
      <c r="B1650"/>
    </row>
    <row r="1651" spans="2:2" x14ac:dyDescent="0.15">
      <c r="B1651"/>
    </row>
    <row r="1652" spans="2:2" x14ac:dyDescent="0.15">
      <c r="B1652"/>
    </row>
    <row r="1653" spans="2:2" x14ac:dyDescent="0.15">
      <c r="B1653"/>
    </row>
    <row r="1654" spans="2:2" x14ac:dyDescent="0.15">
      <c r="B1654"/>
    </row>
    <row r="1655" spans="2:2" x14ac:dyDescent="0.15">
      <c r="B1655"/>
    </row>
    <row r="1656" spans="2:2" x14ac:dyDescent="0.15">
      <c r="B1656"/>
    </row>
    <row r="1657" spans="2:2" x14ac:dyDescent="0.15">
      <c r="B1657"/>
    </row>
    <row r="1658" spans="2:2" x14ac:dyDescent="0.15">
      <c r="B1658"/>
    </row>
    <row r="1659" spans="2:2" x14ac:dyDescent="0.15">
      <c r="B1659"/>
    </row>
    <row r="1660" spans="2:2" x14ac:dyDescent="0.15">
      <c r="B1660"/>
    </row>
    <row r="1661" spans="2:2" x14ac:dyDescent="0.15">
      <c r="B1661"/>
    </row>
    <row r="1662" spans="2:2" x14ac:dyDescent="0.15">
      <c r="B1662"/>
    </row>
    <row r="1663" spans="2:2" x14ac:dyDescent="0.15">
      <c r="B1663"/>
    </row>
    <row r="1664" spans="2:2" x14ac:dyDescent="0.15">
      <c r="B1664"/>
    </row>
    <row r="1665" spans="2:2" x14ac:dyDescent="0.15">
      <c r="B1665"/>
    </row>
    <row r="1666" spans="2:2" x14ac:dyDescent="0.15">
      <c r="B1666"/>
    </row>
    <row r="1667" spans="2:2" x14ac:dyDescent="0.15">
      <c r="B1667"/>
    </row>
    <row r="1668" spans="2:2" x14ac:dyDescent="0.15">
      <c r="B1668"/>
    </row>
    <row r="1669" spans="2:2" x14ac:dyDescent="0.15">
      <c r="B1669"/>
    </row>
    <row r="1670" spans="2:2" x14ac:dyDescent="0.15">
      <c r="B1670"/>
    </row>
    <row r="1671" spans="2:2" x14ac:dyDescent="0.15">
      <c r="B1671"/>
    </row>
    <row r="1672" spans="2:2" x14ac:dyDescent="0.15">
      <c r="B1672"/>
    </row>
    <row r="1673" spans="2:2" x14ac:dyDescent="0.15">
      <c r="B1673"/>
    </row>
    <row r="1674" spans="2:2" x14ac:dyDescent="0.15">
      <c r="B1674"/>
    </row>
    <row r="1675" spans="2:2" x14ac:dyDescent="0.15">
      <c r="B1675"/>
    </row>
    <row r="1676" spans="2:2" x14ac:dyDescent="0.15">
      <c r="B1676"/>
    </row>
    <row r="1677" spans="2:2" x14ac:dyDescent="0.15">
      <c r="B1677"/>
    </row>
    <row r="1678" spans="2:2" x14ac:dyDescent="0.15">
      <c r="B1678"/>
    </row>
    <row r="1679" spans="2:2" x14ac:dyDescent="0.15">
      <c r="B1679"/>
    </row>
    <row r="1680" spans="2:2" x14ac:dyDescent="0.15">
      <c r="B1680"/>
    </row>
    <row r="1681" spans="2:2" x14ac:dyDescent="0.15">
      <c r="B1681"/>
    </row>
    <row r="1682" spans="2:2" x14ac:dyDescent="0.15">
      <c r="B1682"/>
    </row>
    <row r="1683" spans="2:2" x14ac:dyDescent="0.15">
      <c r="B1683"/>
    </row>
    <row r="1684" spans="2:2" x14ac:dyDescent="0.15">
      <c r="B1684"/>
    </row>
    <row r="1685" spans="2:2" x14ac:dyDescent="0.15">
      <c r="B1685"/>
    </row>
    <row r="1686" spans="2:2" x14ac:dyDescent="0.15">
      <c r="B1686"/>
    </row>
    <row r="1687" spans="2:2" x14ac:dyDescent="0.15">
      <c r="B1687"/>
    </row>
    <row r="1688" spans="2:2" x14ac:dyDescent="0.15">
      <c r="B1688"/>
    </row>
    <row r="1689" spans="2:2" x14ac:dyDescent="0.15">
      <c r="B1689"/>
    </row>
    <row r="1690" spans="2:2" x14ac:dyDescent="0.15">
      <c r="B1690"/>
    </row>
    <row r="1691" spans="2:2" x14ac:dyDescent="0.15">
      <c r="B1691"/>
    </row>
    <row r="1692" spans="2:2" x14ac:dyDescent="0.15">
      <c r="B1692"/>
    </row>
    <row r="1693" spans="2:2" x14ac:dyDescent="0.15">
      <c r="B1693"/>
    </row>
    <row r="1694" spans="2:2" x14ac:dyDescent="0.15">
      <c r="B1694"/>
    </row>
    <row r="1695" spans="2:2" x14ac:dyDescent="0.15">
      <c r="B1695"/>
    </row>
    <row r="1696" spans="2:2" x14ac:dyDescent="0.15">
      <c r="B1696"/>
    </row>
    <row r="1697" spans="2:2" x14ac:dyDescent="0.15">
      <c r="B1697"/>
    </row>
    <row r="1698" spans="2:2" x14ac:dyDescent="0.15">
      <c r="B1698"/>
    </row>
    <row r="1699" spans="2:2" x14ac:dyDescent="0.15">
      <c r="B1699"/>
    </row>
    <row r="1700" spans="2:2" x14ac:dyDescent="0.15">
      <c r="B1700"/>
    </row>
    <row r="1701" spans="2:2" x14ac:dyDescent="0.15">
      <c r="B1701"/>
    </row>
    <row r="1702" spans="2:2" x14ac:dyDescent="0.15">
      <c r="B1702"/>
    </row>
    <row r="1703" spans="2:2" x14ac:dyDescent="0.15">
      <c r="B1703"/>
    </row>
    <row r="1704" spans="2:2" x14ac:dyDescent="0.15">
      <c r="B1704"/>
    </row>
    <row r="1705" spans="2:2" x14ac:dyDescent="0.15">
      <c r="B1705"/>
    </row>
    <row r="1706" spans="2:2" x14ac:dyDescent="0.15">
      <c r="B1706"/>
    </row>
    <row r="1707" spans="2:2" x14ac:dyDescent="0.15">
      <c r="B1707"/>
    </row>
    <row r="1708" spans="2:2" x14ac:dyDescent="0.15">
      <c r="B1708"/>
    </row>
    <row r="1709" spans="2:2" x14ac:dyDescent="0.15">
      <c r="B1709"/>
    </row>
    <row r="1710" spans="2:2" x14ac:dyDescent="0.15">
      <c r="B1710"/>
    </row>
    <row r="1711" spans="2:2" x14ac:dyDescent="0.15">
      <c r="B1711"/>
    </row>
    <row r="1712" spans="2:2" x14ac:dyDescent="0.15">
      <c r="B1712"/>
    </row>
    <row r="1713" spans="2:2" x14ac:dyDescent="0.15">
      <c r="B1713"/>
    </row>
    <row r="1714" spans="2:2" x14ac:dyDescent="0.15">
      <c r="B1714"/>
    </row>
    <row r="1715" spans="2:2" x14ac:dyDescent="0.15">
      <c r="B1715"/>
    </row>
    <row r="1716" spans="2:2" x14ac:dyDescent="0.15">
      <c r="B1716"/>
    </row>
    <row r="1717" spans="2:2" x14ac:dyDescent="0.15">
      <c r="B1717"/>
    </row>
    <row r="1718" spans="2:2" x14ac:dyDescent="0.15">
      <c r="B1718"/>
    </row>
    <row r="1719" spans="2:2" x14ac:dyDescent="0.15">
      <c r="B1719"/>
    </row>
    <row r="1720" spans="2:2" x14ac:dyDescent="0.15">
      <c r="B1720"/>
    </row>
    <row r="1721" spans="2:2" x14ac:dyDescent="0.15">
      <c r="B1721"/>
    </row>
    <row r="1722" spans="2:2" x14ac:dyDescent="0.15">
      <c r="B1722"/>
    </row>
    <row r="1723" spans="2:2" x14ac:dyDescent="0.15">
      <c r="B1723"/>
    </row>
    <row r="1724" spans="2:2" x14ac:dyDescent="0.15">
      <c r="B1724"/>
    </row>
    <row r="1725" spans="2:2" x14ac:dyDescent="0.15">
      <c r="B1725"/>
    </row>
    <row r="1726" spans="2:2" x14ac:dyDescent="0.15">
      <c r="B1726"/>
    </row>
    <row r="1727" spans="2:2" x14ac:dyDescent="0.15">
      <c r="B1727"/>
    </row>
    <row r="1728" spans="2:2" x14ac:dyDescent="0.15">
      <c r="B1728"/>
    </row>
    <row r="1729" spans="2:2" x14ac:dyDescent="0.15">
      <c r="B1729"/>
    </row>
    <row r="1730" spans="2:2" x14ac:dyDescent="0.15">
      <c r="B1730"/>
    </row>
    <row r="1731" spans="2:2" x14ac:dyDescent="0.15">
      <c r="B1731"/>
    </row>
    <row r="1732" spans="2:2" x14ac:dyDescent="0.15">
      <c r="B1732"/>
    </row>
    <row r="1733" spans="2:2" x14ac:dyDescent="0.15">
      <c r="B1733"/>
    </row>
    <row r="1734" spans="2:2" x14ac:dyDescent="0.15">
      <c r="B1734"/>
    </row>
    <row r="1735" spans="2:2" x14ac:dyDescent="0.15">
      <c r="B1735"/>
    </row>
    <row r="1736" spans="2:2" x14ac:dyDescent="0.15">
      <c r="B1736"/>
    </row>
    <row r="1737" spans="2:2" x14ac:dyDescent="0.15">
      <c r="B1737"/>
    </row>
    <row r="1738" spans="2:2" x14ac:dyDescent="0.15">
      <c r="B1738"/>
    </row>
    <row r="1739" spans="2:2" x14ac:dyDescent="0.15">
      <c r="B1739"/>
    </row>
    <row r="1740" spans="2:2" x14ac:dyDescent="0.15">
      <c r="B1740"/>
    </row>
    <row r="1741" spans="2:2" x14ac:dyDescent="0.15">
      <c r="B1741"/>
    </row>
    <row r="1742" spans="2:2" x14ac:dyDescent="0.15">
      <c r="B1742"/>
    </row>
    <row r="1743" spans="2:2" x14ac:dyDescent="0.15">
      <c r="B1743"/>
    </row>
    <row r="1744" spans="2:2" x14ac:dyDescent="0.15">
      <c r="B1744"/>
    </row>
    <row r="1745" spans="2:2" x14ac:dyDescent="0.15">
      <c r="B1745"/>
    </row>
    <row r="1746" spans="2:2" x14ac:dyDescent="0.15">
      <c r="B1746"/>
    </row>
    <row r="1747" spans="2:2" x14ac:dyDescent="0.15">
      <c r="B1747"/>
    </row>
    <row r="1748" spans="2:2" x14ac:dyDescent="0.15">
      <c r="B1748"/>
    </row>
    <row r="1749" spans="2:2" x14ac:dyDescent="0.15">
      <c r="B1749"/>
    </row>
    <row r="1750" spans="2:2" x14ac:dyDescent="0.15">
      <c r="B1750"/>
    </row>
    <row r="1751" spans="2:2" x14ac:dyDescent="0.15">
      <c r="B1751"/>
    </row>
    <row r="1752" spans="2:2" x14ac:dyDescent="0.15">
      <c r="B1752"/>
    </row>
    <row r="1753" spans="2:2" x14ac:dyDescent="0.15">
      <c r="B1753"/>
    </row>
    <row r="1754" spans="2:2" x14ac:dyDescent="0.15">
      <c r="B1754"/>
    </row>
    <row r="1755" spans="2:2" x14ac:dyDescent="0.15">
      <c r="B1755"/>
    </row>
    <row r="1756" spans="2:2" x14ac:dyDescent="0.15">
      <c r="B1756"/>
    </row>
    <row r="1757" spans="2:2" x14ac:dyDescent="0.15">
      <c r="B1757"/>
    </row>
    <row r="1758" spans="2:2" x14ac:dyDescent="0.15">
      <c r="B1758"/>
    </row>
    <row r="1759" spans="2:2" x14ac:dyDescent="0.15">
      <c r="B1759"/>
    </row>
    <row r="1760" spans="2:2" x14ac:dyDescent="0.15">
      <c r="B1760"/>
    </row>
    <row r="1761" spans="2:2" x14ac:dyDescent="0.15">
      <c r="B1761"/>
    </row>
    <row r="1762" spans="2:2" x14ac:dyDescent="0.15">
      <c r="B1762"/>
    </row>
    <row r="1763" spans="2:2" x14ac:dyDescent="0.15">
      <c r="B1763"/>
    </row>
    <row r="1764" spans="2:2" x14ac:dyDescent="0.15">
      <c r="B1764"/>
    </row>
    <row r="1765" spans="2:2" x14ac:dyDescent="0.15">
      <c r="B1765"/>
    </row>
    <row r="1766" spans="2:2" x14ac:dyDescent="0.15">
      <c r="B1766"/>
    </row>
    <row r="1767" spans="2:2" x14ac:dyDescent="0.15">
      <c r="B1767"/>
    </row>
    <row r="1768" spans="2:2" x14ac:dyDescent="0.15">
      <c r="B1768"/>
    </row>
    <row r="1769" spans="2:2" x14ac:dyDescent="0.15">
      <c r="B1769"/>
    </row>
    <row r="1770" spans="2:2" x14ac:dyDescent="0.15">
      <c r="B1770"/>
    </row>
    <row r="1771" spans="2:2" x14ac:dyDescent="0.15">
      <c r="B1771"/>
    </row>
    <row r="1772" spans="2:2" x14ac:dyDescent="0.15">
      <c r="B1772"/>
    </row>
    <row r="1773" spans="2:2" x14ac:dyDescent="0.15">
      <c r="B1773"/>
    </row>
    <row r="1774" spans="2:2" x14ac:dyDescent="0.15">
      <c r="B1774"/>
    </row>
    <row r="1775" spans="2:2" x14ac:dyDescent="0.15">
      <c r="B1775"/>
    </row>
    <row r="1776" spans="2:2" x14ac:dyDescent="0.15">
      <c r="B1776"/>
    </row>
    <row r="1777" spans="2:2" x14ac:dyDescent="0.15">
      <c r="B1777"/>
    </row>
    <row r="1778" spans="2:2" x14ac:dyDescent="0.15">
      <c r="B1778"/>
    </row>
    <row r="1779" spans="2:2" x14ac:dyDescent="0.15">
      <c r="B1779"/>
    </row>
    <row r="1780" spans="2:2" x14ac:dyDescent="0.15">
      <c r="B1780"/>
    </row>
    <row r="1781" spans="2:2" x14ac:dyDescent="0.15">
      <c r="B1781"/>
    </row>
    <row r="1782" spans="2:2" x14ac:dyDescent="0.15">
      <c r="B1782"/>
    </row>
    <row r="1783" spans="2:2" x14ac:dyDescent="0.15">
      <c r="B1783"/>
    </row>
    <row r="1784" spans="2:2" x14ac:dyDescent="0.15">
      <c r="B1784"/>
    </row>
    <row r="1785" spans="2:2" x14ac:dyDescent="0.15">
      <c r="B1785"/>
    </row>
    <row r="1786" spans="2:2" x14ac:dyDescent="0.15">
      <c r="B1786"/>
    </row>
    <row r="1787" spans="2:2" x14ac:dyDescent="0.15">
      <c r="B1787"/>
    </row>
    <row r="1788" spans="2:2" x14ac:dyDescent="0.15">
      <c r="B1788"/>
    </row>
    <row r="1789" spans="2:2" x14ac:dyDescent="0.15">
      <c r="B1789"/>
    </row>
    <row r="1790" spans="2:2" x14ac:dyDescent="0.15">
      <c r="B1790"/>
    </row>
    <row r="1791" spans="2:2" x14ac:dyDescent="0.15">
      <c r="B1791"/>
    </row>
    <row r="1792" spans="2:2" x14ac:dyDescent="0.15">
      <c r="B1792"/>
    </row>
    <row r="1793" spans="2:2" x14ac:dyDescent="0.15">
      <c r="B1793"/>
    </row>
    <row r="1794" spans="2:2" x14ac:dyDescent="0.15">
      <c r="B1794"/>
    </row>
    <row r="1795" spans="2:2" x14ac:dyDescent="0.15">
      <c r="B1795"/>
    </row>
    <row r="1796" spans="2:2" x14ac:dyDescent="0.15">
      <c r="B1796"/>
    </row>
    <row r="1797" spans="2:2" x14ac:dyDescent="0.15">
      <c r="B1797"/>
    </row>
    <row r="1798" spans="2:2" x14ac:dyDescent="0.15">
      <c r="B1798"/>
    </row>
    <row r="1799" spans="2:2" x14ac:dyDescent="0.15">
      <c r="B1799"/>
    </row>
    <row r="1800" spans="2:2" x14ac:dyDescent="0.15">
      <c r="B1800"/>
    </row>
    <row r="1801" spans="2:2" x14ac:dyDescent="0.15">
      <c r="B1801"/>
    </row>
    <row r="1802" spans="2:2" x14ac:dyDescent="0.15">
      <c r="B1802"/>
    </row>
    <row r="1803" spans="2:2" x14ac:dyDescent="0.15">
      <c r="B1803"/>
    </row>
    <row r="1804" spans="2:2" x14ac:dyDescent="0.15">
      <c r="B1804"/>
    </row>
    <row r="1805" spans="2:2" x14ac:dyDescent="0.15">
      <c r="B1805"/>
    </row>
    <row r="1806" spans="2:2" x14ac:dyDescent="0.15">
      <c r="B1806"/>
    </row>
    <row r="1807" spans="2:2" x14ac:dyDescent="0.15">
      <c r="B1807"/>
    </row>
    <row r="1808" spans="2:2" x14ac:dyDescent="0.15">
      <c r="B1808"/>
    </row>
    <row r="1809" spans="2:2" x14ac:dyDescent="0.15">
      <c r="B1809"/>
    </row>
    <row r="1810" spans="2:2" x14ac:dyDescent="0.15">
      <c r="B1810"/>
    </row>
    <row r="1811" spans="2:2" x14ac:dyDescent="0.15">
      <c r="B1811"/>
    </row>
    <row r="1812" spans="2:2" x14ac:dyDescent="0.15">
      <c r="B1812"/>
    </row>
    <row r="1813" spans="2:2" x14ac:dyDescent="0.15">
      <c r="B1813"/>
    </row>
    <row r="1814" spans="2:2" x14ac:dyDescent="0.15">
      <c r="B1814"/>
    </row>
    <row r="1815" spans="2:2" x14ac:dyDescent="0.15">
      <c r="B1815"/>
    </row>
    <row r="1816" spans="2:2" x14ac:dyDescent="0.15">
      <c r="B1816"/>
    </row>
    <row r="1817" spans="2:2" x14ac:dyDescent="0.15">
      <c r="B1817"/>
    </row>
    <row r="1818" spans="2:2" x14ac:dyDescent="0.15">
      <c r="B1818"/>
    </row>
    <row r="1819" spans="2:2" x14ac:dyDescent="0.15">
      <c r="B1819"/>
    </row>
    <row r="1820" spans="2:2" x14ac:dyDescent="0.15">
      <c r="B1820"/>
    </row>
    <row r="1821" spans="2:2" x14ac:dyDescent="0.15">
      <c r="B1821"/>
    </row>
    <row r="1822" spans="2:2" x14ac:dyDescent="0.15">
      <c r="B1822"/>
    </row>
    <row r="1823" spans="2:2" x14ac:dyDescent="0.15">
      <c r="B1823"/>
    </row>
    <row r="1824" spans="2:2" x14ac:dyDescent="0.15">
      <c r="B1824"/>
    </row>
    <row r="1825" spans="2:2" x14ac:dyDescent="0.15">
      <c r="B1825"/>
    </row>
    <row r="1826" spans="2:2" x14ac:dyDescent="0.15">
      <c r="B1826"/>
    </row>
    <row r="1827" spans="2:2" x14ac:dyDescent="0.15">
      <c r="B1827"/>
    </row>
    <row r="1828" spans="2:2" x14ac:dyDescent="0.15">
      <c r="B1828"/>
    </row>
    <row r="1829" spans="2:2" x14ac:dyDescent="0.15">
      <c r="B1829"/>
    </row>
    <row r="1830" spans="2:2" x14ac:dyDescent="0.15">
      <c r="B1830"/>
    </row>
    <row r="1831" spans="2:2" x14ac:dyDescent="0.15">
      <c r="B1831"/>
    </row>
    <row r="1832" spans="2:2" x14ac:dyDescent="0.15">
      <c r="B1832"/>
    </row>
    <row r="1833" spans="2:2" x14ac:dyDescent="0.15">
      <c r="B1833"/>
    </row>
    <row r="1834" spans="2:2" x14ac:dyDescent="0.15">
      <c r="B1834"/>
    </row>
    <row r="1835" spans="2:2" x14ac:dyDescent="0.15">
      <c r="B1835"/>
    </row>
    <row r="1836" spans="2:2" x14ac:dyDescent="0.15">
      <c r="B1836"/>
    </row>
    <row r="1837" spans="2:2" x14ac:dyDescent="0.15">
      <c r="B1837"/>
    </row>
    <row r="1838" spans="2:2" x14ac:dyDescent="0.15">
      <c r="B1838"/>
    </row>
    <row r="1839" spans="2:2" x14ac:dyDescent="0.15">
      <c r="B1839"/>
    </row>
    <row r="1840" spans="2:2" x14ac:dyDescent="0.15">
      <c r="B1840"/>
    </row>
    <row r="1841" spans="2:2" x14ac:dyDescent="0.15">
      <c r="B1841"/>
    </row>
    <row r="1842" spans="2:2" x14ac:dyDescent="0.15">
      <c r="B1842"/>
    </row>
    <row r="1843" spans="2:2" x14ac:dyDescent="0.15">
      <c r="B1843"/>
    </row>
    <row r="1844" spans="2:2" x14ac:dyDescent="0.15">
      <c r="B1844"/>
    </row>
    <row r="1845" spans="2:2" x14ac:dyDescent="0.15">
      <c r="B1845"/>
    </row>
    <row r="1846" spans="2:2" x14ac:dyDescent="0.15">
      <c r="B1846"/>
    </row>
    <row r="1847" spans="2:2" x14ac:dyDescent="0.15">
      <c r="B1847"/>
    </row>
    <row r="1848" spans="2:2" x14ac:dyDescent="0.15">
      <c r="B1848"/>
    </row>
    <row r="1849" spans="2:2" x14ac:dyDescent="0.15">
      <c r="B1849"/>
    </row>
    <row r="1850" spans="2:2" x14ac:dyDescent="0.15">
      <c r="B1850"/>
    </row>
    <row r="1851" spans="2:2" x14ac:dyDescent="0.15">
      <c r="B1851"/>
    </row>
    <row r="1852" spans="2:2" x14ac:dyDescent="0.15">
      <c r="B1852"/>
    </row>
    <row r="1853" spans="2:2" x14ac:dyDescent="0.15">
      <c r="B1853"/>
    </row>
    <row r="1854" spans="2:2" x14ac:dyDescent="0.15">
      <c r="B1854"/>
    </row>
    <row r="1855" spans="2:2" x14ac:dyDescent="0.15">
      <c r="B1855"/>
    </row>
    <row r="1856" spans="2:2" x14ac:dyDescent="0.15">
      <c r="B1856"/>
    </row>
    <row r="1857" spans="2:2" x14ac:dyDescent="0.15">
      <c r="B1857"/>
    </row>
    <row r="1858" spans="2:2" x14ac:dyDescent="0.15">
      <c r="B1858"/>
    </row>
    <row r="1859" spans="2:2" x14ac:dyDescent="0.15">
      <c r="B1859"/>
    </row>
    <row r="1860" spans="2:2" x14ac:dyDescent="0.15">
      <c r="B1860"/>
    </row>
    <row r="1861" spans="2:2" x14ac:dyDescent="0.15">
      <c r="B1861"/>
    </row>
    <row r="1862" spans="2:2" x14ac:dyDescent="0.15">
      <c r="B1862"/>
    </row>
    <row r="1863" spans="2:2" x14ac:dyDescent="0.15">
      <c r="B1863"/>
    </row>
    <row r="1864" spans="2:2" x14ac:dyDescent="0.15">
      <c r="B1864"/>
    </row>
    <row r="1865" spans="2:2" x14ac:dyDescent="0.15">
      <c r="B1865"/>
    </row>
    <row r="1866" spans="2:2" x14ac:dyDescent="0.15">
      <c r="B1866"/>
    </row>
    <row r="1867" spans="2:2" x14ac:dyDescent="0.15">
      <c r="B1867"/>
    </row>
    <row r="1868" spans="2:2" x14ac:dyDescent="0.15">
      <c r="B1868"/>
    </row>
    <row r="1869" spans="2:2" x14ac:dyDescent="0.15">
      <c r="B1869"/>
    </row>
    <row r="1870" spans="2:2" x14ac:dyDescent="0.15">
      <c r="B1870"/>
    </row>
    <row r="1871" spans="2:2" x14ac:dyDescent="0.15">
      <c r="B1871"/>
    </row>
    <row r="1872" spans="2:2" x14ac:dyDescent="0.15">
      <c r="B1872"/>
    </row>
    <row r="1873" spans="2:2" x14ac:dyDescent="0.15">
      <c r="B1873"/>
    </row>
    <row r="1874" spans="2:2" x14ac:dyDescent="0.15">
      <c r="B1874"/>
    </row>
    <row r="1875" spans="2:2" x14ac:dyDescent="0.15">
      <c r="B1875"/>
    </row>
    <row r="1876" spans="2:2" x14ac:dyDescent="0.15">
      <c r="B1876"/>
    </row>
    <row r="1877" spans="2:2" x14ac:dyDescent="0.15">
      <c r="B1877"/>
    </row>
    <row r="1878" spans="2:2" x14ac:dyDescent="0.15">
      <c r="B1878"/>
    </row>
    <row r="1879" spans="2:2" x14ac:dyDescent="0.15">
      <c r="B1879"/>
    </row>
    <row r="1880" spans="2:2" x14ac:dyDescent="0.15">
      <c r="B1880"/>
    </row>
    <row r="1881" spans="2:2" x14ac:dyDescent="0.15">
      <c r="B1881"/>
    </row>
    <row r="1882" spans="2:2" x14ac:dyDescent="0.15">
      <c r="B1882"/>
    </row>
    <row r="1883" spans="2:2" x14ac:dyDescent="0.15">
      <c r="B1883"/>
    </row>
    <row r="1884" spans="2:2" x14ac:dyDescent="0.15">
      <c r="B1884"/>
    </row>
    <row r="1885" spans="2:2" x14ac:dyDescent="0.15">
      <c r="B1885"/>
    </row>
    <row r="1886" spans="2:2" x14ac:dyDescent="0.15">
      <c r="B1886"/>
    </row>
    <row r="1887" spans="2:2" x14ac:dyDescent="0.15">
      <c r="B1887"/>
    </row>
    <row r="1888" spans="2:2" x14ac:dyDescent="0.15">
      <c r="B1888"/>
    </row>
    <row r="1889" spans="2:2" x14ac:dyDescent="0.15">
      <c r="B1889"/>
    </row>
    <row r="1890" spans="2:2" x14ac:dyDescent="0.15">
      <c r="B1890"/>
    </row>
    <row r="1891" spans="2:2" x14ac:dyDescent="0.15">
      <c r="B1891"/>
    </row>
    <row r="1892" spans="2:2" x14ac:dyDescent="0.15">
      <c r="B1892"/>
    </row>
    <row r="1893" spans="2:2" x14ac:dyDescent="0.15">
      <c r="B1893"/>
    </row>
    <row r="1894" spans="2:2" x14ac:dyDescent="0.15">
      <c r="B1894"/>
    </row>
    <row r="1895" spans="2:2" x14ac:dyDescent="0.15">
      <c r="B1895"/>
    </row>
    <row r="1896" spans="2:2" x14ac:dyDescent="0.15">
      <c r="B1896"/>
    </row>
    <row r="1897" spans="2:2" x14ac:dyDescent="0.15">
      <c r="B1897"/>
    </row>
    <row r="1898" spans="2:2" x14ac:dyDescent="0.15">
      <c r="B1898"/>
    </row>
    <row r="1899" spans="2:2" x14ac:dyDescent="0.15">
      <c r="B1899"/>
    </row>
    <row r="1900" spans="2:2" x14ac:dyDescent="0.15">
      <c r="B1900"/>
    </row>
    <row r="1901" spans="2:2" x14ac:dyDescent="0.15">
      <c r="B1901"/>
    </row>
    <row r="1902" spans="2:2" x14ac:dyDescent="0.15">
      <c r="B1902"/>
    </row>
    <row r="1903" spans="2:2" x14ac:dyDescent="0.15">
      <c r="B1903"/>
    </row>
    <row r="1904" spans="2:2" x14ac:dyDescent="0.15">
      <c r="B1904"/>
    </row>
    <row r="1905" spans="2:2" x14ac:dyDescent="0.15">
      <c r="B1905"/>
    </row>
    <row r="1906" spans="2:2" x14ac:dyDescent="0.15">
      <c r="B1906"/>
    </row>
    <row r="1907" spans="2:2" x14ac:dyDescent="0.15">
      <c r="B1907"/>
    </row>
    <row r="1908" spans="2:2" x14ac:dyDescent="0.15">
      <c r="B1908"/>
    </row>
    <row r="1909" spans="2:2" x14ac:dyDescent="0.15">
      <c r="B1909"/>
    </row>
    <row r="1910" spans="2:2" x14ac:dyDescent="0.15">
      <c r="B1910"/>
    </row>
    <row r="1911" spans="2:2" x14ac:dyDescent="0.15">
      <c r="B1911"/>
    </row>
    <row r="1912" spans="2:2" x14ac:dyDescent="0.15">
      <c r="B1912"/>
    </row>
    <row r="1913" spans="2:2" x14ac:dyDescent="0.15">
      <c r="B1913"/>
    </row>
    <row r="1914" spans="2:2" x14ac:dyDescent="0.15">
      <c r="B1914"/>
    </row>
    <row r="1915" spans="2:2" x14ac:dyDescent="0.15">
      <c r="B1915"/>
    </row>
    <row r="1916" spans="2:2" x14ac:dyDescent="0.15">
      <c r="B1916"/>
    </row>
    <row r="1917" spans="2:2" x14ac:dyDescent="0.15">
      <c r="B1917"/>
    </row>
    <row r="1918" spans="2:2" x14ac:dyDescent="0.15">
      <c r="B1918"/>
    </row>
    <row r="1919" spans="2:2" x14ac:dyDescent="0.15">
      <c r="B1919"/>
    </row>
    <row r="1920" spans="2:2" x14ac:dyDescent="0.15">
      <c r="B1920"/>
    </row>
    <row r="1921" spans="2:2" x14ac:dyDescent="0.15">
      <c r="B1921"/>
    </row>
    <row r="1922" spans="2:2" x14ac:dyDescent="0.15">
      <c r="B1922"/>
    </row>
    <row r="1923" spans="2:2" x14ac:dyDescent="0.15">
      <c r="B1923"/>
    </row>
    <row r="1924" spans="2:2" x14ac:dyDescent="0.15">
      <c r="B1924"/>
    </row>
    <row r="1925" spans="2:2" x14ac:dyDescent="0.15">
      <c r="B1925"/>
    </row>
    <row r="1926" spans="2:2" x14ac:dyDescent="0.15">
      <c r="B1926"/>
    </row>
    <row r="1927" spans="2:2" x14ac:dyDescent="0.15">
      <c r="B1927"/>
    </row>
    <row r="1928" spans="2:2" x14ac:dyDescent="0.15">
      <c r="B1928"/>
    </row>
    <row r="1929" spans="2:2" x14ac:dyDescent="0.15">
      <c r="B1929"/>
    </row>
    <row r="1930" spans="2:2" x14ac:dyDescent="0.15">
      <c r="B1930"/>
    </row>
    <row r="1931" spans="2:2" x14ac:dyDescent="0.15">
      <c r="B1931"/>
    </row>
    <row r="1932" spans="2:2" x14ac:dyDescent="0.15">
      <c r="B1932"/>
    </row>
    <row r="1933" spans="2:2" x14ac:dyDescent="0.15">
      <c r="B1933"/>
    </row>
    <row r="1934" spans="2:2" x14ac:dyDescent="0.15">
      <c r="B1934"/>
    </row>
    <row r="1935" spans="2:2" x14ac:dyDescent="0.15">
      <c r="B1935"/>
    </row>
    <row r="1936" spans="2:2" x14ac:dyDescent="0.15">
      <c r="B1936"/>
    </row>
    <row r="1937" spans="2:2" x14ac:dyDescent="0.15">
      <c r="B1937"/>
    </row>
    <row r="1938" spans="2:2" x14ac:dyDescent="0.15">
      <c r="B1938"/>
    </row>
    <row r="1939" spans="2:2" x14ac:dyDescent="0.15">
      <c r="B1939"/>
    </row>
    <row r="1940" spans="2:2" x14ac:dyDescent="0.15">
      <c r="B1940"/>
    </row>
    <row r="1941" spans="2:2" x14ac:dyDescent="0.15">
      <c r="B1941"/>
    </row>
    <row r="1942" spans="2:2" x14ac:dyDescent="0.15">
      <c r="B1942"/>
    </row>
    <row r="1943" spans="2:2" x14ac:dyDescent="0.15">
      <c r="B1943"/>
    </row>
    <row r="1944" spans="2:2" x14ac:dyDescent="0.15">
      <c r="B1944"/>
    </row>
    <row r="1945" spans="2:2" x14ac:dyDescent="0.15">
      <c r="B1945"/>
    </row>
    <row r="1946" spans="2:2" x14ac:dyDescent="0.15">
      <c r="B1946"/>
    </row>
    <row r="1947" spans="2:2" x14ac:dyDescent="0.15">
      <c r="B1947"/>
    </row>
    <row r="1948" spans="2:2" x14ac:dyDescent="0.15">
      <c r="B1948"/>
    </row>
    <row r="1949" spans="2:2" x14ac:dyDescent="0.15">
      <c r="B1949"/>
    </row>
    <row r="1950" spans="2:2" x14ac:dyDescent="0.15">
      <c r="B1950"/>
    </row>
    <row r="1951" spans="2:2" x14ac:dyDescent="0.15">
      <c r="B1951"/>
    </row>
    <row r="1952" spans="2:2" x14ac:dyDescent="0.15">
      <c r="B1952"/>
    </row>
    <row r="1953" spans="2:2" x14ac:dyDescent="0.15">
      <c r="B1953"/>
    </row>
    <row r="1954" spans="2:2" x14ac:dyDescent="0.15">
      <c r="B1954"/>
    </row>
    <row r="1955" spans="2:2" x14ac:dyDescent="0.15">
      <c r="B1955"/>
    </row>
    <row r="1956" spans="2:2" x14ac:dyDescent="0.15">
      <c r="B1956"/>
    </row>
    <row r="1957" spans="2:2" x14ac:dyDescent="0.15">
      <c r="B1957"/>
    </row>
    <row r="1958" spans="2:2" x14ac:dyDescent="0.15">
      <c r="B1958"/>
    </row>
    <row r="1959" spans="2:2" x14ac:dyDescent="0.15">
      <c r="B1959"/>
    </row>
    <row r="1960" spans="2:2" x14ac:dyDescent="0.15">
      <c r="B1960"/>
    </row>
    <row r="1961" spans="2:2" x14ac:dyDescent="0.15">
      <c r="B1961"/>
    </row>
    <row r="1962" spans="2:2" x14ac:dyDescent="0.15">
      <c r="B1962"/>
    </row>
    <row r="1963" spans="2:2" x14ac:dyDescent="0.15">
      <c r="B1963"/>
    </row>
    <row r="1964" spans="2:2" x14ac:dyDescent="0.15">
      <c r="B1964"/>
    </row>
    <row r="1965" spans="2:2" x14ac:dyDescent="0.15">
      <c r="B1965"/>
    </row>
    <row r="1966" spans="2:2" x14ac:dyDescent="0.15">
      <c r="B1966"/>
    </row>
    <row r="1967" spans="2:2" x14ac:dyDescent="0.15">
      <c r="B1967"/>
    </row>
    <row r="1968" spans="2:2" x14ac:dyDescent="0.15">
      <c r="B1968"/>
    </row>
    <row r="1969" spans="2:2" x14ac:dyDescent="0.15">
      <c r="B1969"/>
    </row>
    <row r="1970" spans="2:2" x14ac:dyDescent="0.15">
      <c r="B1970"/>
    </row>
    <row r="1971" spans="2:2" x14ac:dyDescent="0.15">
      <c r="B1971"/>
    </row>
    <row r="1972" spans="2:2" x14ac:dyDescent="0.15">
      <c r="B1972"/>
    </row>
    <row r="1973" spans="2:2" x14ac:dyDescent="0.15">
      <c r="B1973"/>
    </row>
    <row r="1974" spans="2:2" x14ac:dyDescent="0.15">
      <c r="B1974"/>
    </row>
    <row r="1975" spans="2:2" x14ac:dyDescent="0.15">
      <c r="B1975"/>
    </row>
    <row r="1976" spans="2:2" x14ac:dyDescent="0.15">
      <c r="B1976"/>
    </row>
    <row r="1977" spans="2:2" x14ac:dyDescent="0.15">
      <c r="B1977"/>
    </row>
    <row r="1978" spans="2:2" x14ac:dyDescent="0.15">
      <c r="B1978"/>
    </row>
    <row r="1979" spans="2:2" x14ac:dyDescent="0.15">
      <c r="B1979"/>
    </row>
    <row r="1980" spans="2:2" x14ac:dyDescent="0.15">
      <c r="B1980"/>
    </row>
    <row r="1981" spans="2:2" x14ac:dyDescent="0.15">
      <c r="B1981"/>
    </row>
    <row r="1982" spans="2:2" x14ac:dyDescent="0.15">
      <c r="B1982"/>
    </row>
    <row r="1983" spans="2:2" x14ac:dyDescent="0.15">
      <c r="B1983"/>
    </row>
    <row r="1984" spans="2:2" x14ac:dyDescent="0.15">
      <c r="B1984"/>
    </row>
    <row r="1985" spans="2:2" x14ac:dyDescent="0.15">
      <c r="B1985"/>
    </row>
    <row r="1986" spans="2:2" x14ac:dyDescent="0.15">
      <c r="B1986"/>
    </row>
    <row r="1987" spans="2:2" x14ac:dyDescent="0.15">
      <c r="B1987"/>
    </row>
    <row r="1988" spans="2:2" x14ac:dyDescent="0.15">
      <c r="B1988"/>
    </row>
    <row r="1989" spans="2:2" x14ac:dyDescent="0.15">
      <c r="B1989"/>
    </row>
    <row r="1990" spans="2:2" x14ac:dyDescent="0.15">
      <c r="B1990"/>
    </row>
    <row r="1991" spans="2:2" x14ac:dyDescent="0.15">
      <c r="B1991"/>
    </row>
    <row r="1992" spans="2:2" x14ac:dyDescent="0.15">
      <c r="B1992"/>
    </row>
    <row r="1993" spans="2:2" x14ac:dyDescent="0.15">
      <c r="B1993"/>
    </row>
    <row r="1994" spans="2:2" x14ac:dyDescent="0.15">
      <c r="B1994"/>
    </row>
    <row r="1995" spans="2:2" x14ac:dyDescent="0.15">
      <c r="B1995"/>
    </row>
    <row r="1996" spans="2:2" x14ac:dyDescent="0.15">
      <c r="B1996"/>
    </row>
    <row r="1997" spans="2:2" x14ac:dyDescent="0.15">
      <c r="B1997"/>
    </row>
    <row r="1998" spans="2:2" x14ac:dyDescent="0.15">
      <c r="B1998"/>
    </row>
    <row r="1999" spans="2:2" x14ac:dyDescent="0.15">
      <c r="B1999"/>
    </row>
    <row r="2000" spans="2:2" x14ac:dyDescent="0.15">
      <c r="B2000"/>
    </row>
    <row r="2001" spans="2:2" x14ac:dyDescent="0.15">
      <c r="B2001"/>
    </row>
    <row r="2002" spans="2:2" x14ac:dyDescent="0.15">
      <c r="B2002"/>
    </row>
    <row r="2003" spans="2:2" x14ac:dyDescent="0.15">
      <c r="B2003"/>
    </row>
    <row r="2004" spans="2:2" x14ac:dyDescent="0.15">
      <c r="B2004"/>
    </row>
    <row r="2005" spans="2:2" x14ac:dyDescent="0.15">
      <c r="B2005"/>
    </row>
    <row r="2006" spans="2:2" x14ac:dyDescent="0.15">
      <c r="B2006"/>
    </row>
    <row r="2007" spans="2:2" x14ac:dyDescent="0.15">
      <c r="B2007"/>
    </row>
    <row r="2008" spans="2:2" x14ac:dyDescent="0.15">
      <c r="B2008"/>
    </row>
    <row r="2009" spans="2:2" x14ac:dyDescent="0.15">
      <c r="B2009"/>
    </row>
    <row r="2010" spans="2:2" x14ac:dyDescent="0.15">
      <c r="B2010"/>
    </row>
    <row r="2011" spans="2:2" x14ac:dyDescent="0.15">
      <c r="B2011"/>
    </row>
    <row r="2012" spans="2:2" x14ac:dyDescent="0.15">
      <c r="B2012"/>
    </row>
    <row r="2013" spans="2:2" x14ac:dyDescent="0.15">
      <c r="B2013"/>
    </row>
    <row r="2014" spans="2:2" x14ac:dyDescent="0.15">
      <c r="B2014"/>
    </row>
    <row r="2015" spans="2:2" x14ac:dyDescent="0.15">
      <c r="B2015"/>
    </row>
    <row r="2016" spans="2:2" x14ac:dyDescent="0.15">
      <c r="B2016"/>
    </row>
    <row r="2017" spans="2:2" x14ac:dyDescent="0.15">
      <c r="B2017"/>
    </row>
    <row r="2018" spans="2:2" x14ac:dyDescent="0.15">
      <c r="B2018"/>
    </row>
    <row r="2019" spans="2:2" x14ac:dyDescent="0.15">
      <c r="B2019"/>
    </row>
    <row r="2020" spans="2:2" x14ac:dyDescent="0.15">
      <c r="B2020"/>
    </row>
    <row r="2021" spans="2:2" x14ac:dyDescent="0.15">
      <c r="B2021"/>
    </row>
    <row r="2022" spans="2:2" x14ac:dyDescent="0.15">
      <c r="B2022"/>
    </row>
    <row r="2023" spans="2:2" x14ac:dyDescent="0.15">
      <c r="B2023"/>
    </row>
    <row r="2024" spans="2:2" x14ac:dyDescent="0.15">
      <c r="B2024"/>
    </row>
    <row r="2025" spans="2:2" x14ac:dyDescent="0.15">
      <c r="B2025"/>
    </row>
    <row r="2026" spans="2:2" x14ac:dyDescent="0.15">
      <c r="B2026"/>
    </row>
    <row r="2027" spans="2:2" x14ac:dyDescent="0.15">
      <c r="B2027"/>
    </row>
    <row r="2028" spans="2:2" x14ac:dyDescent="0.15">
      <c r="B2028"/>
    </row>
    <row r="2029" spans="2:2" x14ac:dyDescent="0.15">
      <c r="B2029"/>
    </row>
    <row r="2030" spans="2:2" x14ac:dyDescent="0.15">
      <c r="B2030"/>
    </row>
    <row r="2031" spans="2:2" x14ac:dyDescent="0.15">
      <c r="B2031"/>
    </row>
    <row r="2032" spans="2:2" x14ac:dyDescent="0.15">
      <c r="B2032"/>
    </row>
    <row r="2033" spans="2:2" x14ac:dyDescent="0.15">
      <c r="B2033"/>
    </row>
    <row r="2034" spans="2:2" x14ac:dyDescent="0.15">
      <c r="B2034"/>
    </row>
    <row r="2035" spans="2:2" x14ac:dyDescent="0.15">
      <c r="B2035"/>
    </row>
    <row r="2036" spans="2:2" x14ac:dyDescent="0.15">
      <c r="B2036"/>
    </row>
    <row r="2037" spans="2:2" x14ac:dyDescent="0.15">
      <c r="B2037"/>
    </row>
    <row r="2038" spans="2:2" x14ac:dyDescent="0.15">
      <c r="B2038"/>
    </row>
    <row r="2039" spans="2:2" x14ac:dyDescent="0.15">
      <c r="B2039"/>
    </row>
    <row r="2040" spans="2:2" x14ac:dyDescent="0.15">
      <c r="B2040"/>
    </row>
    <row r="2041" spans="2:2" x14ac:dyDescent="0.15">
      <c r="B2041"/>
    </row>
    <row r="2042" spans="2:2" x14ac:dyDescent="0.15">
      <c r="B2042"/>
    </row>
    <row r="2043" spans="2:2" x14ac:dyDescent="0.15">
      <c r="B2043"/>
    </row>
    <row r="2044" spans="2:2" x14ac:dyDescent="0.15">
      <c r="B2044"/>
    </row>
    <row r="2045" spans="2:2" x14ac:dyDescent="0.15">
      <c r="B2045"/>
    </row>
    <row r="2046" spans="2:2" x14ac:dyDescent="0.15">
      <c r="B2046"/>
    </row>
    <row r="2047" spans="2:2" x14ac:dyDescent="0.15">
      <c r="B2047"/>
    </row>
    <row r="2048" spans="2:2" x14ac:dyDescent="0.15">
      <c r="B2048"/>
    </row>
    <row r="2049" spans="2:2" x14ac:dyDescent="0.15">
      <c r="B2049"/>
    </row>
    <row r="2050" spans="2:2" x14ac:dyDescent="0.15">
      <c r="B2050"/>
    </row>
    <row r="2051" spans="2:2" x14ac:dyDescent="0.15">
      <c r="B2051"/>
    </row>
    <row r="2052" spans="2:2" x14ac:dyDescent="0.15">
      <c r="B2052"/>
    </row>
    <row r="2053" spans="2:2" x14ac:dyDescent="0.15">
      <c r="B2053"/>
    </row>
    <row r="2054" spans="2:2" x14ac:dyDescent="0.15">
      <c r="B2054"/>
    </row>
    <row r="2055" spans="2:2" x14ac:dyDescent="0.15">
      <c r="B2055"/>
    </row>
    <row r="2056" spans="2:2" x14ac:dyDescent="0.15">
      <c r="B2056"/>
    </row>
    <row r="2057" spans="2:2" x14ac:dyDescent="0.15">
      <c r="B2057"/>
    </row>
    <row r="2058" spans="2:2" x14ac:dyDescent="0.15">
      <c r="B2058"/>
    </row>
    <row r="2059" spans="2:2" x14ac:dyDescent="0.15">
      <c r="B2059"/>
    </row>
  </sheetData>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用户</cp:lastModifiedBy>
  <dcterms:created xsi:type="dcterms:W3CDTF">2019-04-25T21:45:57Z</dcterms:created>
  <dcterms:modified xsi:type="dcterms:W3CDTF">2019-04-25T14:09:06Z</dcterms:modified>
</cp:coreProperties>
</file>