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8c466b4ee134a6a/Land Business/Gonzales/"/>
    </mc:Choice>
  </mc:AlternateContent>
  <xr:revisionPtr revIDLastSave="38" documentId="8_{060D5A2F-CB5E-486A-BD7A-961C8EF9F168}" xr6:coauthVersionLast="45" xr6:coauthVersionMax="45" xr10:uidLastSave="{F696F24C-25FA-4F43-B959-1648962BFA07}"/>
  <bookViews>
    <workbookView xWindow="-108" yWindow="-108" windowWidth="23256" windowHeight="12576" xr2:uid="{A3DE4D7A-B237-4AA5-B57D-875CA5F295E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J185" i="1" l="1"/>
  <c r="EJ184" i="1"/>
  <c r="EJ183" i="1"/>
  <c r="EJ182" i="1"/>
  <c r="EJ181" i="1"/>
  <c r="EJ180" i="1"/>
  <c r="EJ179" i="1"/>
  <c r="EJ178" i="1"/>
  <c r="EJ177" i="1"/>
  <c r="EJ176" i="1"/>
  <c r="EJ175" i="1"/>
  <c r="EJ174" i="1"/>
  <c r="EJ173" i="1"/>
  <c r="EJ172" i="1"/>
  <c r="EJ171" i="1"/>
  <c r="EJ170" i="1"/>
  <c r="EJ169" i="1"/>
  <c r="EJ168" i="1"/>
  <c r="EJ167" i="1"/>
  <c r="EJ166" i="1"/>
  <c r="EJ165" i="1"/>
  <c r="EJ164" i="1"/>
  <c r="EJ163" i="1"/>
  <c r="EJ162" i="1"/>
  <c r="EJ161" i="1"/>
  <c r="EJ160" i="1"/>
  <c r="EJ159" i="1"/>
  <c r="EJ158" i="1"/>
  <c r="EJ157" i="1"/>
  <c r="EJ156" i="1"/>
  <c r="EJ155" i="1"/>
  <c r="EJ154" i="1"/>
  <c r="EJ153" i="1"/>
  <c r="EJ152" i="1"/>
  <c r="EJ151" i="1"/>
  <c r="EJ150" i="1"/>
  <c r="EJ149" i="1"/>
  <c r="EJ148" i="1"/>
  <c r="EJ147" i="1"/>
  <c r="EJ146" i="1"/>
  <c r="EJ145" i="1"/>
  <c r="EJ144" i="1"/>
  <c r="EJ143" i="1"/>
  <c r="EJ142" i="1"/>
  <c r="EJ141" i="1"/>
  <c r="EJ140" i="1"/>
  <c r="EJ139" i="1"/>
  <c r="EJ138" i="1"/>
  <c r="EJ137" i="1"/>
  <c r="EJ136" i="1"/>
  <c r="EJ135" i="1"/>
  <c r="EJ134" i="1"/>
  <c r="EJ133" i="1"/>
  <c r="EJ132" i="1"/>
  <c r="EJ131" i="1"/>
  <c r="EJ130" i="1"/>
  <c r="EJ129" i="1"/>
  <c r="EJ128" i="1"/>
  <c r="EJ127" i="1"/>
  <c r="EJ126" i="1"/>
  <c r="EJ125" i="1"/>
  <c r="EJ124" i="1"/>
  <c r="EJ123" i="1"/>
  <c r="EJ122" i="1"/>
  <c r="EJ121" i="1"/>
  <c r="EJ120" i="1"/>
  <c r="EJ119" i="1"/>
  <c r="EJ118" i="1"/>
  <c r="EJ117" i="1"/>
  <c r="EJ116" i="1"/>
  <c r="EJ115" i="1"/>
  <c r="EJ114" i="1"/>
  <c r="EJ113" i="1"/>
  <c r="EJ112" i="1"/>
  <c r="EJ111" i="1"/>
  <c r="EJ110" i="1"/>
  <c r="EJ109" i="1"/>
  <c r="EJ108" i="1"/>
  <c r="EJ107" i="1"/>
  <c r="EJ106" i="1"/>
  <c r="EJ105" i="1"/>
  <c r="EJ104" i="1"/>
  <c r="EJ103" i="1"/>
  <c r="EJ102" i="1"/>
  <c r="EJ101" i="1"/>
  <c r="EJ100" i="1"/>
  <c r="EJ99" i="1"/>
  <c r="EJ98" i="1"/>
  <c r="EJ97" i="1"/>
  <c r="EJ96" i="1"/>
  <c r="EJ95" i="1"/>
  <c r="EJ94" i="1"/>
  <c r="EJ93" i="1"/>
  <c r="EJ92" i="1"/>
  <c r="EJ91" i="1"/>
  <c r="EJ90" i="1"/>
  <c r="EJ89" i="1"/>
  <c r="EJ88" i="1"/>
  <c r="EJ87" i="1"/>
  <c r="EJ86" i="1"/>
  <c r="EJ85" i="1"/>
  <c r="EJ84" i="1"/>
  <c r="EJ83" i="1"/>
  <c r="EJ82" i="1"/>
  <c r="EJ81" i="1"/>
  <c r="EJ80" i="1"/>
  <c r="EJ79" i="1"/>
  <c r="EJ78" i="1"/>
  <c r="EJ77" i="1"/>
  <c r="EJ76" i="1"/>
  <c r="EJ75" i="1"/>
  <c r="EJ74" i="1"/>
  <c r="EJ73" i="1"/>
  <c r="EJ72" i="1"/>
  <c r="EJ71" i="1"/>
  <c r="EJ70" i="1"/>
  <c r="EJ69" i="1"/>
  <c r="EJ68" i="1"/>
  <c r="EJ67" i="1"/>
  <c r="EJ66" i="1"/>
  <c r="EJ65" i="1"/>
  <c r="EJ64" i="1"/>
  <c r="EJ63" i="1"/>
  <c r="EJ62" i="1"/>
  <c r="EJ61" i="1"/>
  <c r="EJ60" i="1"/>
  <c r="EJ59" i="1"/>
  <c r="EJ58" i="1"/>
  <c r="EJ57" i="1"/>
  <c r="EJ56" i="1"/>
  <c r="EJ55" i="1"/>
  <c r="EJ54" i="1"/>
  <c r="EJ53" i="1"/>
  <c r="EJ52" i="1"/>
  <c r="EJ51" i="1"/>
  <c r="EJ50" i="1"/>
  <c r="EJ49" i="1"/>
  <c r="EJ48" i="1"/>
  <c r="EJ47" i="1"/>
  <c r="EJ46" i="1"/>
  <c r="EJ45" i="1"/>
  <c r="EJ44" i="1"/>
  <c r="EJ43" i="1"/>
  <c r="EJ42" i="1"/>
  <c r="EJ41" i="1"/>
  <c r="EJ40" i="1"/>
  <c r="EJ39" i="1"/>
  <c r="EJ38" i="1"/>
  <c r="EJ37" i="1"/>
  <c r="EJ36" i="1"/>
  <c r="EJ35" i="1"/>
  <c r="EJ34" i="1"/>
  <c r="EJ33" i="1"/>
  <c r="EJ32" i="1"/>
  <c r="EJ31" i="1"/>
  <c r="EJ30" i="1"/>
  <c r="EJ29" i="1"/>
  <c r="EJ28" i="1"/>
  <c r="EJ27" i="1"/>
  <c r="EJ26" i="1"/>
  <c r="EJ25" i="1"/>
  <c r="EJ24" i="1"/>
  <c r="EJ23" i="1"/>
  <c r="EJ22" i="1"/>
  <c r="EJ21" i="1"/>
  <c r="EJ20" i="1"/>
  <c r="EJ19" i="1"/>
  <c r="EJ18" i="1"/>
  <c r="EJ17" i="1"/>
  <c r="EJ16" i="1"/>
  <c r="EJ15" i="1"/>
  <c r="EJ14" i="1"/>
  <c r="EJ13" i="1"/>
  <c r="EJ12" i="1"/>
  <c r="EJ11" i="1"/>
  <c r="EJ10" i="1"/>
  <c r="EJ9" i="1"/>
  <c r="EJ8" i="1"/>
  <c r="EJ7" i="1"/>
  <c r="EJ6" i="1"/>
  <c r="EJ5" i="1"/>
  <c r="EJ4" i="1"/>
  <c r="EJ3" i="1"/>
  <c r="EJ2" i="1"/>
  <c r="EI152" i="1"/>
  <c r="EI151" i="1"/>
  <c r="EI150" i="1"/>
  <c r="EI149" i="1"/>
  <c r="EI148" i="1"/>
  <c r="EI147" i="1"/>
  <c r="EI146" i="1"/>
  <c r="EI145" i="1"/>
  <c r="EI144" i="1"/>
  <c r="EI143" i="1"/>
  <c r="EI142" i="1"/>
  <c r="EI141" i="1"/>
  <c r="EI140" i="1"/>
  <c r="EI139" i="1"/>
  <c r="EI138" i="1"/>
  <c r="EI137" i="1"/>
  <c r="EI136" i="1"/>
  <c r="EI135" i="1"/>
  <c r="EI134" i="1"/>
  <c r="EI133" i="1"/>
  <c r="EI132" i="1"/>
  <c r="EI131" i="1"/>
  <c r="EI130" i="1"/>
  <c r="EI129" i="1"/>
  <c r="EI128" i="1"/>
  <c r="EI127" i="1"/>
  <c r="EI126" i="1"/>
  <c r="EI101" i="1"/>
  <c r="EI102" i="1"/>
  <c r="EI103" i="1"/>
  <c r="EI104" i="1"/>
  <c r="EI105" i="1"/>
  <c r="EI106" i="1"/>
  <c r="EI107" i="1"/>
  <c r="EI108" i="1"/>
  <c r="EI109" i="1"/>
  <c r="EI110" i="1"/>
  <c r="EI111" i="1"/>
  <c r="EI112" i="1"/>
  <c r="EI113" i="1"/>
  <c r="EI114" i="1"/>
  <c r="EI115" i="1"/>
  <c r="EI116" i="1"/>
  <c r="EI117" i="1"/>
  <c r="EI118" i="1"/>
  <c r="EI119" i="1"/>
  <c r="EI120" i="1"/>
  <c r="EI121" i="1"/>
  <c r="EI122" i="1"/>
  <c r="EI123" i="1"/>
  <c r="EI124" i="1"/>
  <c r="EI125" i="1"/>
  <c r="EI62" i="1"/>
  <c r="EI61" i="1"/>
  <c r="EI60" i="1"/>
  <c r="EI59" i="1"/>
  <c r="EI58" i="1"/>
  <c r="EI57" i="1"/>
  <c r="EI56" i="1"/>
  <c r="EI55" i="1"/>
  <c r="EI54" i="1"/>
  <c r="EI53" i="1"/>
  <c r="EI52" i="1"/>
  <c r="EI51" i="1"/>
  <c r="EI50" i="1"/>
  <c r="EI49" i="1"/>
  <c r="EI48" i="1"/>
  <c r="EI47" i="1"/>
  <c r="EI46" i="1"/>
  <c r="EI45" i="1"/>
  <c r="EI44" i="1"/>
  <c r="EI43" i="1"/>
  <c r="EI42" i="1"/>
  <c r="EI41" i="1"/>
  <c r="EI40" i="1"/>
  <c r="EI39" i="1"/>
  <c r="EI38" i="1"/>
  <c r="EI37" i="1"/>
  <c r="EI36" i="1"/>
  <c r="EI35" i="1"/>
  <c r="EI34" i="1"/>
  <c r="EI33" i="1"/>
  <c r="EI32" i="1"/>
  <c r="EI31" i="1"/>
  <c r="EI30" i="1"/>
  <c r="EI29" i="1"/>
  <c r="EI28" i="1"/>
  <c r="EI27" i="1"/>
  <c r="EI26" i="1"/>
  <c r="EI25" i="1"/>
  <c r="EI24" i="1"/>
  <c r="EI23" i="1"/>
  <c r="EI22" i="1"/>
  <c r="EI21" i="1"/>
  <c r="EI20" i="1"/>
  <c r="EI19" i="1"/>
  <c r="EI18" i="1"/>
  <c r="EI17" i="1"/>
  <c r="EI16" i="1"/>
  <c r="EI15" i="1"/>
  <c r="EI14" i="1"/>
  <c r="EI13" i="1"/>
  <c r="EI12" i="1"/>
  <c r="EI11" i="1"/>
  <c r="EI10" i="1"/>
  <c r="EI9" i="1"/>
  <c r="EI8" i="1"/>
  <c r="EI7" i="1"/>
  <c r="EI6" i="1"/>
  <c r="EI5" i="1"/>
  <c r="EI4" i="1"/>
  <c r="EI3" i="1"/>
  <c r="EI2" i="1"/>
  <c r="IA71" i="1"/>
  <c r="HZ71" i="1"/>
  <c r="HP71" i="1"/>
  <c r="HK71" i="1"/>
  <c r="HF71" i="1"/>
  <c r="GT71" i="1"/>
  <c r="GS71" i="1"/>
  <c r="FB71" i="1"/>
  <c r="CA71" i="1"/>
  <c r="BD71" i="1"/>
  <c r="BC71" i="1"/>
  <c r="BB71" i="1"/>
  <c r="AV71" i="1"/>
  <c r="AG71" i="1"/>
  <c r="AF71" i="1"/>
  <c r="IA145" i="1"/>
  <c r="HZ145" i="1"/>
  <c r="HP145" i="1"/>
  <c r="HK145" i="1"/>
  <c r="HF145" i="1"/>
  <c r="GT145" i="1"/>
  <c r="GS145" i="1"/>
  <c r="FB145" i="1"/>
  <c r="CA145" i="1"/>
  <c r="BD145" i="1"/>
  <c r="BC145" i="1"/>
  <c r="BB145" i="1"/>
  <c r="AV145" i="1"/>
  <c r="AG145" i="1"/>
  <c r="AF145" i="1"/>
  <c r="IA67" i="1"/>
  <c r="HZ67" i="1"/>
  <c r="HP67" i="1"/>
  <c r="HK67" i="1"/>
  <c r="HF67" i="1"/>
  <c r="GT67" i="1"/>
  <c r="GS67" i="1"/>
  <c r="FB67" i="1"/>
  <c r="CA67" i="1"/>
  <c r="BD67" i="1"/>
  <c r="BC67" i="1"/>
  <c r="BB67" i="1"/>
  <c r="AV67" i="1"/>
  <c r="AG67" i="1"/>
  <c r="AF67" i="1"/>
  <c r="IA29" i="1"/>
  <c r="HZ29" i="1"/>
  <c r="HP29" i="1"/>
  <c r="HK29" i="1"/>
  <c r="HF29" i="1"/>
  <c r="GT29" i="1"/>
  <c r="GS29" i="1"/>
  <c r="FB29" i="1"/>
  <c r="CA29" i="1"/>
  <c r="BD29" i="1"/>
  <c r="BC29" i="1"/>
  <c r="BB29" i="1"/>
  <c r="AV29" i="1"/>
  <c r="AG29" i="1"/>
  <c r="AF29" i="1"/>
  <c r="IA158" i="1"/>
  <c r="HZ158" i="1"/>
  <c r="HP158" i="1"/>
  <c r="HK158" i="1"/>
  <c r="HF158" i="1"/>
  <c r="GT158" i="1"/>
  <c r="GS158" i="1"/>
  <c r="FB158" i="1"/>
  <c r="CA158" i="1"/>
  <c r="BD158" i="1"/>
  <c r="BC158" i="1"/>
  <c r="BB158" i="1"/>
  <c r="AV158" i="1"/>
  <c r="AG158" i="1"/>
  <c r="AF158" i="1"/>
  <c r="IA143" i="1"/>
  <c r="HZ143" i="1"/>
  <c r="HP143" i="1"/>
  <c r="HK143" i="1"/>
  <c r="HF143" i="1"/>
  <c r="GT143" i="1"/>
  <c r="GS143" i="1"/>
  <c r="FB143" i="1"/>
  <c r="CA143" i="1"/>
  <c r="BD143" i="1"/>
  <c r="BC143" i="1"/>
  <c r="BB143" i="1"/>
  <c r="AV143" i="1"/>
  <c r="AG143" i="1"/>
  <c r="AF143" i="1"/>
  <c r="IA148" i="1"/>
  <c r="HZ148" i="1"/>
  <c r="HP148" i="1"/>
  <c r="HK148" i="1"/>
  <c r="HF148" i="1"/>
  <c r="GT148" i="1"/>
  <c r="GS148" i="1"/>
  <c r="FB148" i="1"/>
  <c r="CA148" i="1"/>
  <c r="BD148" i="1"/>
  <c r="BC148" i="1"/>
  <c r="BB148" i="1"/>
  <c r="AV148" i="1"/>
  <c r="AG148" i="1"/>
  <c r="AF148" i="1"/>
  <c r="IA74" i="1"/>
  <c r="HZ74" i="1"/>
  <c r="HP74" i="1"/>
  <c r="HK74" i="1"/>
  <c r="HF74" i="1"/>
  <c r="GT74" i="1"/>
  <c r="GS74" i="1"/>
  <c r="FB74" i="1"/>
  <c r="CA74" i="1"/>
  <c r="BD74" i="1"/>
  <c r="BC74" i="1"/>
  <c r="BB74" i="1"/>
  <c r="AV74" i="1"/>
  <c r="AG74" i="1"/>
  <c r="AF74" i="1"/>
  <c r="IA75" i="1"/>
  <c r="HZ75" i="1"/>
  <c r="HP75" i="1"/>
  <c r="HK75" i="1"/>
  <c r="HF75" i="1"/>
  <c r="GT75" i="1"/>
  <c r="GS75" i="1"/>
  <c r="FB75" i="1"/>
  <c r="CA75" i="1"/>
  <c r="BD75" i="1"/>
  <c r="BC75" i="1"/>
  <c r="BB75" i="1"/>
  <c r="AV75" i="1"/>
  <c r="AG75" i="1"/>
  <c r="AF75" i="1"/>
  <c r="IA72" i="1"/>
  <c r="HZ72" i="1"/>
  <c r="HP72" i="1"/>
  <c r="HK72" i="1"/>
  <c r="HF72" i="1"/>
  <c r="GT72" i="1"/>
  <c r="GS72" i="1"/>
  <c r="FB72" i="1"/>
  <c r="CA72" i="1"/>
  <c r="BD72" i="1"/>
  <c r="BC72" i="1"/>
  <c r="BB72" i="1"/>
  <c r="AV72" i="1"/>
  <c r="AG72" i="1"/>
  <c r="AF72" i="1"/>
  <c r="IA70" i="1"/>
  <c r="HZ70" i="1"/>
  <c r="HP70" i="1"/>
  <c r="HK70" i="1"/>
  <c r="HF70" i="1"/>
  <c r="GT70" i="1"/>
  <c r="GS70" i="1"/>
  <c r="FB70" i="1"/>
  <c r="CA70" i="1"/>
  <c r="BD70" i="1"/>
  <c r="BC70" i="1"/>
  <c r="BB70" i="1"/>
  <c r="AV70" i="1"/>
  <c r="AG70" i="1"/>
  <c r="AF70" i="1"/>
  <c r="IA181" i="1"/>
  <c r="HZ181" i="1"/>
  <c r="HP181" i="1"/>
  <c r="HK181" i="1"/>
  <c r="HF181" i="1"/>
  <c r="GT181" i="1"/>
  <c r="GS181" i="1"/>
  <c r="FB181" i="1"/>
  <c r="CA181" i="1"/>
  <c r="BD181" i="1"/>
  <c r="BC181" i="1"/>
  <c r="BB181" i="1"/>
  <c r="AV181" i="1"/>
  <c r="AG181" i="1"/>
  <c r="AF181" i="1"/>
  <c r="IA69" i="1"/>
  <c r="HZ69" i="1"/>
  <c r="HP69" i="1"/>
  <c r="HK69" i="1"/>
  <c r="HF69" i="1"/>
  <c r="GT69" i="1"/>
  <c r="GS69" i="1"/>
  <c r="FB69" i="1"/>
  <c r="CA69" i="1"/>
  <c r="BD69" i="1"/>
  <c r="BC69" i="1"/>
  <c r="BB69" i="1"/>
  <c r="AG69" i="1"/>
  <c r="AF69" i="1"/>
  <c r="IA82" i="1"/>
  <c r="HZ82" i="1"/>
  <c r="HP82" i="1"/>
  <c r="HK82" i="1"/>
  <c r="HF82" i="1"/>
  <c r="GT82" i="1"/>
  <c r="GS82" i="1"/>
  <c r="FB82" i="1"/>
  <c r="CA82" i="1"/>
  <c r="BD82" i="1"/>
  <c r="BC82" i="1"/>
  <c r="BB82" i="1"/>
  <c r="AV82" i="1"/>
  <c r="AG82" i="1"/>
  <c r="AF82" i="1"/>
  <c r="IA66" i="1"/>
  <c r="HZ66" i="1"/>
  <c r="HP66" i="1"/>
  <c r="HK66" i="1"/>
  <c r="HF66" i="1"/>
  <c r="GT66" i="1"/>
  <c r="GS66" i="1"/>
  <c r="FB66" i="1"/>
  <c r="CA66" i="1"/>
  <c r="BD66" i="1"/>
  <c r="BC66" i="1"/>
  <c r="BB66" i="1"/>
  <c r="AV66" i="1"/>
  <c r="AG66" i="1"/>
  <c r="AF66" i="1"/>
  <c r="IA65" i="1"/>
  <c r="HZ65" i="1"/>
  <c r="HP65" i="1"/>
  <c r="HK65" i="1"/>
  <c r="HF65" i="1"/>
  <c r="GT65" i="1"/>
  <c r="GS65" i="1"/>
  <c r="FB65" i="1"/>
  <c r="CA65" i="1"/>
  <c r="BD65" i="1"/>
  <c r="BC65" i="1"/>
  <c r="BB65" i="1"/>
  <c r="AV65" i="1"/>
  <c r="AG65" i="1"/>
  <c r="AF65" i="1"/>
  <c r="IA139" i="1"/>
  <c r="HZ139" i="1"/>
  <c r="HP139" i="1"/>
  <c r="HK139" i="1"/>
  <c r="HF139" i="1"/>
  <c r="GT139" i="1"/>
  <c r="GS139" i="1"/>
  <c r="FB139" i="1"/>
  <c r="CA139" i="1"/>
  <c r="BD139" i="1"/>
  <c r="BC139" i="1"/>
  <c r="BB139" i="1"/>
  <c r="AV139" i="1"/>
  <c r="AG139" i="1"/>
  <c r="AF139" i="1"/>
  <c r="IA118" i="1"/>
  <c r="HZ118" i="1"/>
  <c r="HP118" i="1"/>
  <c r="HK118" i="1"/>
  <c r="HF118" i="1"/>
  <c r="GT118" i="1"/>
  <c r="GS118" i="1"/>
  <c r="FB118" i="1"/>
  <c r="CA118" i="1"/>
  <c r="BD118" i="1"/>
  <c r="BC118" i="1"/>
  <c r="BB118" i="1"/>
  <c r="AV118" i="1"/>
  <c r="IA138" i="1"/>
  <c r="HZ138" i="1"/>
  <c r="HP138" i="1"/>
  <c r="HK138" i="1"/>
  <c r="HF138" i="1"/>
  <c r="GT138" i="1"/>
  <c r="GS138" i="1"/>
  <c r="FB138" i="1"/>
  <c r="CA138" i="1"/>
  <c r="BD138" i="1"/>
  <c r="BC138" i="1"/>
  <c r="BB138" i="1"/>
  <c r="AV138" i="1"/>
  <c r="AG138" i="1"/>
  <c r="AF138" i="1"/>
  <c r="IA116" i="1"/>
  <c r="HZ116" i="1"/>
  <c r="HP116" i="1"/>
  <c r="HK116" i="1"/>
  <c r="HF116" i="1"/>
  <c r="GT116" i="1"/>
  <c r="GS116" i="1"/>
  <c r="FB116" i="1"/>
  <c r="CA116" i="1"/>
  <c r="BD116" i="1"/>
  <c r="BC116" i="1"/>
  <c r="BB116" i="1"/>
  <c r="AV116" i="1"/>
  <c r="AG116" i="1"/>
  <c r="AF116" i="1"/>
  <c r="IA111" i="1"/>
  <c r="HZ111" i="1"/>
  <c r="HP111" i="1"/>
  <c r="HK111" i="1"/>
  <c r="HF111" i="1"/>
  <c r="GT111" i="1"/>
  <c r="GS111" i="1"/>
  <c r="FB111" i="1"/>
  <c r="CA111" i="1"/>
  <c r="BD111" i="1"/>
  <c r="BC111" i="1"/>
  <c r="BB111" i="1"/>
  <c r="AV111" i="1"/>
  <c r="AG111" i="1"/>
  <c r="AF111" i="1"/>
  <c r="IA185" i="1"/>
  <c r="HZ185" i="1"/>
  <c r="HP185" i="1"/>
  <c r="HK185" i="1"/>
  <c r="HF185" i="1"/>
  <c r="GT185" i="1"/>
  <c r="GS185" i="1"/>
  <c r="FB185" i="1"/>
  <c r="CA185" i="1"/>
  <c r="BD185" i="1"/>
  <c r="BC185" i="1"/>
  <c r="BB185" i="1"/>
  <c r="AV185" i="1"/>
  <c r="AG185" i="1"/>
  <c r="AF185" i="1"/>
  <c r="IA119" i="1"/>
  <c r="HZ119" i="1"/>
  <c r="HP119" i="1"/>
  <c r="HK119" i="1"/>
  <c r="HF119" i="1"/>
  <c r="GT119" i="1"/>
  <c r="GS119" i="1"/>
  <c r="FB119" i="1"/>
  <c r="CA119" i="1"/>
  <c r="BD119" i="1"/>
  <c r="BC119" i="1"/>
  <c r="BB119" i="1"/>
  <c r="AV119" i="1"/>
  <c r="AG119" i="1"/>
  <c r="AF119" i="1"/>
  <c r="IA110" i="1"/>
  <c r="HZ110" i="1"/>
  <c r="HP110" i="1"/>
  <c r="HK110" i="1"/>
  <c r="HF110" i="1"/>
  <c r="GT110" i="1"/>
  <c r="GS110" i="1"/>
  <c r="FB110" i="1"/>
  <c r="CA110" i="1"/>
  <c r="BD110" i="1"/>
  <c r="BC110" i="1"/>
  <c r="BB110" i="1"/>
  <c r="AV110" i="1"/>
  <c r="AG110" i="1"/>
  <c r="AF110" i="1"/>
  <c r="IA109" i="1"/>
  <c r="HZ109" i="1"/>
  <c r="HP109" i="1"/>
  <c r="HK109" i="1"/>
  <c r="HF109" i="1"/>
  <c r="GT109" i="1"/>
  <c r="GS109" i="1"/>
  <c r="FB109" i="1"/>
  <c r="CA109" i="1"/>
  <c r="BD109" i="1"/>
  <c r="BC109" i="1"/>
  <c r="BB109" i="1"/>
  <c r="AV109" i="1"/>
  <c r="AG109" i="1"/>
  <c r="AF109" i="1"/>
  <c r="IA47" i="1"/>
  <c r="HZ47" i="1"/>
  <c r="HP47" i="1"/>
  <c r="HK47" i="1"/>
  <c r="HF47" i="1"/>
  <c r="GT47" i="1"/>
  <c r="GS47" i="1"/>
  <c r="FB47" i="1"/>
  <c r="CA47" i="1"/>
  <c r="BD47" i="1"/>
  <c r="BC47" i="1"/>
  <c r="BB47" i="1"/>
  <c r="AV47" i="1"/>
  <c r="AG47" i="1"/>
  <c r="AF47" i="1"/>
  <c r="IA81" i="1"/>
  <c r="HZ81" i="1"/>
  <c r="HP81" i="1"/>
  <c r="HK81" i="1"/>
  <c r="HF81" i="1"/>
  <c r="GT81" i="1"/>
  <c r="GS81" i="1"/>
  <c r="FB81" i="1"/>
  <c r="CA81" i="1"/>
  <c r="BD81" i="1"/>
  <c r="BC81" i="1"/>
  <c r="BB81" i="1"/>
  <c r="IA168" i="1"/>
  <c r="HZ168" i="1"/>
  <c r="HP168" i="1"/>
  <c r="HK168" i="1"/>
  <c r="HF168" i="1"/>
  <c r="GT168" i="1"/>
  <c r="GS168" i="1"/>
  <c r="FB168" i="1"/>
  <c r="CA168" i="1"/>
  <c r="BD168" i="1"/>
  <c r="BC168" i="1"/>
  <c r="BB168" i="1"/>
  <c r="AV168" i="1"/>
  <c r="AG168" i="1"/>
  <c r="AF168" i="1"/>
  <c r="IA173" i="1"/>
  <c r="HZ173" i="1"/>
  <c r="HP173" i="1"/>
  <c r="HK173" i="1"/>
  <c r="HF173" i="1"/>
  <c r="GT173" i="1"/>
  <c r="GS173" i="1"/>
  <c r="FB173" i="1"/>
  <c r="CA173" i="1"/>
  <c r="BD173" i="1"/>
  <c r="BC173" i="1"/>
  <c r="BB173" i="1"/>
  <c r="AV173" i="1"/>
  <c r="IA124" i="1"/>
  <c r="HZ124" i="1"/>
  <c r="HP124" i="1"/>
  <c r="HK124" i="1"/>
  <c r="HF124" i="1"/>
  <c r="GT124" i="1"/>
  <c r="GS124" i="1"/>
  <c r="FB124" i="1"/>
  <c r="CA124" i="1"/>
  <c r="BD124" i="1"/>
  <c r="BC124" i="1"/>
  <c r="BB124" i="1"/>
  <c r="AV124" i="1"/>
  <c r="AG124" i="1"/>
  <c r="AF124" i="1"/>
  <c r="IA68" i="1"/>
  <c r="HZ68" i="1"/>
  <c r="HP68" i="1"/>
  <c r="HK68" i="1"/>
  <c r="HF68" i="1"/>
  <c r="GT68" i="1"/>
  <c r="GS68" i="1"/>
  <c r="FB68" i="1"/>
  <c r="CA68" i="1"/>
  <c r="BD68" i="1"/>
  <c r="BC68" i="1"/>
  <c r="BB68" i="1"/>
  <c r="AV68" i="1"/>
  <c r="AG68" i="1"/>
  <c r="AF68" i="1"/>
  <c r="IA183" i="1"/>
  <c r="HZ183" i="1"/>
  <c r="HP183" i="1"/>
  <c r="HK183" i="1"/>
  <c r="HF183" i="1"/>
  <c r="GT183" i="1"/>
  <c r="GS183" i="1"/>
  <c r="FB183" i="1"/>
  <c r="CA183" i="1"/>
  <c r="BD183" i="1"/>
  <c r="BC183" i="1"/>
  <c r="BB183" i="1"/>
  <c r="AV183" i="1"/>
  <c r="AG183" i="1"/>
  <c r="AF183" i="1"/>
  <c r="IA150" i="1"/>
  <c r="HZ150" i="1"/>
  <c r="HP150" i="1"/>
  <c r="HK150" i="1"/>
  <c r="HF150" i="1"/>
  <c r="GT150" i="1"/>
  <c r="GS150" i="1"/>
  <c r="FB150" i="1"/>
  <c r="CA150" i="1"/>
  <c r="BD150" i="1"/>
  <c r="BC150" i="1"/>
  <c r="BB150" i="1"/>
  <c r="AV150" i="1"/>
  <c r="AG150" i="1"/>
  <c r="AF150" i="1"/>
  <c r="IA142" i="1"/>
  <c r="HZ142" i="1"/>
  <c r="HP142" i="1"/>
  <c r="HK142" i="1"/>
  <c r="HF142" i="1"/>
  <c r="GT142" i="1"/>
  <c r="GS142" i="1"/>
  <c r="FB142" i="1"/>
  <c r="CA142" i="1"/>
  <c r="BD142" i="1"/>
  <c r="BC142" i="1"/>
  <c r="BB142" i="1"/>
  <c r="AV142" i="1"/>
  <c r="AG142" i="1"/>
  <c r="AF142" i="1"/>
  <c r="IA156" i="1"/>
  <c r="HZ156" i="1"/>
  <c r="HP156" i="1"/>
  <c r="HK156" i="1"/>
  <c r="HF156" i="1"/>
  <c r="GT156" i="1"/>
  <c r="GS156" i="1"/>
  <c r="FB156" i="1"/>
  <c r="CA156" i="1"/>
  <c r="BD156" i="1"/>
  <c r="BC156" i="1"/>
  <c r="BB156" i="1"/>
  <c r="AV156" i="1"/>
  <c r="AG156" i="1"/>
  <c r="AF156" i="1"/>
  <c r="IA123" i="1"/>
  <c r="HZ123" i="1"/>
  <c r="HP123" i="1"/>
  <c r="HK123" i="1"/>
  <c r="HF123" i="1"/>
  <c r="GT123" i="1"/>
  <c r="GS123" i="1"/>
  <c r="FB123" i="1"/>
  <c r="CA123" i="1"/>
  <c r="BD123" i="1"/>
  <c r="BC123" i="1"/>
  <c r="BB123" i="1"/>
  <c r="AV123" i="1"/>
  <c r="AG123" i="1"/>
  <c r="AF123" i="1"/>
  <c r="IA37" i="1"/>
  <c r="HZ37" i="1"/>
  <c r="HP37" i="1"/>
  <c r="HK37" i="1"/>
  <c r="HF37" i="1"/>
  <c r="GT37" i="1"/>
  <c r="GS37" i="1"/>
  <c r="FB37" i="1"/>
  <c r="CA37" i="1"/>
  <c r="BD37" i="1"/>
  <c r="BC37" i="1"/>
  <c r="BB37" i="1"/>
  <c r="AV37" i="1"/>
  <c r="AG37" i="1"/>
  <c r="AF37" i="1"/>
  <c r="IA182" i="1"/>
  <c r="HZ182" i="1"/>
  <c r="HP182" i="1"/>
  <c r="HK182" i="1"/>
  <c r="HF182" i="1"/>
  <c r="GT182" i="1"/>
  <c r="GS182" i="1"/>
  <c r="FB182" i="1"/>
  <c r="CA182" i="1"/>
  <c r="BD182" i="1"/>
  <c r="BC182" i="1"/>
  <c r="BB182" i="1"/>
  <c r="AV182" i="1"/>
  <c r="AG182" i="1"/>
  <c r="AF182" i="1"/>
  <c r="IA154" i="1"/>
  <c r="HZ154" i="1"/>
  <c r="HP154" i="1"/>
  <c r="HK154" i="1"/>
  <c r="HF154" i="1"/>
  <c r="GT154" i="1"/>
  <c r="GS154" i="1"/>
  <c r="FB154" i="1"/>
  <c r="CA154" i="1"/>
  <c r="BD154" i="1"/>
  <c r="BC154" i="1"/>
  <c r="BB154" i="1"/>
  <c r="AV154" i="1"/>
  <c r="AG154" i="1"/>
  <c r="AF154" i="1"/>
  <c r="IA108" i="1"/>
  <c r="HZ108" i="1"/>
  <c r="HP108" i="1"/>
  <c r="HK108" i="1"/>
  <c r="HF108" i="1"/>
  <c r="GT108" i="1"/>
  <c r="GS108" i="1"/>
  <c r="FB108" i="1"/>
  <c r="CA108" i="1"/>
  <c r="BD108" i="1"/>
  <c r="BC108" i="1"/>
  <c r="BB108" i="1"/>
  <c r="AV108" i="1"/>
  <c r="AG108" i="1"/>
  <c r="AF108" i="1"/>
  <c r="IA107" i="1"/>
  <c r="HZ107" i="1"/>
  <c r="HP107" i="1"/>
  <c r="HK107" i="1"/>
  <c r="HF107" i="1"/>
  <c r="GT107" i="1"/>
  <c r="GS107" i="1"/>
  <c r="FB107" i="1"/>
  <c r="CA107" i="1"/>
  <c r="BD107" i="1"/>
  <c r="BC107" i="1"/>
  <c r="BB107" i="1"/>
  <c r="AV107" i="1"/>
  <c r="AG107" i="1"/>
  <c r="AF107" i="1"/>
  <c r="IA104" i="1"/>
  <c r="HZ104" i="1"/>
  <c r="HP104" i="1"/>
  <c r="HK104" i="1"/>
  <c r="HF104" i="1"/>
  <c r="GT104" i="1"/>
  <c r="GS104" i="1"/>
  <c r="FB104" i="1"/>
  <c r="CA104" i="1"/>
  <c r="BD104" i="1"/>
  <c r="BC104" i="1"/>
  <c r="BB104" i="1"/>
  <c r="AV104" i="1"/>
  <c r="AG104" i="1"/>
  <c r="AF104" i="1"/>
  <c r="IA113" i="1"/>
  <c r="HZ113" i="1"/>
  <c r="HP113" i="1"/>
  <c r="HK113" i="1"/>
  <c r="HF113" i="1"/>
  <c r="GT113" i="1"/>
  <c r="GS113" i="1"/>
  <c r="FB113" i="1"/>
  <c r="CA113" i="1"/>
  <c r="BD113" i="1"/>
  <c r="BC113" i="1"/>
  <c r="BB113" i="1"/>
  <c r="AV113" i="1"/>
  <c r="AG113" i="1"/>
  <c r="AF113" i="1"/>
  <c r="IA134" i="1"/>
  <c r="HZ134" i="1"/>
  <c r="HP134" i="1"/>
  <c r="HK134" i="1"/>
  <c r="HF134" i="1"/>
  <c r="GT134" i="1"/>
  <c r="GS134" i="1"/>
  <c r="FB134" i="1"/>
  <c r="CA134" i="1"/>
  <c r="BD134" i="1"/>
  <c r="BC134" i="1"/>
  <c r="BB134" i="1"/>
  <c r="AV134" i="1"/>
  <c r="AG134" i="1"/>
  <c r="AF134" i="1"/>
  <c r="IA141" i="1"/>
  <c r="HZ141" i="1"/>
  <c r="HP141" i="1"/>
  <c r="HK141" i="1"/>
  <c r="HF141" i="1"/>
  <c r="GT141" i="1"/>
  <c r="GS141" i="1"/>
  <c r="FB141" i="1"/>
  <c r="CA141" i="1"/>
  <c r="BD141" i="1"/>
  <c r="BC141" i="1"/>
  <c r="BB141" i="1"/>
  <c r="AV141" i="1"/>
  <c r="IA112" i="1"/>
  <c r="HZ112" i="1"/>
  <c r="HP112" i="1"/>
  <c r="HK112" i="1"/>
  <c r="HF112" i="1"/>
  <c r="GT112" i="1"/>
  <c r="GS112" i="1"/>
  <c r="FB112" i="1"/>
  <c r="CA112" i="1"/>
  <c r="BD112" i="1"/>
  <c r="BC112" i="1"/>
  <c r="BB112" i="1"/>
  <c r="AV112" i="1"/>
  <c r="AG112" i="1"/>
  <c r="AF112" i="1"/>
  <c r="IA179" i="1"/>
  <c r="HZ179" i="1"/>
  <c r="HP179" i="1"/>
  <c r="HK179" i="1"/>
  <c r="HF179" i="1"/>
  <c r="GT179" i="1"/>
  <c r="GS179" i="1"/>
  <c r="FB179" i="1"/>
  <c r="CA179" i="1"/>
  <c r="BD179" i="1"/>
  <c r="BC179" i="1"/>
  <c r="BB179" i="1"/>
  <c r="AV179" i="1"/>
  <c r="AG179" i="1"/>
  <c r="AF179" i="1"/>
  <c r="IA163" i="1"/>
  <c r="HZ163" i="1"/>
  <c r="HP163" i="1"/>
  <c r="HK163" i="1"/>
  <c r="HF163" i="1"/>
  <c r="GT163" i="1"/>
  <c r="GS163" i="1"/>
  <c r="FB163" i="1"/>
  <c r="CA163" i="1"/>
  <c r="BD163" i="1"/>
  <c r="BC163" i="1"/>
  <c r="BB163" i="1"/>
  <c r="AV163" i="1"/>
  <c r="IA146" i="1"/>
  <c r="HZ146" i="1"/>
  <c r="HP146" i="1"/>
  <c r="HK146" i="1"/>
  <c r="HF146" i="1"/>
  <c r="GT146" i="1"/>
  <c r="GS146" i="1"/>
  <c r="FB146" i="1"/>
  <c r="CA146" i="1"/>
  <c r="BD146" i="1"/>
  <c r="BC146" i="1"/>
  <c r="BB146" i="1"/>
  <c r="AV146" i="1"/>
  <c r="AG146" i="1"/>
  <c r="AF146" i="1"/>
  <c r="IA144" i="1"/>
  <c r="HZ144" i="1"/>
  <c r="HP144" i="1"/>
  <c r="HK144" i="1"/>
  <c r="HF144" i="1"/>
  <c r="GT144" i="1"/>
  <c r="GS144" i="1"/>
  <c r="FB144" i="1"/>
  <c r="CA144" i="1"/>
  <c r="BD144" i="1"/>
  <c r="BC144" i="1"/>
  <c r="BB144" i="1"/>
  <c r="AV144" i="1"/>
  <c r="AG144" i="1"/>
  <c r="AF144" i="1"/>
  <c r="IA131" i="1"/>
  <c r="HZ131" i="1"/>
  <c r="HP131" i="1"/>
  <c r="HK131" i="1"/>
  <c r="HF131" i="1"/>
  <c r="GT131" i="1"/>
  <c r="GS131" i="1"/>
  <c r="FB131" i="1"/>
  <c r="CA131" i="1"/>
  <c r="BD131" i="1"/>
  <c r="BC131" i="1"/>
  <c r="BB131" i="1"/>
  <c r="AV131" i="1"/>
  <c r="AG131" i="1"/>
  <c r="AF131" i="1"/>
  <c r="IA93" i="1"/>
  <c r="HZ93" i="1"/>
  <c r="HP93" i="1"/>
  <c r="HK93" i="1"/>
  <c r="HF93" i="1"/>
  <c r="GT93" i="1"/>
  <c r="GS93" i="1"/>
  <c r="FB93" i="1"/>
  <c r="CA93" i="1"/>
  <c r="BD93" i="1"/>
  <c r="BC93" i="1"/>
  <c r="BB93" i="1"/>
  <c r="AV93" i="1"/>
  <c r="AG93" i="1"/>
  <c r="AF93" i="1"/>
  <c r="IA34" i="1"/>
  <c r="HZ34" i="1"/>
  <c r="HP34" i="1"/>
  <c r="HK34" i="1"/>
  <c r="HF34" i="1"/>
  <c r="GT34" i="1"/>
  <c r="GS34" i="1"/>
  <c r="FB34" i="1"/>
  <c r="CA34" i="1"/>
  <c r="BD34" i="1"/>
  <c r="BC34" i="1"/>
  <c r="BB34" i="1"/>
  <c r="AV34" i="1"/>
  <c r="AG34" i="1"/>
  <c r="AF34" i="1"/>
  <c r="IA77" i="1"/>
  <c r="HZ77" i="1"/>
  <c r="HP77" i="1"/>
  <c r="HK77" i="1"/>
  <c r="HF77" i="1"/>
  <c r="GT77" i="1"/>
  <c r="GS77" i="1"/>
  <c r="FB77" i="1"/>
  <c r="CA77" i="1"/>
  <c r="BD77" i="1"/>
  <c r="BC77" i="1"/>
  <c r="BB77" i="1"/>
  <c r="AV77" i="1"/>
  <c r="IA178" i="1"/>
  <c r="HZ178" i="1"/>
  <c r="HP178" i="1"/>
  <c r="HK178" i="1"/>
  <c r="HF178" i="1"/>
  <c r="GT178" i="1"/>
  <c r="GS178" i="1"/>
  <c r="FB178" i="1"/>
  <c r="CA178" i="1"/>
  <c r="BD178" i="1"/>
  <c r="BC178" i="1"/>
  <c r="BB178" i="1"/>
  <c r="AV178" i="1"/>
  <c r="AG178" i="1"/>
  <c r="AF178" i="1"/>
  <c r="IA166" i="1"/>
  <c r="HZ166" i="1"/>
  <c r="HP166" i="1"/>
  <c r="HK166" i="1"/>
  <c r="HF166" i="1"/>
  <c r="GT166" i="1"/>
  <c r="GS166" i="1"/>
  <c r="FB166" i="1"/>
  <c r="CA166" i="1"/>
  <c r="BD166" i="1"/>
  <c r="BC166" i="1"/>
  <c r="BB166" i="1"/>
  <c r="AV166" i="1"/>
  <c r="AG166" i="1"/>
  <c r="AF166" i="1"/>
  <c r="IA57" i="1"/>
  <c r="HZ57" i="1"/>
  <c r="HP57" i="1"/>
  <c r="HK57" i="1"/>
  <c r="HF57" i="1"/>
  <c r="GT57" i="1"/>
  <c r="GS57" i="1"/>
  <c r="FB57" i="1"/>
  <c r="CA57" i="1"/>
  <c r="BD57" i="1"/>
  <c r="BC57" i="1"/>
  <c r="BB57" i="1"/>
  <c r="AV57" i="1"/>
  <c r="AG57" i="1"/>
  <c r="AF57" i="1"/>
  <c r="IA127" i="1"/>
  <c r="HZ127" i="1"/>
  <c r="HP127" i="1"/>
  <c r="HK127" i="1"/>
  <c r="HF127" i="1"/>
  <c r="GT127" i="1"/>
  <c r="GS127" i="1"/>
  <c r="FB127" i="1"/>
  <c r="CA127" i="1"/>
  <c r="BD127" i="1"/>
  <c r="BC127" i="1"/>
  <c r="BB127" i="1"/>
  <c r="AV127" i="1"/>
  <c r="AG127" i="1"/>
  <c r="AF127" i="1"/>
  <c r="IA106" i="1"/>
  <c r="HZ106" i="1"/>
  <c r="HP106" i="1"/>
  <c r="HK106" i="1"/>
  <c r="HF106" i="1"/>
  <c r="GT106" i="1"/>
  <c r="GS106" i="1"/>
  <c r="FB106" i="1"/>
  <c r="CA106" i="1"/>
  <c r="BD106" i="1"/>
  <c r="BC106" i="1"/>
  <c r="BB106" i="1"/>
  <c r="AV106" i="1"/>
  <c r="AG106" i="1"/>
  <c r="AF106" i="1"/>
  <c r="IA171" i="1"/>
  <c r="HZ171" i="1"/>
  <c r="HP171" i="1"/>
  <c r="HK171" i="1"/>
  <c r="HF171" i="1"/>
  <c r="GT171" i="1"/>
  <c r="GS171" i="1"/>
  <c r="FB171" i="1"/>
  <c r="CA171" i="1"/>
  <c r="BD171" i="1"/>
  <c r="BC171" i="1"/>
  <c r="BB171" i="1"/>
  <c r="AV171" i="1"/>
  <c r="IA102" i="1"/>
  <c r="HZ102" i="1"/>
  <c r="HP102" i="1"/>
  <c r="HK102" i="1"/>
  <c r="HF102" i="1"/>
  <c r="GT102" i="1"/>
  <c r="GS102" i="1"/>
  <c r="FB102" i="1"/>
  <c r="CA102" i="1"/>
  <c r="BD102" i="1"/>
  <c r="BC102" i="1"/>
  <c r="BB102" i="1"/>
  <c r="AV102" i="1"/>
  <c r="AG102" i="1"/>
  <c r="AF102" i="1"/>
  <c r="IA76" i="1"/>
  <c r="HZ76" i="1"/>
  <c r="HP76" i="1"/>
  <c r="HK76" i="1"/>
  <c r="HF76" i="1"/>
  <c r="GT76" i="1"/>
  <c r="GS76" i="1"/>
  <c r="FB76" i="1"/>
  <c r="CA76" i="1"/>
  <c r="BD76" i="1"/>
  <c r="BC76" i="1"/>
  <c r="BB76" i="1"/>
  <c r="AV76" i="1"/>
  <c r="AG76" i="1"/>
  <c r="AF76" i="1"/>
  <c r="IA126" i="1"/>
  <c r="HZ126" i="1"/>
  <c r="HP126" i="1"/>
  <c r="HK126" i="1"/>
  <c r="HF126" i="1"/>
  <c r="GT126" i="1"/>
  <c r="GS126" i="1"/>
  <c r="FB126" i="1"/>
  <c r="CA126" i="1"/>
  <c r="BD126" i="1"/>
  <c r="BC126" i="1"/>
  <c r="BB126" i="1"/>
  <c r="AV126" i="1"/>
  <c r="AG126" i="1"/>
  <c r="AF126" i="1"/>
  <c r="IA177" i="1"/>
  <c r="HZ177" i="1"/>
  <c r="HP177" i="1"/>
  <c r="HK177" i="1"/>
  <c r="HF177" i="1"/>
  <c r="GT177" i="1"/>
  <c r="GS177" i="1"/>
  <c r="FB177" i="1"/>
  <c r="CA177" i="1"/>
  <c r="BD177" i="1"/>
  <c r="BC177" i="1"/>
  <c r="BB177" i="1"/>
  <c r="AV177" i="1"/>
  <c r="IA63" i="1"/>
  <c r="HZ63" i="1"/>
  <c r="HP63" i="1"/>
  <c r="HK63" i="1"/>
  <c r="HF63" i="1"/>
  <c r="GT63" i="1"/>
  <c r="GS63" i="1"/>
  <c r="FB63" i="1"/>
  <c r="CA63" i="1"/>
  <c r="BD63" i="1"/>
  <c r="BC63" i="1"/>
  <c r="BB63" i="1"/>
  <c r="AV63" i="1"/>
  <c r="AG63" i="1"/>
  <c r="AF63" i="1"/>
  <c r="IA98" i="1"/>
  <c r="HZ98" i="1"/>
  <c r="HP98" i="1"/>
  <c r="HK98" i="1"/>
  <c r="HF98" i="1"/>
  <c r="GT98" i="1"/>
  <c r="GS98" i="1"/>
  <c r="FB98" i="1"/>
  <c r="CA98" i="1"/>
  <c r="BD98" i="1"/>
  <c r="BC98" i="1"/>
  <c r="BB98" i="1"/>
  <c r="AV98" i="1"/>
  <c r="AG98" i="1"/>
  <c r="AF98" i="1"/>
  <c r="IA96" i="1"/>
  <c r="HZ96" i="1"/>
  <c r="HP96" i="1"/>
  <c r="HK96" i="1"/>
  <c r="HF96" i="1"/>
  <c r="GT96" i="1"/>
  <c r="GS96" i="1"/>
  <c r="FB96" i="1"/>
  <c r="CA96" i="1"/>
  <c r="BD96" i="1"/>
  <c r="BC96" i="1"/>
  <c r="BB96" i="1"/>
  <c r="AV96" i="1"/>
  <c r="AG96" i="1"/>
  <c r="AF96" i="1"/>
  <c r="IA2" i="1"/>
  <c r="HZ2" i="1"/>
  <c r="HP2" i="1"/>
  <c r="HK2" i="1"/>
  <c r="HF2" i="1"/>
  <c r="GT2" i="1"/>
  <c r="GS2" i="1"/>
  <c r="FB2" i="1"/>
  <c r="CA2" i="1"/>
  <c r="BD2" i="1"/>
  <c r="BC2" i="1"/>
  <c r="BB2" i="1"/>
  <c r="AV2" i="1"/>
  <c r="AG2" i="1"/>
  <c r="AF2" i="1"/>
  <c r="IA31" i="1"/>
  <c r="HZ31" i="1"/>
  <c r="HP31" i="1"/>
  <c r="HK31" i="1"/>
  <c r="HF31" i="1"/>
  <c r="GT31" i="1"/>
  <c r="GS31" i="1"/>
  <c r="FB31" i="1"/>
  <c r="CA31" i="1"/>
  <c r="BD31" i="1"/>
  <c r="BC31" i="1"/>
  <c r="BB31" i="1"/>
  <c r="AV31" i="1"/>
  <c r="AG31" i="1"/>
  <c r="AF31" i="1"/>
  <c r="IA18" i="1"/>
  <c r="HZ18" i="1"/>
  <c r="HP18" i="1"/>
  <c r="HK18" i="1"/>
  <c r="HF18" i="1"/>
  <c r="GT18" i="1"/>
  <c r="GS18" i="1"/>
  <c r="FB18" i="1"/>
  <c r="CA18" i="1"/>
  <c r="BD18" i="1"/>
  <c r="BC18" i="1"/>
  <c r="BB18" i="1"/>
  <c r="AV18" i="1"/>
  <c r="AG18" i="1"/>
  <c r="AF18" i="1"/>
  <c r="IA19" i="1"/>
  <c r="HZ19" i="1"/>
  <c r="HP19" i="1"/>
  <c r="HK19" i="1"/>
  <c r="HF19" i="1"/>
  <c r="GT19" i="1"/>
  <c r="GS19" i="1"/>
  <c r="FB19" i="1"/>
  <c r="CA19" i="1"/>
  <c r="BD19" i="1"/>
  <c r="BC19" i="1"/>
  <c r="BB19" i="1"/>
  <c r="AV19" i="1"/>
  <c r="AG19" i="1"/>
  <c r="AF19" i="1"/>
  <c r="IA22" i="1"/>
  <c r="HZ22" i="1"/>
  <c r="HP22" i="1"/>
  <c r="HK22" i="1"/>
  <c r="HF22" i="1"/>
  <c r="GT22" i="1"/>
  <c r="GS22" i="1"/>
  <c r="FB22" i="1"/>
  <c r="CA22" i="1"/>
  <c r="BD22" i="1"/>
  <c r="BC22" i="1"/>
  <c r="BB22" i="1"/>
  <c r="AV22" i="1"/>
  <c r="AG22" i="1"/>
  <c r="AF22" i="1"/>
  <c r="IA25" i="1"/>
  <c r="HZ25" i="1"/>
  <c r="HP25" i="1"/>
  <c r="HK25" i="1"/>
  <c r="HF25" i="1"/>
  <c r="GT25" i="1"/>
  <c r="GS25" i="1"/>
  <c r="FB25" i="1"/>
  <c r="CA25" i="1"/>
  <c r="BD25" i="1"/>
  <c r="BC25" i="1"/>
  <c r="BB25" i="1"/>
  <c r="AV25" i="1"/>
  <c r="AG25" i="1"/>
  <c r="AF25" i="1"/>
  <c r="IA128" i="1"/>
  <c r="HZ128" i="1"/>
  <c r="HP128" i="1"/>
  <c r="HK128" i="1"/>
  <c r="HF128" i="1"/>
  <c r="GT128" i="1"/>
  <c r="GS128" i="1"/>
  <c r="FB128" i="1"/>
  <c r="CA128" i="1"/>
  <c r="BD128" i="1"/>
  <c r="BC128" i="1"/>
  <c r="BB128" i="1"/>
  <c r="AV128" i="1"/>
  <c r="IA100" i="1"/>
  <c r="HZ100" i="1"/>
  <c r="HP100" i="1"/>
  <c r="HK100" i="1"/>
  <c r="HF100" i="1"/>
  <c r="GT100" i="1"/>
  <c r="GS100" i="1"/>
  <c r="FB100" i="1"/>
  <c r="CA100" i="1"/>
  <c r="BD100" i="1"/>
  <c r="BC100" i="1"/>
  <c r="BB100" i="1"/>
  <c r="AV100" i="1"/>
  <c r="AG100" i="1"/>
  <c r="AF100" i="1"/>
  <c r="IA54" i="1"/>
  <c r="HZ54" i="1"/>
  <c r="HP54" i="1"/>
  <c r="HK54" i="1"/>
  <c r="HF54" i="1"/>
  <c r="GT54" i="1"/>
  <c r="GS54" i="1"/>
  <c r="FB54" i="1"/>
  <c r="CA54" i="1"/>
  <c r="BD54" i="1"/>
  <c r="BC54" i="1"/>
  <c r="BB54" i="1"/>
  <c r="AV54" i="1"/>
  <c r="AG54" i="1"/>
  <c r="AF54" i="1"/>
  <c r="IA97" i="1"/>
  <c r="HZ97" i="1"/>
  <c r="HP97" i="1"/>
  <c r="HK97" i="1"/>
  <c r="HF97" i="1"/>
  <c r="GT97" i="1"/>
  <c r="GS97" i="1"/>
  <c r="FB97" i="1"/>
  <c r="CA97" i="1"/>
  <c r="BD97" i="1"/>
  <c r="BC97" i="1"/>
  <c r="BB97" i="1"/>
  <c r="AV97" i="1"/>
  <c r="IA26" i="1"/>
  <c r="HZ26" i="1"/>
  <c r="HP26" i="1"/>
  <c r="HK26" i="1"/>
  <c r="HF26" i="1"/>
  <c r="GT26" i="1"/>
  <c r="GS26" i="1"/>
  <c r="FB26" i="1"/>
  <c r="CA26" i="1"/>
  <c r="BD26" i="1"/>
  <c r="BC26" i="1"/>
  <c r="BB26" i="1"/>
  <c r="AV26" i="1"/>
  <c r="AG26" i="1"/>
  <c r="AF26" i="1"/>
  <c r="IA53" i="1"/>
  <c r="HZ53" i="1"/>
  <c r="HP53" i="1"/>
  <c r="HK53" i="1"/>
  <c r="HF53" i="1"/>
  <c r="GT53" i="1"/>
  <c r="GS53" i="1"/>
  <c r="FB53" i="1"/>
  <c r="CA53" i="1"/>
  <c r="BD53" i="1"/>
  <c r="BC53" i="1"/>
  <c r="BB53" i="1"/>
  <c r="AV53" i="1"/>
  <c r="AG53" i="1"/>
  <c r="AF53" i="1"/>
  <c r="IA136" i="1"/>
  <c r="HZ136" i="1"/>
  <c r="HP136" i="1"/>
  <c r="HK136" i="1"/>
  <c r="HF136" i="1"/>
  <c r="GT136" i="1"/>
  <c r="GS136" i="1"/>
  <c r="FB136" i="1"/>
  <c r="CA136" i="1"/>
  <c r="BD136" i="1"/>
  <c r="BC136" i="1"/>
  <c r="BB136" i="1"/>
  <c r="AV136" i="1"/>
  <c r="AG136" i="1"/>
  <c r="AF136" i="1"/>
  <c r="IA160" i="1"/>
  <c r="HZ160" i="1"/>
  <c r="HP160" i="1"/>
  <c r="HK160" i="1"/>
  <c r="HF160" i="1"/>
  <c r="GT160" i="1"/>
  <c r="GS160" i="1"/>
  <c r="FB160" i="1"/>
  <c r="CA160" i="1"/>
  <c r="BD160" i="1"/>
  <c r="BC160" i="1"/>
  <c r="BB160" i="1"/>
  <c r="AV160" i="1"/>
  <c r="AG160" i="1"/>
  <c r="AF160" i="1"/>
  <c r="IA120" i="1"/>
  <c r="HZ120" i="1"/>
  <c r="HP120" i="1"/>
  <c r="HK120" i="1"/>
  <c r="HF120" i="1"/>
  <c r="GT120" i="1"/>
  <c r="GS120" i="1"/>
  <c r="FB120" i="1"/>
  <c r="CA120" i="1"/>
  <c r="BD120" i="1"/>
  <c r="BC120" i="1"/>
  <c r="BB120" i="1"/>
  <c r="AV120" i="1"/>
  <c r="AG120" i="1"/>
  <c r="AF120" i="1"/>
  <c r="IA78" i="1"/>
  <c r="HZ78" i="1"/>
  <c r="HP78" i="1"/>
  <c r="HK78" i="1"/>
  <c r="HF78" i="1"/>
  <c r="GT78" i="1"/>
  <c r="GS78" i="1"/>
  <c r="FB78" i="1"/>
  <c r="CA78" i="1"/>
  <c r="BD78" i="1"/>
  <c r="BC78" i="1"/>
  <c r="BB78" i="1"/>
  <c r="AV78" i="1"/>
  <c r="AG78" i="1"/>
  <c r="AF78" i="1"/>
  <c r="IA12" i="1"/>
  <c r="HZ12" i="1"/>
  <c r="HP12" i="1"/>
  <c r="HK12" i="1"/>
  <c r="HF12" i="1"/>
  <c r="GT12" i="1"/>
  <c r="GS12" i="1"/>
  <c r="FB12" i="1"/>
  <c r="CA12" i="1"/>
  <c r="BD12" i="1"/>
  <c r="BC12" i="1"/>
  <c r="BB12" i="1"/>
  <c r="AV12" i="1"/>
  <c r="AG12" i="1"/>
  <c r="AF12" i="1"/>
  <c r="IA79" i="1"/>
  <c r="HZ79" i="1"/>
  <c r="HP79" i="1"/>
  <c r="HK79" i="1"/>
  <c r="HF79" i="1"/>
  <c r="GT79" i="1"/>
  <c r="GS79" i="1"/>
  <c r="FB79" i="1"/>
  <c r="CA79" i="1"/>
  <c r="BD79" i="1"/>
  <c r="BC79" i="1"/>
  <c r="BB79" i="1"/>
  <c r="AV79" i="1"/>
  <c r="AG79" i="1"/>
  <c r="AF79" i="1"/>
  <c r="IA122" i="1"/>
  <c r="HZ122" i="1"/>
  <c r="HP122" i="1"/>
  <c r="HK122" i="1"/>
  <c r="HF122" i="1"/>
  <c r="GT122" i="1"/>
  <c r="GS122" i="1"/>
  <c r="FB122" i="1"/>
  <c r="CA122" i="1"/>
  <c r="BD122" i="1"/>
  <c r="BC122" i="1"/>
  <c r="BB122" i="1"/>
  <c r="AV122" i="1"/>
  <c r="AG122" i="1"/>
  <c r="AF122" i="1"/>
  <c r="IA87" i="1"/>
  <c r="HZ87" i="1"/>
  <c r="HP87" i="1"/>
  <c r="HK87" i="1"/>
  <c r="HF87" i="1"/>
  <c r="GT87" i="1"/>
  <c r="GS87" i="1"/>
  <c r="FB87" i="1"/>
  <c r="CA87" i="1"/>
  <c r="BD87" i="1"/>
  <c r="BC87" i="1"/>
  <c r="BB87" i="1"/>
  <c r="AV87" i="1"/>
  <c r="AG87" i="1"/>
  <c r="AF87" i="1"/>
  <c r="IA153" i="1"/>
  <c r="HZ153" i="1"/>
  <c r="HP153" i="1"/>
  <c r="HK153" i="1"/>
  <c r="HF153" i="1"/>
  <c r="GT153" i="1"/>
  <c r="GS153" i="1"/>
  <c r="FB153" i="1"/>
  <c r="CA153" i="1"/>
  <c r="BD153" i="1"/>
  <c r="BC153" i="1"/>
  <c r="BB153" i="1"/>
  <c r="AV153" i="1"/>
  <c r="AG153" i="1"/>
  <c r="AF153" i="1"/>
  <c r="IA155" i="1"/>
  <c r="HZ155" i="1"/>
  <c r="HP155" i="1"/>
  <c r="HK155" i="1"/>
  <c r="HF155" i="1"/>
  <c r="GT155" i="1"/>
  <c r="GS155" i="1"/>
  <c r="FB155" i="1"/>
  <c r="CA155" i="1"/>
  <c r="BD155" i="1"/>
  <c r="BC155" i="1"/>
  <c r="BB155" i="1"/>
  <c r="AV155" i="1"/>
  <c r="AG155" i="1"/>
  <c r="AF155" i="1"/>
  <c r="IA165" i="1"/>
  <c r="HZ165" i="1"/>
  <c r="HP165" i="1"/>
  <c r="HK165" i="1"/>
  <c r="HF165" i="1"/>
  <c r="GT165" i="1"/>
  <c r="GS165" i="1"/>
  <c r="FB165" i="1"/>
  <c r="CA165" i="1"/>
  <c r="BD165" i="1"/>
  <c r="BC165" i="1"/>
  <c r="BB165" i="1"/>
  <c r="AV165" i="1"/>
  <c r="AG165" i="1"/>
  <c r="AF165" i="1"/>
  <c r="IA86" i="1"/>
  <c r="HZ86" i="1"/>
  <c r="HP86" i="1"/>
  <c r="HK86" i="1"/>
  <c r="HF86" i="1"/>
  <c r="GT86" i="1"/>
  <c r="GS86" i="1"/>
  <c r="FB86" i="1"/>
  <c r="CA86" i="1"/>
  <c r="BD86" i="1"/>
  <c r="BC86" i="1"/>
  <c r="BB86" i="1"/>
  <c r="AV86" i="1"/>
  <c r="AG86" i="1"/>
  <c r="AF86" i="1"/>
  <c r="IA24" i="1"/>
  <c r="HZ24" i="1"/>
  <c r="HP24" i="1"/>
  <c r="HK24" i="1"/>
  <c r="HF24" i="1"/>
  <c r="GT24" i="1"/>
  <c r="GS24" i="1"/>
  <c r="FB24" i="1"/>
  <c r="CA24" i="1"/>
  <c r="BD24" i="1"/>
  <c r="BC24" i="1"/>
  <c r="BB24" i="1"/>
  <c r="AV24" i="1"/>
  <c r="AG24" i="1"/>
  <c r="AF24" i="1"/>
  <c r="IA42" i="1"/>
  <c r="HZ42" i="1"/>
  <c r="HP42" i="1"/>
  <c r="HK42" i="1"/>
  <c r="HF42" i="1"/>
  <c r="GT42" i="1"/>
  <c r="GS42" i="1"/>
  <c r="FB42" i="1"/>
  <c r="CA42" i="1"/>
  <c r="BD42" i="1"/>
  <c r="BC42" i="1"/>
  <c r="BB42" i="1"/>
  <c r="AV42" i="1"/>
  <c r="AG42" i="1"/>
  <c r="AF42" i="1"/>
  <c r="IA32" i="1"/>
  <c r="HZ32" i="1"/>
  <c r="HP32" i="1"/>
  <c r="HK32" i="1"/>
  <c r="HF32" i="1"/>
  <c r="GT32" i="1"/>
  <c r="GS32" i="1"/>
  <c r="FB32" i="1"/>
  <c r="CA32" i="1"/>
  <c r="BD32" i="1"/>
  <c r="BC32" i="1"/>
  <c r="BB32" i="1"/>
  <c r="AV32" i="1"/>
  <c r="IA38" i="1"/>
  <c r="HZ38" i="1"/>
  <c r="HP38" i="1"/>
  <c r="HK38" i="1"/>
  <c r="HF38" i="1"/>
  <c r="GT38" i="1"/>
  <c r="GS38" i="1"/>
  <c r="FB38" i="1"/>
  <c r="CA38" i="1"/>
  <c r="BD38" i="1"/>
  <c r="BC38" i="1"/>
  <c r="BB38" i="1"/>
  <c r="AV38" i="1"/>
  <c r="AG38" i="1"/>
  <c r="AF38" i="1"/>
  <c r="IA88" i="1"/>
  <c r="HZ88" i="1"/>
  <c r="HP88" i="1"/>
  <c r="HK88" i="1"/>
  <c r="HF88" i="1"/>
  <c r="GT88" i="1"/>
  <c r="GS88" i="1"/>
  <c r="FB88" i="1"/>
  <c r="CA88" i="1"/>
  <c r="BD88" i="1"/>
  <c r="BC88" i="1"/>
  <c r="BB88" i="1"/>
  <c r="AV88" i="1"/>
  <c r="IA30" i="1"/>
  <c r="HZ30" i="1"/>
  <c r="HP30" i="1"/>
  <c r="HK30" i="1"/>
  <c r="HF30" i="1"/>
  <c r="GT30" i="1"/>
  <c r="GS30" i="1"/>
  <c r="FB30" i="1"/>
  <c r="CA30" i="1"/>
  <c r="BD30" i="1"/>
  <c r="BC30" i="1"/>
  <c r="BB30" i="1"/>
  <c r="AV30" i="1"/>
  <c r="AG30" i="1"/>
  <c r="AF30" i="1"/>
  <c r="IA184" i="1"/>
  <c r="HZ184" i="1"/>
  <c r="HP184" i="1"/>
  <c r="HK184" i="1"/>
  <c r="HF184" i="1"/>
  <c r="GT184" i="1"/>
  <c r="GS184" i="1"/>
  <c r="FB184" i="1"/>
  <c r="CA184" i="1"/>
  <c r="BD184" i="1"/>
  <c r="BC184" i="1"/>
  <c r="BB184" i="1"/>
  <c r="AV184" i="1"/>
  <c r="IA33" i="1"/>
  <c r="HZ33" i="1"/>
  <c r="HP33" i="1"/>
  <c r="HK33" i="1"/>
  <c r="HF33" i="1"/>
  <c r="GT33" i="1"/>
  <c r="GS33" i="1"/>
  <c r="FB33" i="1"/>
  <c r="CA33" i="1"/>
  <c r="BD33" i="1"/>
  <c r="BC33" i="1"/>
  <c r="BB33" i="1"/>
  <c r="AV33" i="1"/>
  <c r="AG33" i="1"/>
  <c r="AF33" i="1"/>
  <c r="IA172" i="1"/>
  <c r="HZ172" i="1"/>
  <c r="HP172" i="1"/>
  <c r="HK172" i="1"/>
  <c r="HF172" i="1"/>
  <c r="GT172" i="1"/>
  <c r="GS172" i="1"/>
  <c r="FB172" i="1"/>
  <c r="CA172" i="1"/>
  <c r="BD172" i="1"/>
  <c r="BC172" i="1"/>
  <c r="BB172" i="1"/>
  <c r="AV172" i="1"/>
  <c r="AG172" i="1"/>
  <c r="AF172" i="1"/>
  <c r="IA159" i="1"/>
  <c r="HZ159" i="1"/>
  <c r="HP159" i="1"/>
  <c r="HK159" i="1"/>
  <c r="HF159" i="1"/>
  <c r="GT159" i="1"/>
  <c r="GS159" i="1"/>
  <c r="FB159" i="1"/>
  <c r="CA159" i="1"/>
  <c r="BD159" i="1"/>
  <c r="BC159" i="1"/>
  <c r="BB159" i="1"/>
  <c r="AV159" i="1"/>
  <c r="AG159" i="1"/>
  <c r="AF159" i="1"/>
  <c r="IA169" i="1"/>
  <c r="HZ169" i="1"/>
  <c r="HP169" i="1"/>
  <c r="HK169" i="1"/>
  <c r="HF169" i="1"/>
  <c r="GT169" i="1"/>
  <c r="GS169" i="1"/>
  <c r="FB169" i="1"/>
  <c r="CA169" i="1"/>
  <c r="BD169" i="1"/>
  <c r="BC169" i="1"/>
  <c r="BB169" i="1"/>
  <c r="AV169" i="1"/>
  <c r="AG169" i="1"/>
  <c r="AF169" i="1"/>
  <c r="IA80" i="1"/>
  <c r="HZ80" i="1"/>
  <c r="HP80" i="1"/>
  <c r="HK80" i="1"/>
  <c r="HF80" i="1"/>
  <c r="GT80" i="1"/>
  <c r="GS80" i="1"/>
  <c r="FB80" i="1"/>
  <c r="CA80" i="1"/>
  <c r="BD80" i="1"/>
  <c r="BC80" i="1"/>
  <c r="BB80" i="1"/>
  <c r="AV80" i="1"/>
  <c r="AG80" i="1"/>
  <c r="AF80" i="1"/>
  <c r="IA64" i="1"/>
  <c r="HZ64" i="1"/>
  <c r="HP64" i="1"/>
  <c r="HK64" i="1"/>
  <c r="HF64" i="1"/>
  <c r="GT64" i="1"/>
  <c r="GS64" i="1"/>
  <c r="FB64" i="1"/>
  <c r="CA64" i="1"/>
  <c r="BD64" i="1"/>
  <c r="BC64" i="1"/>
  <c r="BB64" i="1"/>
  <c r="AV64" i="1"/>
  <c r="AG64" i="1"/>
  <c r="AF64" i="1"/>
  <c r="IA91" i="1"/>
  <c r="HZ91" i="1"/>
  <c r="HP91" i="1"/>
  <c r="HK91" i="1"/>
  <c r="HF91" i="1"/>
  <c r="GT91" i="1"/>
  <c r="GS91" i="1"/>
  <c r="FB91" i="1"/>
  <c r="CA91" i="1"/>
  <c r="BD91" i="1"/>
  <c r="BC91" i="1"/>
  <c r="BB91" i="1"/>
  <c r="AV91" i="1"/>
  <c r="AG91" i="1"/>
  <c r="AF91" i="1"/>
  <c r="IA14" i="1"/>
  <c r="HZ14" i="1"/>
  <c r="HP14" i="1"/>
  <c r="HK14" i="1"/>
  <c r="HF14" i="1"/>
  <c r="GT14" i="1"/>
  <c r="GS14" i="1"/>
  <c r="FB14" i="1"/>
  <c r="CA14" i="1"/>
  <c r="BD14" i="1"/>
  <c r="BC14" i="1"/>
  <c r="BB14" i="1"/>
  <c r="AV14" i="1"/>
  <c r="AG14" i="1"/>
  <c r="AF14" i="1"/>
  <c r="IA20" i="1"/>
  <c r="HZ20" i="1"/>
  <c r="HP20" i="1"/>
  <c r="HK20" i="1"/>
  <c r="HF20" i="1"/>
  <c r="GT20" i="1"/>
  <c r="GS20" i="1"/>
  <c r="FB20" i="1"/>
  <c r="CA20" i="1"/>
  <c r="BD20" i="1"/>
  <c r="BC20" i="1"/>
  <c r="BB20" i="1"/>
  <c r="AV20" i="1"/>
  <c r="AG20" i="1"/>
  <c r="AF20" i="1"/>
  <c r="IA149" i="1"/>
  <c r="HZ149" i="1"/>
  <c r="HP149" i="1"/>
  <c r="HK149" i="1"/>
  <c r="HF149" i="1"/>
  <c r="GT149" i="1"/>
  <c r="GS149" i="1"/>
  <c r="FB149" i="1"/>
  <c r="CA149" i="1"/>
  <c r="BD149" i="1"/>
  <c r="BC149" i="1"/>
  <c r="BB149" i="1"/>
  <c r="AV149" i="1"/>
  <c r="AG149" i="1"/>
  <c r="AF149" i="1"/>
  <c r="IA36" i="1"/>
  <c r="HZ36" i="1"/>
  <c r="HP36" i="1"/>
  <c r="HK36" i="1"/>
  <c r="HF36" i="1"/>
  <c r="GT36" i="1"/>
  <c r="GS36" i="1"/>
  <c r="FB36" i="1"/>
  <c r="CA36" i="1"/>
  <c r="BD36" i="1"/>
  <c r="BC36" i="1"/>
  <c r="BB36" i="1"/>
  <c r="AV36" i="1"/>
  <c r="AG36" i="1"/>
  <c r="AF36" i="1"/>
  <c r="IA157" i="1"/>
  <c r="HZ157" i="1"/>
  <c r="HP157" i="1"/>
  <c r="HK157" i="1"/>
  <c r="HF157" i="1"/>
  <c r="GT157" i="1"/>
  <c r="GS157" i="1"/>
  <c r="FB157" i="1"/>
  <c r="CA157" i="1"/>
  <c r="BD157" i="1"/>
  <c r="BC157" i="1"/>
  <c r="BB157" i="1"/>
  <c r="AG157" i="1"/>
  <c r="AF157" i="1"/>
  <c r="IA55" i="1"/>
  <c r="HZ55" i="1"/>
  <c r="HP55" i="1"/>
  <c r="HK55" i="1"/>
  <c r="HF55" i="1"/>
  <c r="GT55" i="1"/>
  <c r="GS55" i="1"/>
  <c r="FB55" i="1"/>
  <c r="CA55" i="1"/>
  <c r="BD55" i="1"/>
  <c r="BC55" i="1"/>
  <c r="BB55" i="1"/>
  <c r="AV55" i="1"/>
  <c r="AG55" i="1"/>
  <c r="AF55" i="1"/>
  <c r="IA90" i="1"/>
  <c r="HZ90" i="1"/>
  <c r="HP90" i="1"/>
  <c r="HK90" i="1"/>
  <c r="HF90" i="1"/>
  <c r="GT90" i="1"/>
  <c r="GS90" i="1"/>
  <c r="FB90" i="1"/>
  <c r="CA90" i="1"/>
  <c r="BD90" i="1"/>
  <c r="BC90" i="1"/>
  <c r="BB90" i="1"/>
  <c r="AV90" i="1"/>
  <c r="IA23" i="1"/>
  <c r="HZ23" i="1"/>
  <c r="HP23" i="1"/>
  <c r="HK23" i="1"/>
  <c r="HF23" i="1"/>
  <c r="GT23" i="1"/>
  <c r="GS23" i="1"/>
  <c r="FB23" i="1"/>
  <c r="CA23" i="1"/>
  <c r="BD23" i="1"/>
  <c r="BC23" i="1"/>
  <c r="BB23" i="1"/>
  <c r="AV23" i="1"/>
  <c r="AG23" i="1"/>
  <c r="AF23" i="1"/>
  <c r="IA21" i="1"/>
  <c r="HZ21" i="1"/>
  <c r="HP21" i="1"/>
  <c r="HK21" i="1"/>
  <c r="HF21" i="1"/>
  <c r="GT21" i="1"/>
  <c r="GS21" i="1"/>
  <c r="FB21" i="1"/>
  <c r="CA21" i="1"/>
  <c r="BD21" i="1"/>
  <c r="BC21" i="1"/>
  <c r="BB21" i="1"/>
  <c r="AV21" i="1"/>
  <c r="AG21" i="1"/>
  <c r="AF21" i="1"/>
  <c r="IA16" i="1"/>
  <c r="HZ16" i="1"/>
  <c r="HP16" i="1"/>
  <c r="HK16" i="1"/>
  <c r="HF16" i="1"/>
  <c r="GT16" i="1"/>
  <c r="GS16" i="1"/>
  <c r="FB16" i="1"/>
  <c r="CA16" i="1"/>
  <c r="BD16" i="1"/>
  <c r="BC16" i="1"/>
  <c r="BB16" i="1"/>
  <c r="AV16" i="1"/>
  <c r="AG16" i="1"/>
  <c r="AF16" i="1"/>
  <c r="IA15" i="1"/>
  <c r="HZ15" i="1"/>
  <c r="HP15" i="1"/>
  <c r="HK15" i="1"/>
  <c r="HF15" i="1"/>
  <c r="GT15" i="1"/>
  <c r="GS15" i="1"/>
  <c r="FB15" i="1"/>
  <c r="CA15" i="1"/>
  <c r="BD15" i="1"/>
  <c r="BC15" i="1"/>
  <c r="BB15" i="1"/>
  <c r="AV15" i="1"/>
  <c r="AG15" i="1"/>
  <c r="AF15" i="1"/>
  <c r="IA5" i="1"/>
  <c r="HZ5" i="1"/>
  <c r="HP5" i="1"/>
  <c r="HK5" i="1"/>
  <c r="HF5" i="1"/>
  <c r="GT5" i="1"/>
  <c r="GS5" i="1"/>
  <c r="FB5" i="1"/>
  <c r="CA5" i="1"/>
  <c r="BD5" i="1"/>
  <c r="BC5" i="1"/>
  <c r="BB5" i="1"/>
  <c r="AV5" i="1"/>
  <c r="AG5" i="1"/>
  <c r="AF5" i="1"/>
  <c r="IA4" i="1"/>
  <c r="HZ4" i="1"/>
  <c r="HP4" i="1"/>
  <c r="HK4" i="1"/>
  <c r="HF4" i="1"/>
  <c r="GT4" i="1"/>
  <c r="GS4" i="1"/>
  <c r="FB4" i="1"/>
  <c r="CA4" i="1"/>
  <c r="BD4" i="1"/>
  <c r="BC4" i="1"/>
  <c r="BB4" i="1"/>
  <c r="AV4" i="1"/>
  <c r="AG4" i="1"/>
  <c r="AF4" i="1"/>
  <c r="IA11" i="1"/>
  <c r="HZ11" i="1"/>
  <c r="HP11" i="1"/>
  <c r="HK11" i="1"/>
  <c r="HF11" i="1"/>
  <c r="GT11" i="1"/>
  <c r="GS11" i="1"/>
  <c r="FB11" i="1"/>
  <c r="CA11" i="1"/>
  <c r="BD11" i="1"/>
  <c r="BC11" i="1"/>
  <c r="BB11" i="1"/>
  <c r="AV11" i="1"/>
  <c r="AG11" i="1"/>
  <c r="AF11" i="1"/>
  <c r="IA13" i="1"/>
  <c r="HZ13" i="1"/>
  <c r="HP13" i="1"/>
  <c r="HK13" i="1"/>
  <c r="HF13" i="1"/>
  <c r="GT13" i="1"/>
  <c r="GS13" i="1"/>
  <c r="FB13" i="1"/>
  <c r="CA13" i="1"/>
  <c r="BD13" i="1"/>
  <c r="BC13" i="1"/>
  <c r="BB13" i="1"/>
  <c r="AV13" i="1"/>
  <c r="AG13" i="1"/>
  <c r="AF13" i="1"/>
  <c r="IA10" i="1"/>
  <c r="HZ10" i="1"/>
  <c r="HP10" i="1"/>
  <c r="HK10" i="1"/>
  <c r="HF10" i="1"/>
  <c r="GT10" i="1"/>
  <c r="GS10" i="1"/>
  <c r="FB10" i="1"/>
  <c r="CA10" i="1"/>
  <c r="BD10" i="1"/>
  <c r="BC10" i="1"/>
  <c r="BB10" i="1"/>
  <c r="AV10" i="1"/>
  <c r="AG10" i="1"/>
  <c r="AF10" i="1"/>
  <c r="IA147" i="1"/>
  <c r="HZ147" i="1"/>
  <c r="HP147" i="1"/>
  <c r="HK147" i="1"/>
  <c r="HF147" i="1"/>
  <c r="GT147" i="1"/>
  <c r="GS147" i="1"/>
  <c r="FB147" i="1"/>
  <c r="CA147" i="1"/>
  <c r="BD147" i="1"/>
  <c r="BC147" i="1"/>
  <c r="BB147" i="1"/>
  <c r="AV147" i="1"/>
  <c r="AG147" i="1"/>
  <c r="AF147" i="1"/>
  <c r="IA48" i="1"/>
  <c r="HZ48" i="1"/>
  <c r="HP48" i="1"/>
  <c r="HK48" i="1"/>
  <c r="HF48" i="1"/>
  <c r="GT48" i="1"/>
  <c r="GS48" i="1"/>
  <c r="FB48" i="1"/>
  <c r="CA48" i="1"/>
  <c r="BD48" i="1"/>
  <c r="BC48" i="1"/>
  <c r="BB48" i="1"/>
  <c r="AV48" i="1"/>
  <c r="AG48" i="1"/>
  <c r="AF48" i="1"/>
  <c r="IA56" i="1"/>
  <c r="HZ56" i="1"/>
  <c r="HP56" i="1"/>
  <c r="HK56" i="1"/>
  <c r="HF56" i="1"/>
  <c r="GT56" i="1"/>
  <c r="GS56" i="1"/>
  <c r="FB56" i="1"/>
  <c r="CA56" i="1"/>
  <c r="BD56" i="1"/>
  <c r="BC56" i="1"/>
  <c r="BB56" i="1"/>
  <c r="AV56" i="1"/>
  <c r="AG56" i="1"/>
  <c r="AF56" i="1"/>
  <c r="IA92" i="1"/>
  <c r="HZ92" i="1"/>
  <c r="HP92" i="1"/>
  <c r="HK92" i="1"/>
  <c r="HF92" i="1"/>
  <c r="GT92" i="1"/>
  <c r="GS92" i="1"/>
  <c r="FB92" i="1"/>
  <c r="CA92" i="1"/>
  <c r="BD92" i="1"/>
  <c r="BC92" i="1"/>
  <c r="BB92" i="1"/>
  <c r="AV92" i="1"/>
  <c r="AG92" i="1"/>
  <c r="AF92" i="1"/>
  <c r="IA46" i="1"/>
  <c r="HZ46" i="1"/>
  <c r="HP46" i="1"/>
  <c r="HK46" i="1"/>
  <c r="HF46" i="1"/>
  <c r="GT46" i="1"/>
  <c r="GS46" i="1"/>
  <c r="FB46" i="1"/>
  <c r="CA46" i="1"/>
  <c r="BD46" i="1"/>
  <c r="BC46" i="1"/>
  <c r="BB46" i="1"/>
  <c r="AV46" i="1"/>
  <c r="AG46" i="1"/>
  <c r="AF46" i="1"/>
  <c r="IA9" i="1"/>
  <c r="HZ9" i="1"/>
  <c r="HP9" i="1"/>
  <c r="HK9" i="1"/>
  <c r="HF9" i="1"/>
  <c r="GT9" i="1"/>
  <c r="GS9" i="1"/>
  <c r="FB9" i="1"/>
  <c r="CA9" i="1"/>
  <c r="BD9" i="1"/>
  <c r="BC9" i="1"/>
  <c r="BB9" i="1"/>
  <c r="AV9" i="1"/>
  <c r="AG9" i="1"/>
  <c r="AF9" i="1"/>
  <c r="IA8" i="1"/>
  <c r="HZ8" i="1"/>
  <c r="HP8" i="1"/>
  <c r="HK8" i="1"/>
  <c r="HF8" i="1"/>
  <c r="GT8" i="1"/>
  <c r="GS8" i="1"/>
  <c r="FB8" i="1"/>
  <c r="CA8" i="1"/>
  <c r="BD8" i="1"/>
  <c r="BC8" i="1"/>
  <c r="BB8" i="1"/>
  <c r="AV8" i="1"/>
  <c r="AG8" i="1"/>
  <c r="AF8" i="1"/>
  <c r="IA7" i="1"/>
  <c r="HZ7" i="1"/>
  <c r="HP7" i="1"/>
  <c r="HK7" i="1"/>
  <c r="HF7" i="1"/>
  <c r="GT7" i="1"/>
  <c r="GS7" i="1"/>
  <c r="FB7" i="1"/>
  <c r="CA7" i="1"/>
  <c r="BD7" i="1"/>
  <c r="BC7" i="1"/>
  <c r="BB7" i="1"/>
  <c r="AV7" i="1"/>
  <c r="AG7" i="1"/>
  <c r="AF7" i="1"/>
  <c r="IA6" i="1"/>
  <c r="HZ6" i="1"/>
  <c r="HP6" i="1"/>
  <c r="HK6" i="1"/>
  <c r="HF6" i="1"/>
  <c r="GT6" i="1"/>
  <c r="GS6" i="1"/>
  <c r="FB6" i="1"/>
  <c r="CA6" i="1"/>
  <c r="BD6" i="1"/>
  <c r="BC6" i="1"/>
  <c r="BB6" i="1"/>
  <c r="AV6" i="1"/>
  <c r="AG6" i="1"/>
  <c r="AF6" i="1"/>
  <c r="IA28" i="1"/>
  <c r="HZ28" i="1"/>
  <c r="HP28" i="1"/>
  <c r="HK28" i="1"/>
  <c r="HF28" i="1"/>
  <c r="GT28" i="1"/>
  <c r="GS28" i="1"/>
  <c r="FB28" i="1"/>
  <c r="CA28" i="1"/>
  <c r="BD28" i="1"/>
  <c r="BC28" i="1"/>
  <c r="BB28" i="1"/>
  <c r="AV28" i="1"/>
  <c r="AG28" i="1"/>
  <c r="AF28" i="1"/>
  <c r="IA117" i="1"/>
  <c r="HZ117" i="1"/>
  <c r="HP117" i="1"/>
  <c r="HK117" i="1"/>
  <c r="HF117" i="1"/>
  <c r="GT117" i="1"/>
  <c r="GS117" i="1"/>
  <c r="FB117" i="1"/>
  <c r="CA117" i="1"/>
  <c r="BD117" i="1"/>
  <c r="BC117" i="1"/>
  <c r="BB117" i="1"/>
  <c r="AV117" i="1"/>
  <c r="AG117" i="1"/>
  <c r="AF117" i="1"/>
  <c r="IA58" i="1"/>
  <c r="HZ58" i="1"/>
  <c r="HP58" i="1"/>
  <c r="HK58" i="1"/>
  <c r="HF58" i="1"/>
  <c r="GT58" i="1"/>
  <c r="GS58" i="1"/>
  <c r="FB58" i="1"/>
  <c r="CA58" i="1"/>
  <c r="BD58" i="1"/>
  <c r="BC58" i="1"/>
  <c r="BB58" i="1"/>
  <c r="AV58" i="1"/>
  <c r="AG58" i="1"/>
  <c r="AF58" i="1"/>
  <c r="IA99" i="1"/>
  <c r="HZ99" i="1"/>
  <c r="HP99" i="1"/>
  <c r="HK99" i="1"/>
  <c r="HF99" i="1"/>
  <c r="GT99" i="1"/>
  <c r="GS99" i="1"/>
  <c r="FB99" i="1"/>
  <c r="CA99" i="1"/>
  <c r="BD99" i="1"/>
  <c r="BC99" i="1"/>
  <c r="BB99" i="1"/>
  <c r="AV99" i="1"/>
  <c r="AG99" i="1"/>
  <c r="AF99" i="1"/>
  <c r="IA151" i="1"/>
  <c r="HZ151" i="1"/>
  <c r="HP151" i="1"/>
  <c r="HK151" i="1"/>
  <c r="HF151" i="1"/>
  <c r="GT151" i="1"/>
  <c r="GS151" i="1"/>
  <c r="FB151" i="1"/>
  <c r="CA151" i="1"/>
  <c r="BD151" i="1"/>
  <c r="BC151" i="1"/>
  <c r="BB151" i="1"/>
  <c r="AV151" i="1"/>
  <c r="AG151" i="1"/>
  <c r="AF151" i="1"/>
  <c r="IA45" i="1"/>
  <c r="HZ45" i="1"/>
  <c r="HP45" i="1"/>
  <c r="HK45" i="1"/>
  <c r="HF45" i="1"/>
  <c r="GT45" i="1"/>
  <c r="GS45" i="1"/>
  <c r="FB45" i="1"/>
  <c r="CA45" i="1"/>
  <c r="BD45" i="1"/>
  <c r="BC45" i="1"/>
  <c r="BB45" i="1"/>
  <c r="AV45" i="1"/>
  <c r="AG45" i="1"/>
  <c r="AF45" i="1"/>
  <c r="IA17" i="1"/>
  <c r="HZ17" i="1"/>
  <c r="HP17" i="1"/>
  <c r="HK17" i="1"/>
  <c r="HF17" i="1"/>
  <c r="GT17" i="1"/>
  <c r="GS17" i="1"/>
  <c r="FB17" i="1"/>
  <c r="CA17" i="1"/>
  <c r="BD17" i="1"/>
  <c r="BC17" i="1"/>
  <c r="BB17" i="1"/>
  <c r="AV17" i="1"/>
  <c r="AG17" i="1"/>
  <c r="AF17" i="1"/>
  <c r="IA121" i="1"/>
  <c r="HZ121" i="1"/>
  <c r="HP121" i="1"/>
  <c r="HK121" i="1"/>
  <c r="HF121" i="1"/>
  <c r="GT121" i="1"/>
  <c r="GS121" i="1"/>
  <c r="FB121" i="1"/>
  <c r="CA121" i="1"/>
  <c r="BD121" i="1"/>
  <c r="BC121" i="1"/>
  <c r="BB121" i="1"/>
  <c r="AV121" i="1"/>
  <c r="AG121" i="1"/>
  <c r="AF121" i="1"/>
  <c r="IA180" i="1"/>
  <c r="HZ180" i="1"/>
  <c r="HP180" i="1"/>
  <c r="HK180" i="1"/>
  <c r="HF180" i="1"/>
  <c r="GT180" i="1"/>
  <c r="GS180" i="1"/>
  <c r="FB180" i="1"/>
  <c r="CA180" i="1"/>
  <c r="BD180" i="1"/>
  <c r="BC180" i="1"/>
  <c r="BB180" i="1"/>
  <c r="AV180" i="1"/>
  <c r="AG180" i="1"/>
  <c r="AF180" i="1"/>
  <c r="IA95" i="1"/>
  <c r="HZ95" i="1"/>
  <c r="HP95" i="1"/>
  <c r="HK95" i="1"/>
  <c r="HF95" i="1"/>
  <c r="GT95" i="1"/>
  <c r="GS95" i="1"/>
  <c r="FB95" i="1"/>
  <c r="CA95" i="1"/>
  <c r="BD95" i="1"/>
  <c r="BC95" i="1"/>
  <c r="BB95" i="1"/>
  <c r="AV95" i="1"/>
  <c r="AG95" i="1"/>
  <c r="AF95" i="1"/>
  <c r="IA85" i="1"/>
  <c r="HZ85" i="1"/>
  <c r="HP85" i="1"/>
  <c r="HK85" i="1"/>
  <c r="HF85" i="1"/>
  <c r="GT85" i="1"/>
  <c r="GS85" i="1"/>
  <c r="FB85" i="1"/>
  <c r="CA85" i="1"/>
  <c r="BD85" i="1"/>
  <c r="BC85" i="1"/>
  <c r="BB85" i="1"/>
  <c r="AV85" i="1"/>
  <c r="AG85" i="1"/>
  <c r="AF85" i="1"/>
  <c r="IA50" i="1"/>
  <c r="HZ50" i="1"/>
  <c r="HP50" i="1"/>
  <c r="HK50" i="1"/>
  <c r="HF50" i="1"/>
  <c r="GT50" i="1"/>
  <c r="GS50" i="1"/>
  <c r="FB50" i="1"/>
  <c r="CA50" i="1"/>
  <c r="BD50" i="1"/>
  <c r="BC50" i="1"/>
  <c r="BB50" i="1"/>
  <c r="AV50" i="1"/>
  <c r="AG50" i="1"/>
  <c r="AF50" i="1"/>
  <c r="IA44" i="1"/>
  <c r="HZ44" i="1"/>
  <c r="HP44" i="1"/>
  <c r="HK44" i="1"/>
  <c r="HF44" i="1"/>
  <c r="GT44" i="1"/>
  <c r="GS44" i="1"/>
  <c r="FB44" i="1"/>
  <c r="CA44" i="1"/>
  <c r="BD44" i="1"/>
  <c r="BC44" i="1"/>
  <c r="BB44" i="1"/>
  <c r="AV44" i="1"/>
  <c r="AG44" i="1"/>
  <c r="AF44" i="1"/>
  <c r="IA43" i="1"/>
  <c r="HZ43" i="1"/>
  <c r="HP43" i="1"/>
  <c r="HK43" i="1"/>
  <c r="HF43" i="1"/>
  <c r="GT43" i="1"/>
  <c r="GS43" i="1"/>
  <c r="FB43" i="1"/>
  <c r="CA43" i="1"/>
  <c r="BD43" i="1"/>
  <c r="BC43" i="1"/>
  <c r="BB43" i="1"/>
  <c r="AV43" i="1"/>
  <c r="AG43" i="1"/>
  <c r="AF43" i="1"/>
  <c r="IA133" i="1"/>
  <c r="HZ133" i="1"/>
  <c r="HP133" i="1"/>
  <c r="HK133" i="1"/>
  <c r="HF133" i="1"/>
  <c r="GT133" i="1"/>
  <c r="GS133" i="1"/>
  <c r="FB133" i="1"/>
  <c r="CA133" i="1"/>
  <c r="BD133" i="1"/>
  <c r="BC133" i="1"/>
  <c r="BB133" i="1"/>
  <c r="AV133" i="1"/>
  <c r="AG133" i="1"/>
  <c r="AF133" i="1"/>
  <c r="IA132" i="1"/>
  <c r="HZ132" i="1"/>
  <c r="HP132" i="1"/>
  <c r="HK132" i="1"/>
  <c r="HF132" i="1"/>
  <c r="GT132" i="1"/>
  <c r="GS132" i="1"/>
  <c r="FB132" i="1"/>
  <c r="CA132" i="1"/>
  <c r="BD132" i="1"/>
  <c r="BC132" i="1"/>
  <c r="BB132" i="1"/>
  <c r="AV132" i="1"/>
  <c r="AG132" i="1"/>
  <c r="AF132" i="1"/>
  <c r="IA101" i="1"/>
  <c r="HZ101" i="1"/>
  <c r="HP101" i="1"/>
  <c r="HK101" i="1"/>
  <c r="HF101" i="1"/>
  <c r="GT101" i="1"/>
  <c r="GS101" i="1"/>
  <c r="FB101" i="1"/>
  <c r="CA101" i="1"/>
  <c r="BD101" i="1"/>
  <c r="BC101" i="1"/>
  <c r="BB101" i="1"/>
  <c r="AV101" i="1"/>
  <c r="AG101" i="1"/>
  <c r="AF101" i="1"/>
  <c r="IA140" i="1"/>
  <c r="HZ140" i="1"/>
  <c r="HP140" i="1"/>
  <c r="HK140" i="1"/>
  <c r="HF140" i="1"/>
  <c r="GT140" i="1"/>
  <c r="GS140" i="1"/>
  <c r="FB140" i="1"/>
  <c r="CA140" i="1"/>
  <c r="BD140" i="1"/>
  <c r="BC140" i="1"/>
  <c r="BB140" i="1"/>
  <c r="AV140" i="1"/>
  <c r="AG140" i="1"/>
  <c r="AF140" i="1"/>
  <c r="IA83" i="1"/>
  <c r="HZ83" i="1"/>
  <c r="HP83" i="1"/>
  <c r="HK83" i="1"/>
  <c r="HF83" i="1"/>
  <c r="GT83" i="1"/>
  <c r="GS83" i="1"/>
  <c r="FB83" i="1"/>
  <c r="CA83" i="1"/>
  <c r="BD83" i="1"/>
  <c r="BC83" i="1"/>
  <c r="BB83" i="1"/>
  <c r="AV83" i="1"/>
  <c r="AG83" i="1"/>
  <c r="AF83" i="1"/>
  <c r="IA164" i="1"/>
  <c r="HZ164" i="1"/>
  <c r="HP164" i="1"/>
  <c r="HK164" i="1"/>
  <c r="HF164" i="1"/>
  <c r="GT164" i="1"/>
  <c r="GS164" i="1"/>
  <c r="FB164" i="1"/>
  <c r="CA164" i="1"/>
  <c r="BD164" i="1"/>
  <c r="BC164" i="1"/>
  <c r="BB164" i="1"/>
  <c r="AV164" i="1"/>
  <c r="AG164" i="1"/>
  <c r="AF164" i="1"/>
  <c r="IA84" i="1"/>
  <c r="HZ84" i="1"/>
  <c r="HP84" i="1"/>
  <c r="HK84" i="1"/>
  <c r="HF84" i="1"/>
  <c r="GT84" i="1"/>
  <c r="GS84" i="1"/>
  <c r="FB84" i="1"/>
  <c r="CA84" i="1"/>
  <c r="BD84" i="1"/>
  <c r="BC84" i="1"/>
  <c r="BB84" i="1"/>
  <c r="AV84" i="1"/>
  <c r="AG84" i="1"/>
  <c r="AF84" i="1"/>
  <c r="IA94" i="1"/>
  <c r="HZ94" i="1"/>
  <c r="HP94" i="1"/>
  <c r="HK94" i="1"/>
  <c r="HF94" i="1"/>
  <c r="GT94" i="1"/>
  <c r="GS94" i="1"/>
  <c r="FB94" i="1"/>
  <c r="CA94" i="1"/>
  <c r="BD94" i="1"/>
  <c r="BC94" i="1"/>
  <c r="BB94" i="1"/>
  <c r="AV94" i="1"/>
  <c r="AG94" i="1"/>
  <c r="AF94" i="1"/>
  <c r="IA3" i="1"/>
  <c r="HZ3" i="1"/>
  <c r="HP3" i="1"/>
  <c r="HK3" i="1"/>
  <c r="HF3" i="1"/>
  <c r="GT3" i="1"/>
  <c r="GS3" i="1"/>
  <c r="FB3" i="1"/>
  <c r="CA3" i="1"/>
  <c r="BD3" i="1"/>
  <c r="BC3" i="1"/>
  <c r="BB3" i="1"/>
  <c r="AV3" i="1"/>
  <c r="AG3" i="1"/>
  <c r="AF3" i="1"/>
  <c r="IA39" i="1"/>
  <c r="HZ39" i="1"/>
  <c r="HP39" i="1"/>
  <c r="HK39" i="1"/>
  <c r="HF39" i="1"/>
  <c r="GT39" i="1"/>
  <c r="GS39" i="1"/>
  <c r="FB39" i="1"/>
  <c r="CA39" i="1"/>
  <c r="BD39" i="1"/>
  <c r="BC39" i="1"/>
  <c r="BB39" i="1"/>
  <c r="AV39" i="1"/>
  <c r="AG39" i="1"/>
  <c r="AF39" i="1"/>
  <c r="IA27" i="1"/>
  <c r="HZ27" i="1"/>
  <c r="HP27" i="1"/>
  <c r="HK27" i="1"/>
  <c r="HF27" i="1"/>
  <c r="GT27" i="1"/>
  <c r="GS27" i="1"/>
  <c r="FB27" i="1"/>
  <c r="CA27" i="1"/>
  <c r="BD27" i="1"/>
  <c r="BC27" i="1"/>
  <c r="BB27" i="1"/>
  <c r="AV27" i="1"/>
  <c r="AG27" i="1"/>
  <c r="AF27" i="1"/>
  <c r="IA89" i="1"/>
  <c r="HZ89" i="1"/>
  <c r="HP89" i="1"/>
  <c r="HK89" i="1"/>
  <c r="HF89" i="1"/>
  <c r="GT89" i="1"/>
  <c r="GS89" i="1"/>
  <c r="FB89" i="1"/>
  <c r="CA89" i="1"/>
  <c r="BD89" i="1"/>
  <c r="BC89" i="1"/>
  <c r="BB89" i="1"/>
  <c r="AV89" i="1"/>
  <c r="AG89" i="1"/>
  <c r="AF89" i="1"/>
  <c r="IA35" i="1"/>
  <c r="HZ35" i="1"/>
  <c r="HP35" i="1"/>
  <c r="HK35" i="1"/>
  <c r="HF35" i="1"/>
  <c r="GT35" i="1"/>
  <c r="GS35" i="1"/>
  <c r="FB35" i="1"/>
  <c r="CA35" i="1"/>
  <c r="BD35" i="1"/>
  <c r="BC35" i="1"/>
  <c r="BB35" i="1"/>
  <c r="AV35" i="1"/>
  <c r="AG35" i="1"/>
  <c r="AF35" i="1"/>
  <c r="IA61" i="1"/>
  <c r="HZ61" i="1"/>
  <c r="HP61" i="1"/>
  <c r="HK61" i="1"/>
  <c r="HF61" i="1"/>
  <c r="GT61" i="1"/>
  <c r="GS61" i="1"/>
  <c r="FB61" i="1"/>
  <c r="CA61" i="1"/>
  <c r="BD61" i="1"/>
  <c r="BC61" i="1"/>
  <c r="BB61" i="1"/>
  <c r="AV61" i="1"/>
  <c r="AG61" i="1"/>
  <c r="AF61" i="1"/>
  <c r="IA62" i="1"/>
  <c r="HZ62" i="1"/>
  <c r="HP62" i="1"/>
  <c r="HK62" i="1"/>
  <c r="HF62" i="1"/>
  <c r="GT62" i="1"/>
  <c r="GS62" i="1"/>
  <c r="FB62" i="1"/>
  <c r="CA62" i="1"/>
  <c r="BD62" i="1"/>
  <c r="BC62" i="1"/>
  <c r="BB62" i="1"/>
  <c r="AV62" i="1"/>
  <c r="AG62" i="1"/>
  <c r="AF62" i="1"/>
  <c r="IA105" i="1"/>
  <c r="HZ105" i="1"/>
  <c r="HP105" i="1"/>
  <c r="HK105" i="1"/>
  <c r="HF105" i="1"/>
  <c r="GT105" i="1"/>
  <c r="GS105" i="1"/>
  <c r="FB105" i="1"/>
  <c r="CA105" i="1"/>
  <c r="BD105" i="1"/>
  <c r="BC105" i="1"/>
  <c r="BB105" i="1"/>
  <c r="AV105" i="1"/>
  <c r="AG105" i="1"/>
  <c r="AF105" i="1"/>
  <c r="IA40" i="1"/>
  <c r="HZ40" i="1"/>
  <c r="HP40" i="1"/>
  <c r="HK40" i="1"/>
  <c r="HF40" i="1"/>
  <c r="GT40" i="1"/>
  <c r="GS40" i="1"/>
  <c r="FB40" i="1"/>
  <c r="CA40" i="1"/>
  <c r="BD40" i="1"/>
  <c r="BC40" i="1"/>
  <c r="BB40" i="1"/>
  <c r="AV40" i="1"/>
  <c r="AG40" i="1"/>
  <c r="AF40" i="1"/>
  <c r="IA60" i="1"/>
  <c r="HZ60" i="1"/>
  <c r="HP60" i="1"/>
  <c r="HK60" i="1"/>
  <c r="HF60" i="1"/>
  <c r="GT60" i="1"/>
  <c r="GS60" i="1"/>
  <c r="FB60" i="1"/>
  <c r="CA60" i="1"/>
  <c r="BD60" i="1"/>
  <c r="BC60" i="1"/>
  <c r="BB60" i="1"/>
  <c r="AV60" i="1"/>
  <c r="AG60" i="1"/>
  <c r="AF60" i="1"/>
  <c r="IA167" i="1"/>
  <c r="HZ167" i="1"/>
  <c r="HP167" i="1"/>
  <c r="HK167" i="1"/>
  <c r="HF167" i="1"/>
  <c r="GT167" i="1"/>
  <c r="GS167" i="1"/>
  <c r="FB167" i="1"/>
  <c r="CA167" i="1"/>
  <c r="BD167" i="1"/>
  <c r="BC167" i="1"/>
  <c r="BB167" i="1"/>
  <c r="AV167" i="1"/>
  <c r="IA152" i="1"/>
  <c r="HZ152" i="1"/>
  <c r="HP152" i="1"/>
  <c r="HK152" i="1"/>
  <c r="HF152" i="1"/>
  <c r="GT152" i="1"/>
  <c r="GS152" i="1"/>
  <c r="FB152" i="1"/>
  <c r="CA152" i="1"/>
  <c r="BD152" i="1"/>
  <c r="BC152" i="1"/>
  <c r="BB152" i="1"/>
  <c r="AV152" i="1"/>
  <c r="AG152" i="1"/>
  <c r="AF152" i="1"/>
  <c r="IA49" i="1"/>
  <c r="HZ49" i="1"/>
  <c r="HP49" i="1"/>
  <c r="HK49" i="1"/>
  <c r="HF49" i="1"/>
  <c r="GT49" i="1"/>
  <c r="GS49" i="1"/>
  <c r="FB49" i="1"/>
  <c r="CA49" i="1"/>
  <c r="BD49" i="1"/>
  <c r="BC49" i="1"/>
  <c r="BB49" i="1"/>
  <c r="AV49" i="1"/>
  <c r="AG49" i="1"/>
  <c r="AF49" i="1"/>
  <c r="IA130" i="1"/>
  <c r="HZ130" i="1"/>
  <c r="HP130" i="1"/>
  <c r="HK130" i="1"/>
  <c r="HF130" i="1"/>
  <c r="GT130" i="1"/>
  <c r="GS130" i="1"/>
  <c r="FB130" i="1"/>
  <c r="CA130" i="1"/>
  <c r="BD130" i="1"/>
  <c r="BC130" i="1"/>
  <c r="BB130" i="1"/>
  <c r="AV130" i="1"/>
  <c r="AG130" i="1"/>
  <c r="AF130" i="1"/>
  <c r="IA103" i="1"/>
  <c r="HZ103" i="1"/>
  <c r="HP103" i="1"/>
  <c r="HK103" i="1"/>
  <c r="HF103" i="1"/>
  <c r="GT103" i="1"/>
  <c r="GS103" i="1"/>
  <c r="FB103" i="1"/>
  <c r="CA103" i="1"/>
  <c r="BD103" i="1"/>
  <c r="BC103" i="1"/>
  <c r="BB103" i="1"/>
  <c r="AV103" i="1"/>
  <c r="AG103" i="1"/>
  <c r="AF103" i="1"/>
  <c r="IA176" i="1"/>
  <c r="HZ176" i="1"/>
  <c r="HP176" i="1"/>
  <c r="HK176" i="1"/>
  <c r="HF176" i="1"/>
  <c r="GT176" i="1"/>
  <c r="GS176" i="1"/>
  <c r="FB176" i="1"/>
  <c r="CA176" i="1"/>
  <c r="BD176" i="1"/>
  <c r="BC176" i="1"/>
  <c r="BB176" i="1"/>
  <c r="AV176" i="1"/>
  <c r="AG176" i="1"/>
  <c r="AF176" i="1"/>
  <c r="IA175" i="1"/>
  <c r="HZ175" i="1"/>
  <c r="HP175" i="1"/>
  <c r="HK175" i="1"/>
  <c r="HF175" i="1"/>
  <c r="GT175" i="1"/>
  <c r="GS175" i="1"/>
  <c r="FB175" i="1"/>
  <c r="CA175" i="1"/>
  <c r="BD175" i="1"/>
  <c r="BC175" i="1"/>
  <c r="BB175" i="1"/>
  <c r="AV175" i="1"/>
  <c r="AG175" i="1"/>
  <c r="AF175" i="1"/>
  <c r="IA174" i="1"/>
  <c r="HZ174" i="1"/>
  <c r="HP174" i="1"/>
  <c r="HK174" i="1"/>
  <c r="HF174" i="1"/>
  <c r="GT174" i="1"/>
  <c r="GS174" i="1"/>
  <c r="FB174" i="1"/>
  <c r="CA174" i="1"/>
  <c r="BD174" i="1"/>
  <c r="BC174" i="1"/>
  <c r="BB174" i="1"/>
  <c r="AV174" i="1"/>
  <c r="AG174" i="1"/>
  <c r="AF174" i="1"/>
  <c r="IA129" i="1"/>
  <c r="HZ129" i="1"/>
  <c r="HP129" i="1"/>
  <c r="HK129" i="1"/>
  <c r="HF129" i="1"/>
  <c r="GT129" i="1"/>
  <c r="GS129" i="1"/>
  <c r="FB129" i="1"/>
  <c r="CA129" i="1"/>
  <c r="BD129" i="1"/>
  <c r="BC129" i="1"/>
  <c r="BB129" i="1"/>
  <c r="AV129" i="1"/>
  <c r="AG129" i="1"/>
  <c r="AF129" i="1"/>
  <c r="IA125" i="1"/>
  <c r="HZ125" i="1"/>
  <c r="HP125" i="1"/>
  <c r="HK125" i="1"/>
  <c r="HF125" i="1"/>
  <c r="GT125" i="1"/>
  <c r="GS125" i="1"/>
  <c r="FB125" i="1"/>
  <c r="CA125" i="1"/>
  <c r="BD125" i="1"/>
  <c r="BC125" i="1"/>
  <c r="BB125" i="1"/>
  <c r="AV125" i="1"/>
  <c r="AG125" i="1"/>
  <c r="AF125" i="1"/>
  <c r="IA137" i="1"/>
  <c r="HZ137" i="1"/>
  <c r="HP137" i="1"/>
  <c r="HK137" i="1"/>
  <c r="HF137" i="1"/>
  <c r="GT137" i="1"/>
  <c r="GS137" i="1"/>
  <c r="FB137" i="1"/>
  <c r="CA137" i="1"/>
  <c r="BD137" i="1"/>
  <c r="BC137" i="1"/>
  <c r="BB137" i="1"/>
  <c r="AV137" i="1"/>
  <c r="AG137" i="1"/>
  <c r="AF137" i="1"/>
  <c r="IA59" i="1"/>
  <c r="HZ59" i="1"/>
  <c r="HP59" i="1"/>
  <c r="HK59" i="1"/>
  <c r="HF59" i="1"/>
  <c r="GT59" i="1"/>
  <c r="GS59" i="1"/>
  <c r="FB59" i="1"/>
  <c r="CA59" i="1"/>
  <c r="BD59" i="1"/>
  <c r="BC59" i="1"/>
  <c r="BB59" i="1"/>
  <c r="AV59" i="1"/>
  <c r="AG59" i="1"/>
  <c r="AF59" i="1"/>
  <c r="IA114" i="1"/>
  <c r="HZ114" i="1"/>
  <c r="HP114" i="1"/>
  <c r="HK114" i="1"/>
  <c r="HF114" i="1"/>
  <c r="GT114" i="1"/>
  <c r="GS114" i="1"/>
  <c r="FB114" i="1"/>
  <c r="CA114" i="1"/>
  <c r="BD114" i="1"/>
  <c r="BC114" i="1"/>
  <c r="BB114" i="1"/>
  <c r="AV114" i="1"/>
  <c r="AG114" i="1"/>
  <c r="AF114" i="1"/>
  <c r="IA115" i="1"/>
  <c r="HZ115" i="1"/>
  <c r="HP115" i="1"/>
  <c r="HK115" i="1"/>
  <c r="HF115" i="1"/>
  <c r="GT115" i="1"/>
  <c r="GS115" i="1"/>
  <c r="FB115" i="1"/>
  <c r="CA115" i="1"/>
  <c r="BD115" i="1"/>
  <c r="BC115" i="1"/>
  <c r="BB115" i="1"/>
  <c r="AV115" i="1"/>
  <c r="AG115" i="1"/>
  <c r="AF115" i="1"/>
  <c r="IA51" i="1"/>
  <c r="HZ51" i="1"/>
  <c r="HP51" i="1"/>
  <c r="HK51" i="1"/>
  <c r="HF51" i="1"/>
  <c r="GT51" i="1"/>
  <c r="GS51" i="1"/>
  <c r="FB51" i="1"/>
  <c r="CA51" i="1"/>
  <c r="BD51" i="1"/>
  <c r="BC51" i="1"/>
  <c r="BB51" i="1"/>
  <c r="AV51" i="1"/>
  <c r="AG51" i="1"/>
  <c r="AF51" i="1"/>
  <c r="IA135" i="1"/>
  <c r="HZ135" i="1"/>
  <c r="HP135" i="1"/>
  <c r="HK135" i="1"/>
  <c r="HF135" i="1"/>
  <c r="GT135" i="1"/>
  <c r="GS135" i="1"/>
  <c r="FB135" i="1"/>
  <c r="CA135" i="1"/>
  <c r="BD135" i="1"/>
  <c r="BC135" i="1"/>
  <c r="BB135" i="1"/>
  <c r="AV135" i="1"/>
  <c r="AG135" i="1"/>
  <c r="AF135" i="1"/>
  <c r="IA73" i="1"/>
  <c r="HZ73" i="1"/>
  <c r="HP73" i="1"/>
  <c r="HK73" i="1"/>
  <c r="HF73" i="1"/>
  <c r="GT73" i="1"/>
  <c r="GS73" i="1"/>
  <c r="FB73" i="1"/>
  <c r="CA73" i="1"/>
  <c r="BD73" i="1"/>
  <c r="BC73" i="1"/>
  <c r="BB73" i="1"/>
  <c r="AV73" i="1"/>
  <c r="AG73" i="1"/>
  <c r="AF73" i="1"/>
  <c r="IA170" i="1"/>
  <c r="HZ170" i="1"/>
  <c r="HP170" i="1"/>
  <c r="HK170" i="1"/>
  <c r="HF170" i="1"/>
  <c r="GT170" i="1"/>
  <c r="GS170" i="1"/>
  <c r="FB170" i="1"/>
  <c r="CA170" i="1"/>
  <c r="BD170" i="1"/>
  <c r="BC170" i="1"/>
  <c r="BB170" i="1"/>
  <c r="AV170" i="1"/>
  <c r="AG170" i="1"/>
  <c r="AF170" i="1"/>
  <c r="IA161" i="1"/>
  <c r="HZ161" i="1"/>
  <c r="HP161" i="1"/>
  <c r="HK161" i="1"/>
  <c r="HF161" i="1"/>
  <c r="GT161" i="1"/>
  <c r="GS161" i="1"/>
  <c r="FB161" i="1"/>
  <c r="CA161" i="1"/>
  <c r="BD161" i="1"/>
  <c r="BC161" i="1"/>
  <c r="BB161" i="1"/>
  <c r="AV161" i="1"/>
  <c r="AG161" i="1"/>
  <c r="AF161" i="1"/>
  <c r="IA162" i="1"/>
  <c r="HZ162" i="1"/>
  <c r="HP162" i="1"/>
  <c r="HK162" i="1"/>
  <c r="HF162" i="1"/>
  <c r="GT162" i="1"/>
  <c r="GS162" i="1"/>
  <c r="FB162" i="1"/>
  <c r="CA162" i="1"/>
  <c r="BD162" i="1"/>
  <c r="BC162" i="1"/>
  <c r="BB162" i="1"/>
  <c r="AV162" i="1"/>
  <c r="AG162" i="1"/>
  <c r="AF162" i="1"/>
  <c r="IA41" i="1"/>
  <c r="HZ41" i="1"/>
  <c r="HP41" i="1"/>
  <c r="HK41" i="1"/>
  <c r="HF41" i="1"/>
  <c r="GT41" i="1"/>
  <c r="GS41" i="1"/>
  <c r="FB41" i="1"/>
  <c r="CA41" i="1"/>
  <c r="BD41" i="1"/>
  <c r="BC41" i="1"/>
  <c r="BB41" i="1"/>
  <c r="AV41" i="1"/>
  <c r="AG41" i="1"/>
  <c r="AF41" i="1"/>
  <c r="IA52" i="1"/>
  <c r="HZ52" i="1"/>
  <c r="HP52" i="1"/>
  <c r="HK52" i="1"/>
  <c r="HF52" i="1"/>
  <c r="GT52" i="1"/>
  <c r="GS52" i="1"/>
  <c r="FB52" i="1"/>
  <c r="CA52" i="1"/>
  <c r="BD52" i="1"/>
  <c r="BC52" i="1"/>
  <c r="BB52" i="1"/>
  <c r="AV52" i="1"/>
  <c r="AG52" i="1"/>
  <c r="AF52" i="1"/>
</calcChain>
</file>

<file path=xl/sharedStrings.xml><?xml version="1.0" encoding="utf-8"?>
<sst xmlns="http://schemas.openxmlformats.org/spreadsheetml/2006/main" count="10179" uniqueCount="2480">
  <si>
    <t>GONZALES BONIFACIO</t>
  </si>
  <si>
    <t>BONIFACIO</t>
  </si>
  <si>
    <t>GONZALES</t>
  </si>
  <si>
    <t>INDIVIDUAL</t>
  </si>
  <si>
    <t>BONIFACIO GONZALES</t>
  </si>
  <si>
    <t>A</t>
  </si>
  <si>
    <t>HOPKINS</t>
  </si>
  <si>
    <t>ST</t>
  </si>
  <si>
    <t>TX</t>
  </si>
  <si>
    <t>C003</t>
  </si>
  <si>
    <t xml:space="preserve">618 HOPKINS ST </t>
  </si>
  <si>
    <t xml:space="preserve">618 HOPKINS ST  GONZALES, TX 78629 </t>
  </si>
  <si>
    <t>CORSICA</t>
  </si>
  <si>
    <t>PL</t>
  </si>
  <si>
    <t>COSTA MESA</t>
  </si>
  <si>
    <t>CA</t>
  </si>
  <si>
    <t xml:space="preserve">1570 CORSICA PL </t>
  </si>
  <si>
    <t xml:space="preserve">1570 CORSICA PL  COSTA MESA, CA 92626-3734 </t>
  </si>
  <si>
    <t>USA</t>
  </si>
  <si>
    <t>PT 7 GONZ TIER 2</t>
  </si>
  <si>
    <t>LOW-INCOME COMMUNITY</t>
  </si>
  <si>
    <t>TOWN/GONZALES TIER 2</t>
  </si>
  <si>
    <t>GZ</t>
  </si>
  <si>
    <t>VACANT -RESIDENTIAL LAND</t>
  </si>
  <si>
    <t>C1</t>
  </si>
  <si>
    <t>C1-VACANT URBAN</t>
  </si>
  <si>
    <t>X</t>
  </si>
  <si>
    <t>48177C0240C</t>
  </si>
  <si>
    <t>0240C</t>
  </si>
  <si>
    <t>CITY OF GONZALES</t>
  </si>
  <si>
    <t>89 31 60 6</t>
  </si>
  <si>
    <t>N</t>
  </si>
  <si>
    <t>GONZALES INDEPENDENT SCHOOL DISTRICT</t>
  </si>
  <si>
    <t>GONZALES ELEMENTARY SCHOOL</t>
  </si>
  <si>
    <t>GONZALES JUNIOR HIGH SCHOOL</t>
  </si>
  <si>
    <t>GONZALES HIGH SCHOOL</t>
  </si>
  <si>
    <t>DEED</t>
  </si>
  <si>
    <t>OWNER NAME UNAVAILABLE</t>
  </si>
  <si>
    <t>NO</t>
  </si>
  <si>
    <t>KLINE NOAH V C</t>
  </si>
  <si>
    <t>NOAH KLINE</t>
  </si>
  <si>
    <t>ESTATE</t>
  </si>
  <si>
    <t>SAINT ANDREW</t>
  </si>
  <si>
    <t xml:space="preserve">1500 SAINT ANDREW ST </t>
  </si>
  <si>
    <t xml:space="preserve">1500 SAINT ANDREW ST  GONZALES, TX 78629 </t>
  </si>
  <si>
    <t xml:space="preserve">1507 SAINT ANDREW ST </t>
  </si>
  <si>
    <t xml:space="preserve">1507 SAINT ANDREW ST  GONZALES, TX 78629-3732 </t>
  </si>
  <si>
    <t>SCHURIG GARY THOMAS</t>
  </si>
  <si>
    <t>GARY THOMAS</t>
  </si>
  <si>
    <t>GARY</t>
  </si>
  <si>
    <t>SCHURIG</t>
  </si>
  <si>
    <t>SCHURIG  S</t>
  </si>
  <si>
    <t>S</t>
  </si>
  <si>
    <t>GARY &amp; S SCHURIG</t>
  </si>
  <si>
    <t>SCHURIG GARY THOMAS SCHURIG S</t>
  </si>
  <si>
    <t>U</t>
  </si>
  <si>
    <t>WALKER/WEIMER</t>
  </si>
  <si>
    <t xml:space="preserve">WALKER/WEIMER </t>
  </si>
  <si>
    <t xml:space="preserve">WALKER/WEIMER  GONZALES, TX 78629 </t>
  </si>
  <si>
    <t>US HIGHWAY 183</t>
  </si>
  <si>
    <t>R003</t>
  </si>
  <si>
    <t xml:space="preserve">4329 S US HIGHWAY 183 </t>
  </si>
  <si>
    <t xml:space="preserve">4329 S US HIGHWAY 183  GONZALES, TX 78629-6425 </t>
  </si>
  <si>
    <t>PT 6 RANGE VII</t>
  </si>
  <si>
    <t>48177C0245C</t>
  </si>
  <si>
    <t>0245C</t>
  </si>
  <si>
    <t>SCHURIG F M</t>
  </si>
  <si>
    <t>F M</t>
  </si>
  <si>
    <t>F</t>
  </si>
  <si>
    <t>F SCHURIG</t>
  </si>
  <si>
    <t>WIFE</t>
  </si>
  <si>
    <t>EU</t>
  </si>
  <si>
    <t>WAELDER</t>
  </si>
  <si>
    <t>RD</t>
  </si>
  <si>
    <t xml:space="preserve">WAELDER RD </t>
  </si>
  <si>
    <t xml:space="preserve">WAELDER RD  GONZALES, TX 78629 </t>
  </si>
  <si>
    <t>MASTERS</t>
  </si>
  <si>
    <t>DR</t>
  </si>
  <si>
    <t>BROUSSARD</t>
  </si>
  <si>
    <t>LA</t>
  </si>
  <si>
    <t>C002</t>
  </si>
  <si>
    <t xml:space="preserve">210 MASTERS DR </t>
  </si>
  <si>
    <t xml:space="preserve">210 MASTERS DR  BROUSSARD, LA 70518-3836 </t>
  </si>
  <si>
    <t>ROBERTSON NORTH LLC</t>
  </si>
  <si>
    <t>CORPORATE</t>
  </si>
  <si>
    <t>CORPORATION</t>
  </si>
  <si>
    <t>ROBERTSON</t>
  </si>
  <si>
    <t xml:space="preserve">ROBERTSON </t>
  </si>
  <si>
    <t xml:space="preserve">ROBERTSON  GONZALES, TX 78629 </t>
  </si>
  <si>
    <t>BALCONES</t>
  </si>
  <si>
    <t>AUSTIN</t>
  </si>
  <si>
    <t>C031</t>
  </si>
  <si>
    <t xml:space="preserve">5900 BALCONES DR #160 </t>
  </si>
  <si>
    <t xml:space="preserve">5900 BALCONES DR #160, AUSTIN, TX 78731-4293 </t>
  </si>
  <si>
    <t>PT 8&amp;9 RANGE VI</t>
  </si>
  <si>
    <t>VAZQUEZ-CORONADO INOCENIO</t>
  </si>
  <si>
    <t>INOCENIO</t>
  </si>
  <si>
    <t>VAZQUEZ-CORONADO</t>
  </si>
  <si>
    <t>VAZQUEZ NORMA A</t>
  </si>
  <si>
    <t>NORMA A</t>
  </si>
  <si>
    <t>NORMA</t>
  </si>
  <si>
    <t>VAZQUEZ</t>
  </si>
  <si>
    <t>INOCENIO VAZQUEZ-CORONADO &amp; NORMA VAZQUEZ</t>
  </si>
  <si>
    <t>VAZQUEZ-CORONADO INOCENIO VAZQUEZ NORMA A</t>
  </si>
  <si>
    <t>ROOSEVELT</t>
  </si>
  <si>
    <t>AVE</t>
  </si>
  <si>
    <t>NIXON</t>
  </si>
  <si>
    <t xml:space="preserve">602 S ROOSEVELT AVE </t>
  </si>
  <si>
    <t xml:space="preserve">602 S ROOSEVELT AVE  NIXON, TX 78140 </t>
  </si>
  <si>
    <t>E</t>
  </si>
  <si>
    <t>5TH</t>
  </si>
  <si>
    <t>C004</t>
  </si>
  <si>
    <t xml:space="preserve">506 E 5TH ST </t>
  </si>
  <si>
    <t xml:space="preserve">506 E 5TH ST  NIXON, TX 78140-3148 </t>
  </si>
  <si>
    <t>PT 65 SCHLEICHERS SUB</t>
  </si>
  <si>
    <t>SCHLEICHERS SUB</t>
  </si>
  <si>
    <t>48177C0475C</t>
  </si>
  <si>
    <t>0475C</t>
  </si>
  <si>
    <t>CITY OF NIXON</t>
  </si>
  <si>
    <t>89 36 60 6</t>
  </si>
  <si>
    <t>NIXON-SMILEY CONSOLIDATED INDEPENDENT SCHOOL DISTRICT</t>
  </si>
  <si>
    <t>NIXON-SMILEY ELEMENTARY SCHOOL</t>
  </si>
  <si>
    <t>NIXON-SMILEY MIDDLE SCHOOL</t>
  </si>
  <si>
    <t>NIXON-SMILEY HIGH SCHOOL</t>
  </si>
  <si>
    <t>NINETEENTH CLUB</t>
  </si>
  <si>
    <t xml:space="preserve">500 N NIXON AVE </t>
  </si>
  <si>
    <t xml:space="preserve">500 N NIXON AVE  NIXON, TX 78140 </t>
  </si>
  <si>
    <t>LIBERTY</t>
  </si>
  <si>
    <t xml:space="preserve">306 S LIBERTY AVE </t>
  </si>
  <si>
    <t xml:space="preserve">306 S LIBERTY AVE  NIXON, TX 78140-2809 </t>
  </si>
  <si>
    <t>PT 68 SCHLEICHERS SUB</t>
  </si>
  <si>
    <t>CARPORT</t>
  </si>
  <si>
    <t>PARKS APRIL PULLIN</t>
  </si>
  <si>
    <t>APRIL PULLIN</t>
  </si>
  <si>
    <t>APRIL</t>
  </si>
  <si>
    <t>PARKS</t>
  </si>
  <si>
    <t>APRIL PARKS</t>
  </si>
  <si>
    <t>O</t>
  </si>
  <si>
    <t>ARTESIA</t>
  </si>
  <si>
    <t xml:space="preserve">404 S ARTESIA AVE </t>
  </si>
  <si>
    <t xml:space="preserve">404 S ARTESIA AVE  NIXON, TX 78140 </t>
  </si>
  <si>
    <t xml:space="preserve">404 S ARTESIA AVE  NIXON, TX 78140-3001 </t>
  </si>
  <si>
    <t>390 A R PAYTON</t>
  </si>
  <si>
    <t>GONZALES COUNTY</t>
  </si>
  <si>
    <t>CASTILLO BERNABE</t>
  </si>
  <si>
    <t>BERNABE</t>
  </si>
  <si>
    <t>CASTILLO</t>
  </si>
  <si>
    <t>BERNABE CASTILLO</t>
  </si>
  <si>
    <t>W</t>
  </si>
  <si>
    <t xml:space="preserve">506 W 5TH AVE </t>
  </si>
  <si>
    <t xml:space="preserve">506 W 5TH AVE  NIXON, TX 78140 </t>
  </si>
  <si>
    <t>SUTHERLAND SPRINGS</t>
  </si>
  <si>
    <t>R001</t>
  </si>
  <si>
    <t xml:space="preserve">196 A ST </t>
  </si>
  <si>
    <t xml:space="preserve">196 A ST  SUTHERLAND SPRINGS, TX 78161-4706 </t>
  </si>
  <si>
    <t>46 SCHLEICHERS SUB MHS ON P# 26604 &amp; 26605</t>
  </si>
  <si>
    <t>GONZALEZ ERIKA Y</t>
  </si>
  <si>
    <t>ERIKA Y</t>
  </si>
  <si>
    <t>ERIKA</t>
  </si>
  <si>
    <t>GONZALEZ</t>
  </si>
  <si>
    <t>ERIKA GONZALEZ</t>
  </si>
  <si>
    <t xml:space="preserve">505 W 5TH AVE </t>
  </si>
  <si>
    <t xml:space="preserve">505 W 5TH AVE  NIXON, TX 78140 </t>
  </si>
  <si>
    <t xml:space="preserve">505 W 5TH AVE  NIXON, TX 78140-2315 </t>
  </si>
  <si>
    <t>PT 70 SCHLEICHERS SUB MH ON PARCEL 27199</t>
  </si>
  <si>
    <t>AID JULIE DARLEAN &amp; MCKINNEY</t>
  </si>
  <si>
    <t>MARVIN JUNIOR</t>
  </si>
  <si>
    <t>JUNIOR</t>
  </si>
  <si>
    <t>MARVIN</t>
  </si>
  <si>
    <t>JUNIOR MARVIN</t>
  </si>
  <si>
    <t>AID JULIE DARLEAN &amp; MCKINNEY MARVIN JUNIOR</t>
  </si>
  <si>
    <t>8TH</t>
  </si>
  <si>
    <t>H002</t>
  </si>
  <si>
    <t xml:space="preserve">101 W 8TH AVE </t>
  </si>
  <si>
    <t xml:space="preserve">101 W 8TH AVE  NIXON, TX 78140 </t>
  </si>
  <si>
    <t xml:space="preserve">103 W 8TH AVE </t>
  </si>
  <si>
    <t xml:space="preserve">103 W 8TH AVE  NIXON, TX 78140-2875 </t>
  </si>
  <si>
    <t>80 SCHLEICHERS SUB</t>
  </si>
  <si>
    <t>PAWELEK MARJORIE</t>
  </si>
  <si>
    <t>MARJORIE</t>
  </si>
  <si>
    <t>PAWELEK</t>
  </si>
  <si>
    <t>MARJORIE PAWELEK</t>
  </si>
  <si>
    <t>STATE HIGHWAY 80</t>
  </si>
  <si>
    <t xml:space="preserve">706 S STATE HIGHWAY 80 </t>
  </si>
  <si>
    <t xml:space="preserve">706 S STATE HIGHWAY 80  NIXON, TX 78140 </t>
  </si>
  <si>
    <t>H040</t>
  </si>
  <si>
    <t xml:space="preserve">5552 N STATE HIGHWAY 80 </t>
  </si>
  <si>
    <t xml:space="preserve">5552 N STATE HIGHWAY 80  NIXON, TX 78140-5122 </t>
  </si>
  <si>
    <t>68 SCHLEICHERS SUB MHS ON P#25184 25185 &amp; 21770</t>
  </si>
  <si>
    <t>MILLER VERONICA</t>
  </si>
  <si>
    <t>VERONICA</t>
  </si>
  <si>
    <t>MILLER</t>
  </si>
  <si>
    <t>VERONICA MILLER</t>
  </si>
  <si>
    <t>FOURTH</t>
  </si>
  <si>
    <t xml:space="preserve">N FOURTH ST </t>
  </si>
  <si>
    <t xml:space="preserve">N FOURTH ST  WAELDER, TX 78959 </t>
  </si>
  <si>
    <t>FM 1457</t>
  </si>
  <si>
    <t>ROUND TOP</t>
  </si>
  <si>
    <t xml:space="preserve">4421 FM 1457 </t>
  </si>
  <si>
    <t xml:space="preserve">4421 FM 1457  ROUND TOP, TX 78954-5013 </t>
  </si>
  <si>
    <t>1 5 WAELDER BLOCKS</t>
  </si>
  <si>
    <t>E1</t>
  </si>
  <si>
    <t>48177C0135C</t>
  </si>
  <si>
    <t>0135C</t>
  </si>
  <si>
    <t>CITY OF WAELDER</t>
  </si>
  <si>
    <t>89 33 60 6</t>
  </si>
  <si>
    <t>WAELDER INDEPENDENT SCHOOL DISTRICT</t>
  </si>
  <si>
    <t>WAELDER SCHOOL</t>
  </si>
  <si>
    <t>HERNANDEZ NICOLAS S</t>
  </si>
  <si>
    <t>NICOLAS S</t>
  </si>
  <si>
    <t>NICOLAS</t>
  </si>
  <si>
    <t>HERNANDEZ</t>
  </si>
  <si>
    <t>NICOLAS HERNANDEZ</t>
  </si>
  <si>
    <t>COUNTY ROAD 235</t>
  </si>
  <si>
    <t xml:space="preserve">COUNTY ROAD 235 </t>
  </si>
  <si>
    <t xml:space="preserve">COUNTY ROAD 235  GONZALES, TX 78629 </t>
  </si>
  <si>
    <t>COUNTY ROAD 601A</t>
  </si>
  <si>
    <t>R005</t>
  </si>
  <si>
    <t xml:space="preserve">198 COUNTY ROAD 601A </t>
  </si>
  <si>
    <t xml:space="preserve">198 COUNTY ROAD 601A  GONZALES, TX 78629-5109 </t>
  </si>
  <si>
    <t>25 TOWN OF GONZALES PT LOT 1&amp;2 BLK 18 RANGE I WEST MH ON PARCEL 28080</t>
  </si>
  <si>
    <t>TOWN/GONZALES</t>
  </si>
  <si>
    <t>STEEN DONALD RAY</t>
  </si>
  <si>
    <t>DONALD RAY</t>
  </si>
  <si>
    <t>DONALD</t>
  </si>
  <si>
    <t>STEEN</t>
  </si>
  <si>
    <t>DONALD STEEN</t>
  </si>
  <si>
    <t>CR</t>
  </si>
  <si>
    <t xml:space="preserve">488 CR </t>
  </si>
  <si>
    <t xml:space="preserve">488 CR  GONZALES, TX 78629 </t>
  </si>
  <si>
    <t>STATE HIGHWAY 123</t>
  </si>
  <si>
    <t>SEGUIN</t>
  </si>
  <si>
    <t>R010</t>
  </si>
  <si>
    <t xml:space="preserve">15791 S STATE HIGHWAY 123 </t>
  </si>
  <si>
    <t xml:space="preserve">15791 S STATE HIGHWAY 123  SEGUIN, TX 78155 </t>
  </si>
  <si>
    <t>25 TN OF GONZALES 1/3 UND INT IN 4.730 ACRES</t>
  </si>
  <si>
    <t>STEEN JAMES WARREN</t>
  </si>
  <si>
    <t>JAMES WARREN</t>
  </si>
  <si>
    <t>JAMES</t>
  </si>
  <si>
    <t>JAMES STEEN</t>
  </si>
  <si>
    <t>SAINTS ARC</t>
  </si>
  <si>
    <t>SAN ANTONIO</t>
  </si>
  <si>
    <t>C014</t>
  </si>
  <si>
    <t xml:space="preserve">6026 SAINTS ARC DR </t>
  </si>
  <si>
    <t xml:space="preserve">6026 SAINTS ARC DR  SAN ANTONIO, TX 78220-1933 </t>
  </si>
  <si>
    <t>MINOR REYES MIGUEL V</t>
  </si>
  <si>
    <t>REYES MIGUEL V</t>
  </si>
  <si>
    <t>REYES</t>
  </si>
  <si>
    <t>MINOR</t>
  </si>
  <si>
    <t>MINOR REYES KIM E</t>
  </si>
  <si>
    <t>REYES KIM E</t>
  </si>
  <si>
    <t>REYES &amp; REYES MINOR</t>
  </si>
  <si>
    <t>MINOR REYES MIGUEL V MINOR REYES KIM E</t>
  </si>
  <si>
    <t>PO BOX 21</t>
  </si>
  <si>
    <t>B001</t>
  </si>
  <si>
    <t xml:space="preserve">PO BOX 21 </t>
  </si>
  <si>
    <t xml:space="preserve">PO BOX 21  GONZALES, TX 78629 </t>
  </si>
  <si>
    <t>PATTERSON SARAH SHORT</t>
  </si>
  <si>
    <t>SARAH SHORT</t>
  </si>
  <si>
    <t>SARAH</t>
  </si>
  <si>
    <t>PATTERSON</t>
  </si>
  <si>
    <t>SARAH PATTERSON</t>
  </si>
  <si>
    <t>SAINT JOHN</t>
  </si>
  <si>
    <t xml:space="preserve">100 SAINT JOHN ST </t>
  </si>
  <si>
    <t xml:space="preserve">100 SAINT JOHN ST  GONZALES, TX 78629 </t>
  </si>
  <si>
    <t>PO BOX 475</t>
  </si>
  <si>
    <t>B006</t>
  </si>
  <si>
    <t xml:space="preserve">PO BOX 475 </t>
  </si>
  <si>
    <t xml:space="preserve">PO BOX 475  GONZALES, TX 78629 </t>
  </si>
  <si>
    <t>BLK 14 LOTS 1&amp;3 PT LOTS 4-6 GONZALES BLOCKS</t>
  </si>
  <si>
    <t>AE</t>
  </si>
  <si>
    <t>48177C0400C</t>
  </si>
  <si>
    <t>0400C</t>
  </si>
  <si>
    <t>GONZALES EAST AVENUE PRIMARY SCHOOL</t>
  </si>
  <si>
    <t>GOMEZ JOE</t>
  </si>
  <si>
    <t>JOE</t>
  </si>
  <si>
    <t>GOMEZ</t>
  </si>
  <si>
    <t>DBA VIC &amp; JOES BARBER SHOP</t>
  </si>
  <si>
    <t>JOE GOMEZ</t>
  </si>
  <si>
    <t>GOMEZ JOE DBA VIC &amp; JOES BARBER SHOP</t>
  </si>
  <si>
    <t>WATER</t>
  </si>
  <si>
    <t>C001</t>
  </si>
  <si>
    <t xml:space="preserve">832 WATER ST </t>
  </si>
  <si>
    <t xml:space="preserve">832 WATER ST  GONZALES, TX 78629 </t>
  </si>
  <si>
    <t>SAINT LAWRENCE</t>
  </si>
  <si>
    <t xml:space="preserve">119 SAINT LAWRENCE ST </t>
  </si>
  <si>
    <t xml:space="preserve">119 SAINT LAWRENCE ST  GONZALES, TX 78629-3931 </t>
  </si>
  <si>
    <t>PT 1&amp;2 RANGE I EAST FRONTS WATER STREET DRAINAGE DITCH RUNS THRU MIDDLE OF PROPERTY</t>
  </si>
  <si>
    <t>WINDOW UNIT</t>
  </si>
  <si>
    <t>COVERED PORCH</t>
  </si>
  <si>
    <t>G00</t>
  </si>
  <si>
    <t>CHISHOLM SUPPLIES INC</t>
  </si>
  <si>
    <t>WALLACE</t>
  </si>
  <si>
    <t xml:space="preserve">302 E WALLACE ST </t>
  </si>
  <si>
    <t xml:space="preserve">302 E WALLACE ST  GONZALES, TX 78629 </t>
  </si>
  <si>
    <t>US HIGHWAY 90A</t>
  </si>
  <si>
    <t xml:space="preserve">304 US HIGHWAY 90A E </t>
  </si>
  <si>
    <t xml:space="preserve">304 US HIGHWAY 90A E  GONZALES, TX 78629-2002 </t>
  </si>
  <si>
    <t>PT 3 RANGE I EAST</t>
  </si>
  <si>
    <t>SCREENED PORCH</t>
  </si>
  <si>
    <t>SANCHEZ ALEXANDRA</t>
  </si>
  <si>
    <t>ALEXANDRA</t>
  </si>
  <si>
    <t>SANCHEZ</t>
  </si>
  <si>
    <t>ALEXANDRA SANCHEZ</t>
  </si>
  <si>
    <t xml:space="preserve">301 W WALLACE ST </t>
  </si>
  <si>
    <t xml:space="preserve">301 W WALLACE ST  GONZALES, TX 78629 </t>
  </si>
  <si>
    <t>PO BOX 267</t>
  </si>
  <si>
    <t>B004</t>
  </si>
  <si>
    <t xml:space="preserve">PO BOX 267 </t>
  </si>
  <si>
    <t xml:space="preserve">PO BOX 267  GONZALES, TX 78629 </t>
  </si>
  <si>
    <t>PT 1 3 RANGE I WEST</t>
  </si>
  <si>
    <t>TOWN/GONZALES RANGE 01</t>
  </si>
  <si>
    <t>FLORES MOSES M</t>
  </si>
  <si>
    <t>MOSES M</t>
  </si>
  <si>
    <t>MOSES</t>
  </si>
  <si>
    <t>FLORES</t>
  </si>
  <si>
    <t>MOSES FLORES</t>
  </si>
  <si>
    <t>HARWOOD</t>
  </si>
  <si>
    <t xml:space="preserve">HARWOOD </t>
  </si>
  <si>
    <t xml:space="preserve">HARWOOD  TX </t>
  </si>
  <si>
    <t>GRAHAM</t>
  </si>
  <si>
    <t>BURLESON</t>
  </si>
  <si>
    <t>R015</t>
  </si>
  <si>
    <t xml:space="preserve">830 GRAHAM DR </t>
  </si>
  <si>
    <t xml:space="preserve">830 GRAHAM DR  BURLESON, TX 76028-9415 </t>
  </si>
  <si>
    <t>PT 1-3 76 HARWOOD ALL LOT 4; ALL LOT 4 BLK 77</t>
  </si>
  <si>
    <t>TOWN/HARTWOOD</t>
  </si>
  <si>
    <t>48177C0100C</t>
  </si>
  <si>
    <t>0100C</t>
  </si>
  <si>
    <t>GONTEX INC</t>
  </si>
  <si>
    <t>R002</t>
  </si>
  <si>
    <t xml:space="preserve">1912 WATER ST </t>
  </si>
  <si>
    <t xml:space="preserve">1912 WATER ST  GONZALES, TX 78629 </t>
  </si>
  <si>
    <t>PO BOX 287</t>
  </si>
  <si>
    <t xml:space="preserve">PO BOX 287 </t>
  </si>
  <si>
    <t xml:space="preserve">PO BOX 287  GONZALES, TX 78629 </t>
  </si>
  <si>
    <t>3 7 HIGHVIEW</t>
  </si>
  <si>
    <t>HIGHVIEW ADD</t>
  </si>
  <si>
    <t>JOHNSON ROGER Q</t>
  </si>
  <si>
    <t>ROGER Q</t>
  </si>
  <si>
    <t>ROGER</t>
  </si>
  <si>
    <t>JOHNSON</t>
  </si>
  <si>
    <t>ROGER JOHNSON</t>
  </si>
  <si>
    <t xml:space="preserve">2000 WATER ST </t>
  </si>
  <si>
    <t xml:space="preserve">2000 WATER ST  GONZALES, TX 78629 </t>
  </si>
  <si>
    <t>COUNTY ROAD 344</t>
  </si>
  <si>
    <t>R006</t>
  </si>
  <si>
    <t xml:space="preserve">671 COUNTY ROAD 344 </t>
  </si>
  <si>
    <t xml:space="preserve">671 COUNTY ROAD 344  GONZALES, TX 78629-6989 </t>
  </si>
  <si>
    <t>5 1 HIGHVIEW</t>
  </si>
  <si>
    <t>GREGORY RONALD W</t>
  </si>
  <si>
    <t>RONALD W</t>
  </si>
  <si>
    <t>RONALD</t>
  </si>
  <si>
    <t>GREGORY</t>
  </si>
  <si>
    <t>GREGORY DEBORAH</t>
  </si>
  <si>
    <t>DEBORAH</t>
  </si>
  <si>
    <t>RONALD &amp; DEBORAH GREGORY</t>
  </si>
  <si>
    <t>GREGORY RONALD W GREGORY DEBORAH</t>
  </si>
  <si>
    <t>MITCHELL</t>
  </si>
  <si>
    <t xml:space="preserve">834 MITCHELL ST </t>
  </si>
  <si>
    <t xml:space="preserve">834 MITCHELL ST  GONZALES, TX 78629 </t>
  </si>
  <si>
    <t xml:space="preserve">834 MITCHELL ST  GONZALES, TX 78629-4612 </t>
  </si>
  <si>
    <t>24 J GIBSON ACREAGE BEHIND MITCHELL ST RESIDENCES</t>
  </si>
  <si>
    <t>ATTACHED GARAGE</t>
  </si>
  <si>
    <t>ATTACHED</t>
  </si>
  <si>
    <t>MCVEA LAURA LEE</t>
  </si>
  <si>
    <t>LAURA LEE</t>
  </si>
  <si>
    <t>LAURA</t>
  </si>
  <si>
    <t>MCVEA</t>
  </si>
  <si>
    <t>LAURA MCVEA</t>
  </si>
  <si>
    <t>EA</t>
  </si>
  <si>
    <t>CARROLL/WATER</t>
  </si>
  <si>
    <t xml:space="preserve">CARROLL/WATER </t>
  </si>
  <si>
    <t xml:space="preserve">CARROLL/WATER  GONZALES, TX 78629 </t>
  </si>
  <si>
    <t>HOUSTON</t>
  </si>
  <si>
    <t>C042</t>
  </si>
  <si>
    <t xml:space="preserve">2243 E HOUSTON ST </t>
  </si>
  <si>
    <t xml:space="preserve">2243 E HOUSTON ST  SAN ANTONIO, TX 78202-3008 </t>
  </si>
  <si>
    <t>1 4 HIGHVIEW</t>
  </si>
  <si>
    <t>GALLEGOS ERIC R</t>
  </si>
  <si>
    <t>ERIC R</t>
  </si>
  <si>
    <t>ERIC</t>
  </si>
  <si>
    <t>GALLEGOS</t>
  </si>
  <si>
    <t>GALLEGOS VIVIANA</t>
  </si>
  <si>
    <t>VIVIANA</t>
  </si>
  <si>
    <t>ERIC &amp; VIVIANA GALLEGOS</t>
  </si>
  <si>
    <t>GALLEGOS ERIC R GALLEGOS VIVIANA</t>
  </si>
  <si>
    <t xml:space="preserve">2016 WATER ST </t>
  </si>
  <si>
    <t xml:space="preserve">2016 WATER ST  GONZALES, TX 78629 </t>
  </si>
  <si>
    <t>NEUMAN</t>
  </si>
  <si>
    <t xml:space="preserve">1503 NEUMAN ST </t>
  </si>
  <si>
    <t xml:space="preserve">1503 NEUMAN ST  GONZALES, TX 78629-4717 </t>
  </si>
  <si>
    <t>2 4 HIGHVIEW</t>
  </si>
  <si>
    <t>MARKHAM TIMOTHY</t>
  </si>
  <si>
    <t>TIMOTHY</t>
  </si>
  <si>
    <t>MARKHAM</t>
  </si>
  <si>
    <t>MARKHAM CAROLYN</t>
  </si>
  <si>
    <t>CAROLYN</t>
  </si>
  <si>
    <t>TIMOTHY &amp; CAROLYN MARKHAM</t>
  </si>
  <si>
    <t>MARKHAM TIMOTHY MARKHAM CAROLYN</t>
  </si>
  <si>
    <t>COLLEGE</t>
  </si>
  <si>
    <t xml:space="preserve">204 N COLLEGE ST </t>
  </si>
  <si>
    <t xml:space="preserve">204 N COLLEGE ST  GONZALES, TX 78629 </t>
  </si>
  <si>
    <t xml:space="preserve">122 S COLLEGE ST </t>
  </si>
  <si>
    <t xml:space="preserve">122 S COLLEGE ST  GONZALES, TX 78629-4606 </t>
  </si>
  <si>
    <t>26 S HIGHSMITH</t>
  </si>
  <si>
    <t>PLOEGER MARK</t>
  </si>
  <si>
    <t>MARK</t>
  </si>
  <si>
    <t>PLOEGER</t>
  </si>
  <si>
    <t>PLOEGER SALLY JANE</t>
  </si>
  <si>
    <t>SALLY JANE</t>
  </si>
  <si>
    <t>SALLY</t>
  </si>
  <si>
    <t>MARK &amp; SALLY PLOEGER</t>
  </si>
  <si>
    <t>PLOEGER MARK PLOEGER SALLY JANE</t>
  </si>
  <si>
    <t xml:space="preserve">HARWOOD RD </t>
  </si>
  <si>
    <t xml:space="preserve">HARWOOD RD  GONZALES, TX 78629 </t>
  </si>
  <si>
    <t>PO BOX 26</t>
  </si>
  <si>
    <t xml:space="preserve">PO BOX 26 </t>
  </si>
  <si>
    <t xml:space="preserve">PO BOX 26  GONZALES, TX 78629 </t>
  </si>
  <si>
    <t>9-11 HILLCREST</t>
  </si>
  <si>
    <t>HILLCREST ADD</t>
  </si>
  <si>
    <t>JACKSON JULIUS</t>
  </si>
  <si>
    <t>JULIUS JACKSON</t>
  </si>
  <si>
    <t>HARBORTH</t>
  </si>
  <si>
    <t xml:space="preserve">1938 HARBORTH </t>
  </si>
  <si>
    <t xml:space="preserve">1938 HARBORTH  GONZALES, TX 78629 </t>
  </si>
  <si>
    <t>REID</t>
  </si>
  <si>
    <t xml:space="preserve">219 REID ST </t>
  </si>
  <si>
    <t xml:space="preserve">219 REID ST  GONZALES, TX 78629-2708 </t>
  </si>
  <si>
    <t>LOT 9 KINGS 1ST</t>
  </si>
  <si>
    <t>I00</t>
  </si>
  <si>
    <t>A1</t>
  </si>
  <si>
    <t>SEGURO WELL SERVICE INC</t>
  </si>
  <si>
    <t xml:space="preserve">1900 HARBORTH </t>
  </si>
  <si>
    <t xml:space="preserve">1900 HARBORTH  GONZALES, TX 78629 </t>
  </si>
  <si>
    <t>PO BOX 1642</t>
  </si>
  <si>
    <t>B014</t>
  </si>
  <si>
    <t xml:space="preserve">PO BOX 1642 </t>
  </si>
  <si>
    <t xml:space="preserve">PO BOX 1642  GONZALES, TX 78629-1142 </t>
  </si>
  <si>
    <t>16 KINGS 1ST</t>
  </si>
  <si>
    <t>LEE DUBOSE JOHN CHARLES</t>
  </si>
  <si>
    <t>DUBOSE JOHN CHARLES</t>
  </si>
  <si>
    <t>DUBOSE</t>
  </si>
  <si>
    <t>LEE</t>
  </si>
  <si>
    <t>LEE JACQUELINE</t>
  </si>
  <si>
    <t>JACQUELINE</t>
  </si>
  <si>
    <t>DUBOSE &amp; JACQUELINE LEE</t>
  </si>
  <si>
    <t>LEE DUBOSE JOHN CHARLES LEE JACQUELINE</t>
  </si>
  <si>
    <t>CAPES</t>
  </si>
  <si>
    <t xml:space="preserve">317 CAPES ST </t>
  </si>
  <si>
    <t xml:space="preserve">317 CAPES ST  GONZALES, TX 78629 </t>
  </si>
  <si>
    <t>PO BOX 568</t>
  </si>
  <si>
    <t>B007</t>
  </si>
  <si>
    <t xml:space="preserve">PO BOX 568 </t>
  </si>
  <si>
    <t xml:space="preserve">PO BOX 568  GONZALES, TX 78629 </t>
  </si>
  <si>
    <t>W PT 15 KINGS 2ND 16</t>
  </si>
  <si>
    <t>BREITSCHOPF SPENCER</t>
  </si>
  <si>
    <t>SPENCER</t>
  </si>
  <si>
    <t>BREITSCHOPF</t>
  </si>
  <si>
    <t>BREITSCHOPF SARALYN</t>
  </si>
  <si>
    <t>SARALYN</t>
  </si>
  <si>
    <t>SPENCER &amp; SARALYN BREITSCHOPF</t>
  </si>
  <si>
    <t>BREITSCHOPF SPENCER BREITSCHOPF SARALYN</t>
  </si>
  <si>
    <t>MOREY</t>
  </si>
  <si>
    <t xml:space="preserve">108 MOREY ST </t>
  </si>
  <si>
    <t xml:space="preserve">108 MOREY ST  GONZALES, TX 78629 </t>
  </si>
  <si>
    <t xml:space="preserve">5240 COUNTY ROAD 235 </t>
  </si>
  <si>
    <t xml:space="preserve">5240 COUNTY ROAD 235  GONZALES, TX 78629-5286 </t>
  </si>
  <si>
    <t>PT 14 22 KINGS 4TH</t>
  </si>
  <si>
    <t>Z</t>
  </si>
  <si>
    <t>SANCHEZ OSWALD TORRES</t>
  </si>
  <si>
    <t>OSWALD TORRES</t>
  </si>
  <si>
    <t>OSWALD</t>
  </si>
  <si>
    <t>OSWALD SANCHEZ</t>
  </si>
  <si>
    <t xml:space="preserve">2105 HARWOOD RD </t>
  </si>
  <si>
    <t xml:space="preserve">2105 HARWOOD RD  GONZALES, TX 78629 </t>
  </si>
  <si>
    <t xml:space="preserve">2105 HARWOOD RD  GONZALES, TX 78629-6317 </t>
  </si>
  <si>
    <t>PT 6 KINGS 5TH MH ON PARCEL 27197</t>
  </si>
  <si>
    <t>KINGS ADD 05</t>
  </si>
  <si>
    <t>KETTS CORINE MARIE</t>
  </si>
  <si>
    <t>CORINE MARIE</t>
  </si>
  <si>
    <t>CORINE</t>
  </si>
  <si>
    <t>KETTS</t>
  </si>
  <si>
    <t>CORINE KETTS</t>
  </si>
  <si>
    <t>HIGHWAY 97</t>
  </si>
  <si>
    <t xml:space="preserve">HIGHWAY 97 </t>
  </si>
  <si>
    <t xml:space="preserve">HIGHWAY 97  NIXON, TX 78140 </t>
  </si>
  <si>
    <t>STATE HIGHWAY 97</t>
  </si>
  <si>
    <t xml:space="preserve">2990 E STATE HIGHWAY 97 </t>
  </si>
  <si>
    <t xml:space="preserve">2990 E STATE HIGHWAY 97  NIXON, TX 78140-5220 </t>
  </si>
  <si>
    <t>38 B LOCKHART</t>
  </si>
  <si>
    <t>48177C0500C</t>
  </si>
  <si>
    <t>0500C</t>
  </si>
  <si>
    <t>HOOVER &amp; HOOVER LTD</t>
  </si>
  <si>
    <t>WACO</t>
  </si>
  <si>
    <t xml:space="preserve">WACO </t>
  </si>
  <si>
    <t xml:space="preserve">WACO  GONZALES, TX 78629 </t>
  </si>
  <si>
    <t>PO BOX 190</t>
  </si>
  <si>
    <t>BURNET</t>
  </si>
  <si>
    <t>B003</t>
  </si>
  <si>
    <t xml:space="preserve">PO BOX 190 </t>
  </si>
  <si>
    <t xml:space="preserve">PO BOX 190  BURNET, TX 78611 </t>
  </si>
  <si>
    <t>PT 5&amp;14 4 NORWOOD HEIGHTS ALL OF 6-7 12-13</t>
  </si>
  <si>
    <t>NORWOOD HEIGHTS</t>
  </si>
  <si>
    <t>MILLER BILL ROB</t>
  </si>
  <si>
    <t>BILL ROB</t>
  </si>
  <si>
    <t>BILL</t>
  </si>
  <si>
    <t>MILLER JUDY</t>
  </si>
  <si>
    <t>JUDY</t>
  </si>
  <si>
    <t>BILL &amp; JUDY MILLER</t>
  </si>
  <si>
    <t>MILLER BILL ROB MILLER JUDY</t>
  </si>
  <si>
    <t>STEELE</t>
  </si>
  <si>
    <t>SMILEY</t>
  </si>
  <si>
    <t xml:space="preserve">STEELE ST </t>
  </si>
  <si>
    <t xml:space="preserve">STEELE ST  SMILEY, TX 78159 </t>
  </si>
  <si>
    <t>PO BOX 97</t>
  </si>
  <si>
    <t xml:space="preserve">PO BOX 97 </t>
  </si>
  <si>
    <t xml:space="preserve">PO BOX 97  SMILEY, TX 78159 </t>
  </si>
  <si>
    <t>PT 1 42 GLOVER ADN SM ALL 2-3</t>
  </si>
  <si>
    <t>POOL</t>
  </si>
  <si>
    <t>Y</t>
  </si>
  <si>
    <t>CENTRAL</t>
  </si>
  <si>
    <t>FIREPLACE</t>
  </si>
  <si>
    <t>SLAB</t>
  </si>
  <si>
    <t>CITY OF SMILEY</t>
  </si>
  <si>
    <t>PEREZ MARTIN A</t>
  </si>
  <si>
    <t>MARTIN A</t>
  </si>
  <si>
    <t>MARTIN</t>
  </si>
  <si>
    <t>PEREZ</t>
  </si>
  <si>
    <t>MARTIN PEREZ</t>
  </si>
  <si>
    <t>CARPENTER/ELLIS</t>
  </si>
  <si>
    <t xml:space="preserve">CARPENTER/ELLIS </t>
  </si>
  <si>
    <t xml:space="preserve">CARPENTER/ELLIS  SMILEY, TX 78159 </t>
  </si>
  <si>
    <t>WYOMING</t>
  </si>
  <si>
    <t>DICKINSON</t>
  </si>
  <si>
    <t>C010</t>
  </si>
  <si>
    <t xml:space="preserve">3000 WYOMING AVE </t>
  </si>
  <si>
    <t xml:space="preserve">3000 WYOMING AVE  DICKINSON, TX 77539-3721 </t>
  </si>
  <si>
    <t>PT 1 30 GLOVER ADN ALL 2 SM</t>
  </si>
  <si>
    <t>MARTINEZ MARK</t>
  </si>
  <si>
    <t>MARTINEZ</t>
  </si>
  <si>
    <t>MARTINEZ JESSICA</t>
  </si>
  <si>
    <t>JESSICA</t>
  </si>
  <si>
    <t>MARK &amp; JESSICA MARTINEZ</t>
  </si>
  <si>
    <t>MARTINEZ MARK MARTINEZ JESSICA</t>
  </si>
  <si>
    <t>COMMERCE</t>
  </si>
  <si>
    <t xml:space="preserve">208 COMMERCE </t>
  </si>
  <si>
    <t xml:space="preserve">208 COMMERCE  SMILEY, TX 78159 </t>
  </si>
  <si>
    <t>PO BOX 248</t>
  </si>
  <si>
    <t>B002</t>
  </si>
  <si>
    <t xml:space="preserve">PO BOX 248 </t>
  </si>
  <si>
    <t xml:space="preserve">PO BOX 248  SMILEY, TX 78159 </t>
  </si>
  <si>
    <t>1-12 9 MOREY ADDITION SM</t>
  </si>
  <si>
    <t>MOREY ADD</t>
  </si>
  <si>
    <t>CANCHOLA LOPEZ GUADALUPE ALFONSO CANCHOLA</t>
  </si>
  <si>
    <t>LOPEZ GUADALUPE ALFONSO CANCHOLA</t>
  </si>
  <si>
    <t>LOPEZ</t>
  </si>
  <si>
    <t>CANCHOLA</t>
  </si>
  <si>
    <t>CANCHOLA ACOSTA YOLANDA</t>
  </si>
  <si>
    <t>ACOSTA YOLANDA</t>
  </si>
  <si>
    <t>ACOSTA</t>
  </si>
  <si>
    <t>LOPEZ &amp; ACOSTA CANCHOLA</t>
  </si>
  <si>
    <t>CANCHOLA LOPEZ GUADALUPE ALFONSO CANCHOLA CANCHOLA ACOSTA YOLANDA</t>
  </si>
  <si>
    <t>BLK MOREY</t>
  </si>
  <si>
    <t xml:space="preserve">400 S BLK MOREY </t>
  </si>
  <si>
    <t xml:space="preserve">400 S BLK MOREY  SMILEY, TX 78159 </t>
  </si>
  <si>
    <t>2ND</t>
  </si>
  <si>
    <t xml:space="preserve">403 W 2ND AVE </t>
  </si>
  <si>
    <t xml:space="preserve">403 W 2ND AVE  NIXON, TX 78140-2431 </t>
  </si>
  <si>
    <t>1-12 5 MOREY ADDITION SM</t>
  </si>
  <si>
    <t>BOYD GARRY K</t>
  </si>
  <si>
    <t>GARRY K</t>
  </si>
  <si>
    <t>GARRY</t>
  </si>
  <si>
    <t>BOYD</t>
  </si>
  <si>
    <t>GARRY BOYD</t>
  </si>
  <si>
    <t>CREEKWOOD</t>
  </si>
  <si>
    <t xml:space="preserve">CREEKWOOD DR </t>
  </si>
  <si>
    <t xml:space="preserve">CREEKWOOD DR  GONZALES, TX 78629 </t>
  </si>
  <si>
    <t>SPRING WIND</t>
  </si>
  <si>
    <t>C039</t>
  </si>
  <si>
    <t xml:space="preserve">8302 SPRING WIND DR </t>
  </si>
  <si>
    <t xml:space="preserve">8302 SPRING WIND DR  HOUSTON, TX 77040-1414 </t>
  </si>
  <si>
    <t>LOT 31 CREEKWOOD SUB 59 J M SALINAS</t>
  </si>
  <si>
    <t>CREEKWOOD SUB</t>
  </si>
  <si>
    <t>48177C0225C</t>
  </si>
  <si>
    <t>0225C</t>
  </si>
  <si>
    <t>GENERAL WARRANTY DEED</t>
  </si>
  <si>
    <t>MARTINEZ JESSE A</t>
  </si>
  <si>
    <t>JESSE A</t>
  </si>
  <si>
    <t>JESSE</t>
  </si>
  <si>
    <t>MARTINEZ DINA E</t>
  </si>
  <si>
    <t>DINA E</t>
  </si>
  <si>
    <t>DINA</t>
  </si>
  <si>
    <t>JESSE &amp; DINA MARTINEZ</t>
  </si>
  <si>
    <t>MARTINEZ JESSE A MARTINEZ DINA E</t>
  </si>
  <si>
    <t>MAPLEWOOD</t>
  </si>
  <si>
    <t>VICTORIA</t>
  </si>
  <si>
    <t>C043</t>
  </si>
  <si>
    <t xml:space="preserve">606 MAPLEWOOD DR </t>
  </si>
  <si>
    <t xml:space="preserve">606 MAPLEWOOD DR  VICTORIA, TX 77901-4527 </t>
  </si>
  <si>
    <t>LOT 32 CREEKWOOD SUB 59 J M SALINAS</t>
  </si>
  <si>
    <t>JOHN DUBOSE</t>
  </si>
  <si>
    <t>PARK RD 11</t>
  </si>
  <si>
    <t>OTTINE</t>
  </si>
  <si>
    <t xml:space="preserve">PARK RD 11 </t>
  </si>
  <si>
    <t xml:space="preserve">PARK RD 11  OTTINE, TX 78629 </t>
  </si>
  <si>
    <t>COUNTY ROAD 109</t>
  </si>
  <si>
    <t>LEESVILLE</t>
  </si>
  <si>
    <t>H001</t>
  </si>
  <si>
    <t xml:space="preserve">1038 W COUNTY ROAD 109 </t>
  </si>
  <si>
    <t xml:space="preserve">1038 W COUNTY ROAD 109  LEESVILLE, TX 78122-4301 </t>
  </si>
  <si>
    <t>76 WINSLOW TURNER</t>
  </si>
  <si>
    <t>TURK SAM C</t>
  </si>
  <si>
    <t>SAM C</t>
  </si>
  <si>
    <t>SAM</t>
  </si>
  <si>
    <t>TURK</t>
  </si>
  <si>
    <t>SAM TURK</t>
  </si>
  <si>
    <t>RIVERCREST</t>
  </si>
  <si>
    <t xml:space="preserve">318 RIVERCREST DR </t>
  </si>
  <si>
    <t xml:space="preserve">318 RIVERCREST DR  GONZALES, TX 78629 </t>
  </si>
  <si>
    <t xml:space="preserve">318 RIVERCREST DR  GONZALES, TX 78629-4732 </t>
  </si>
  <si>
    <t>2 E BERRY</t>
  </si>
  <si>
    <t>WILLIAMS VERLE D</t>
  </si>
  <si>
    <t>VERLE D</t>
  </si>
  <si>
    <t>VERLE</t>
  </si>
  <si>
    <t>WILLIAMS</t>
  </si>
  <si>
    <t>VERLE WILLIAMS</t>
  </si>
  <si>
    <t>GARDIEN</t>
  </si>
  <si>
    <t xml:space="preserve">1714 GARDIEN ST </t>
  </si>
  <si>
    <t xml:space="preserve">1714 GARDIEN ST  GONZALES, TX 78629 </t>
  </si>
  <si>
    <t xml:space="preserve">1714 GARDIEN ST  GONZALES, TX 78629-4346 </t>
  </si>
  <si>
    <t>85 ADAM ZUMWALT</t>
  </si>
  <si>
    <t>RIVERCREST PLACE</t>
  </si>
  <si>
    <t>BRADSHAW CELINDA</t>
  </si>
  <si>
    <t>CELINDA</t>
  </si>
  <si>
    <t>BRADSHAW</t>
  </si>
  <si>
    <t>VILLARREAL LETICIA</t>
  </si>
  <si>
    <t>LETICIA</t>
  </si>
  <si>
    <t>VILLARREAL</t>
  </si>
  <si>
    <t>CELINDA BRADSHAW &amp; LETICIA VILLARREAL</t>
  </si>
  <si>
    <t>BRADSHAW CELINDA VILLARREAL LETICIA</t>
  </si>
  <si>
    <t>RAMSEY</t>
  </si>
  <si>
    <t xml:space="preserve">RAMSEY ST </t>
  </si>
  <si>
    <t xml:space="preserve">RAMSEY ST  SMILEY, TX 78159 </t>
  </si>
  <si>
    <t>ROOSTER</t>
  </si>
  <si>
    <t>RUN</t>
  </si>
  <si>
    <t>SCHERTZ</t>
  </si>
  <si>
    <t>C006</t>
  </si>
  <si>
    <t xml:space="preserve">645 ROOSTER RUN </t>
  </si>
  <si>
    <t xml:space="preserve">645 ROOSTER RUN  SCHERTZ, TX 78154-1840 </t>
  </si>
  <si>
    <t>1-12 7 MOREY ADDITION SM</t>
  </si>
  <si>
    <t>JOHNSON REAL ESTATE HOLDINGS LLC</t>
  </si>
  <si>
    <t>BLK SARAH DEWITT</t>
  </si>
  <si>
    <t xml:space="preserve">1200 BLK SARAH DEWITT DR </t>
  </si>
  <si>
    <t xml:space="preserve">1200 BLK SARAH DEWITT DR  GONZALES, TX 78629 </t>
  </si>
  <si>
    <t>ALLENS BEND</t>
  </si>
  <si>
    <t>NEW BRAUNFELS</t>
  </si>
  <si>
    <t>R041</t>
  </si>
  <si>
    <t xml:space="preserve">119 ALLENS BEND DR </t>
  </si>
  <si>
    <t xml:space="preserve">119 ALLENS BEND DR  NEW BRAUNFELS, TX 78130-1945 </t>
  </si>
  <si>
    <t>INDUSTRIAL PARK SUBD PHASE ONE</t>
  </si>
  <si>
    <t>INDUSTRIAL PARK SUB</t>
  </si>
  <si>
    <t>THUNDIYIL TRUST</t>
  </si>
  <si>
    <t>TRUST</t>
  </si>
  <si>
    <t>THUNDIYIL</t>
  </si>
  <si>
    <t>TRUSTEE</t>
  </si>
  <si>
    <t>SARAH DEWITT</t>
  </si>
  <si>
    <t xml:space="preserve">1105 SARAH DEWITT DR </t>
  </si>
  <si>
    <t xml:space="preserve">1105 SARAH DEWITT DR  GONZALES, TX 78629 </t>
  </si>
  <si>
    <t>PO BOX 886</t>
  </si>
  <si>
    <t>B011</t>
  </si>
  <si>
    <t xml:space="preserve">PO BOX 886 </t>
  </si>
  <si>
    <t xml:space="preserve">PO BOX 886  GONZALES, TX 78629 </t>
  </si>
  <si>
    <t>1925 TOWN OF GONZALES PT LT 3 RANGE 8 &amp; 9 EAST</t>
  </si>
  <si>
    <t>NGUYEN PAMELA</t>
  </si>
  <si>
    <t>PAMELA</t>
  </si>
  <si>
    <t>NGUYEN</t>
  </si>
  <si>
    <t>PAMELA NGUYEN</t>
  </si>
  <si>
    <t>GARNET</t>
  </si>
  <si>
    <t>C011</t>
  </si>
  <si>
    <t xml:space="preserve">626 GARNET ST </t>
  </si>
  <si>
    <t xml:space="preserve">626 GARNET ST  SEGUIN, TX 78155-7900 </t>
  </si>
  <si>
    <t>LOT 28 CREEKWOOD SUB 59 J M SALINAS</t>
  </si>
  <si>
    <t>48177C0375C</t>
  </si>
  <si>
    <t>0375C</t>
  </si>
  <si>
    <t>DIAZ JUAN</t>
  </si>
  <si>
    <t>JUAN</t>
  </si>
  <si>
    <t>DIAZ</t>
  </si>
  <si>
    <t>JUAN DIAZ</t>
  </si>
  <si>
    <t>DOOLITTLE</t>
  </si>
  <si>
    <t>EDINBURG</t>
  </si>
  <si>
    <t>R020</t>
  </si>
  <si>
    <t xml:space="preserve">8410 N DOOLITTLE RD </t>
  </si>
  <si>
    <t xml:space="preserve">8410 N DOOLITTLE RD  EDINBURG, TX 78542-4767 </t>
  </si>
  <si>
    <t>PT 1-4 15 GLOVER ADN</t>
  </si>
  <si>
    <t>GLOVERS ADD</t>
  </si>
  <si>
    <t>SHELBY DIANA VAN HOOSER</t>
  </si>
  <si>
    <t>DIANA VAN HOOSER</t>
  </si>
  <si>
    <t>DIANA</t>
  </si>
  <si>
    <t>SHELBY</t>
  </si>
  <si>
    <t>DIANA SHELBY</t>
  </si>
  <si>
    <t xml:space="preserve"> GONZALES, TX 78629 </t>
  </si>
  <si>
    <t>SKIPPING STONE</t>
  </si>
  <si>
    <t>LN</t>
  </si>
  <si>
    <t>C025</t>
  </si>
  <si>
    <t xml:space="preserve">9422 SKIPPING STONE LN </t>
  </si>
  <si>
    <t xml:space="preserve">9422 SKIPPING STONE LN  HOUSTON, TX 77064-7484 </t>
  </si>
  <si>
    <t>19 E DICKINSON</t>
  </si>
  <si>
    <t>48177C0200C</t>
  </si>
  <si>
    <t>0200C</t>
  </si>
  <si>
    <t>BORRER JAMES WALTER</t>
  </si>
  <si>
    <t>JAMES WALTER</t>
  </si>
  <si>
    <t>BORRER</t>
  </si>
  <si>
    <t>JAMES BORRER</t>
  </si>
  <si>
    <t xml:space="preserve">LEE AVE </t>
  </si>
  <si>
    <t xml:space="preserve">LEE AVE  SMILEY, TX 78159 </t>
  </si>
  <si>
    <t>PO BOX L</t>
  </si>
  <si>
    <t xml:space="preserve">PO BOX L </t>
  </si>
  <si>
    <t xml:space="preserve">PO BOX L  GONZALES, TX 78629 </t>
  </si>
  <si>
    <t>B-8 COLLEYS 2ND SM</t>
  </si>
  <si>
    <t>2ND V B COLLEYS ADD</t>
  </si>
  <si>
    <t>CONCRETE</t>
  </si>
  <si>
    <t>RIVER LAND HOLDINGS LLC</t>
  </si>
  <si>
    <t>HIGHWAY 80</t>
  </si>
  <si>
    <t xml:space="preserve">N HIGHWAY 80 </t>
  </si>
  <si>
    <t xml:space="preserve">N HIGHWAY 80  LEESVILLE, TX 78122 </t>
  </si>
  <si>
    <t>PO BOX 1621</t>
  </si>
  <si>
    <t xml:space="preserve">PO BOX 1621 </t>
  </si>
  <si>
    <t xml:space="preserve">PO BOX 1621  GONZALES, TX 78629-1121 </t>
  </si>
  <si>
    <t>148 E W CULLEN</t>
  </si>
  <si>
    <t>GULANS ADD</t>
  </si>
  <si>
    <t>VACANT LAND (NEC)</t>
  </si>
  <si>
    <t>O1-REAL PROPERTY, RESIDENTIAL INVENTORY</t>
  </si>
  <si>
    <t>48177C0350C</t>
  </si>
  <si>
    <t>0350C</t>
  </si>
  <si>
    <t>GARNER CHARLENE</t>
  </si>
  <si>
    <t>CHARLENE</t>
  </si>
  <si>
    <t>GARNER</t>
  </si>
  <si>
    <t>CHARLENE GARNER</t>
  </si>
  <si>
    <t>LAKEWOOD</t>
  </si>
  <si>
    <t>ESTS</t>
  </si>
  <si>
    <t xml:space="preserve">LAKEWOOD ESTS </t>
  </si>
  <si>
    <t xml:space="preserve">LAKEWOOD ESTS  GONZALES, TX 78629 </t>
  </si>
  <si>
    <t>TARA</t>
  </si>
  <si>
    <t>H003</t>
  </si>
  <si>
    <t xml:space="preserve">8809 TARA LN </t>
  </si>
  <si>
    <t xml:space="preserve">8809 TARA LN  AUSTIN, TX 78737-1146 </t>
  </si>
  <si>
    <t>BLK B LOT 1 LAKEWOOD ESTATES PHASE I 59 J M SALINAS</t>
  </si>
  <si>
    <t>LAKEWOOD ESTATE</t>
  </si>
  <si>
    <t>B</t>
  </si>
  <si>
    <t>CHESSHER JIMMY</t>
  </si>
  <si>
    <t>JIMMY</t>
  </si>
  <si>
    <t>CHESSHER</t>
  </si>
  <si>
    <t>CHESSHER CORTINE</t>
  </si>
  <si>
    <t>CORTINE</t>
  </si>
  <si>
    <t>JIMMY &amp; CORTINE CHESSHER</t>
  </si>
  <si>
    <t>CHESSHER JIMMY CHESSHER CORTINE</t>
  </si>
  <si>
    <t>PO BOX 317</t>
  </si>
  <si>
    <t>MC QUEENEY</t>
  </si>
  <si>
    <t>MCQUEENEY</t>
  </si>
  <si>
    <t xml:space="preserve">PO BOX 317 </t>
  </si>
  <si>
    <t xml:space="preserve">PO BOX 317  MC QUEENEY, TX 78123 </t>
  </si>
  <si>
    <t>BLK B LOT 2 LAKEWOOD ESTATES 59 J M SALINAS</t>
  </si>
  <si>
    <t>ZUMWALT CHERYL C</t>
  </si>
  <si>
    <t>CHERYL C</t>
  </si>
  <si>
    <t>CHERYL</t>
  </si>
  <si>
    <t>ZUMWALT</t>
  </si>
  <si>
    <t>CHERYL ZUMWALT</t>
  </si>
  <si>
    <t>COUNTY ROAD 278</t>
  </si>
  <si>
    <t>LULING</t>
  </si>
  <si>
    <t xml:space="preserve">973 COUNTY ROAD 278 </t>
  </si>
  <si>
    <t xml:space="preserve">973 COUNTY ROAD 278  LULING, TX 78648-4845 </t>
  </si>
  <si>
    <t>BLK B LOT 3 LAKEWOOD ESTATES 59 J M SALINAS</t>
  </si>
  <si>
    <t>MCDANIEL RHONDA E</t>
  </si>
  <si>
    <t>RHONDA E</t>
  </si>
  <si>
    <t>RHONDA</t>
  </si>
  <si>
    <t>MCDANIEL</t>
  </si>
  <si>
    <t>RHONDA MCDANIEL</t>
  </si>
  <si>
    <t>VILLAGE</t>
  </si>
  <si>
    <t>SHINER</t>
  </si>
  <si>
    <t>R004</t>
  </si>
  <si>
    <t xml:space="preserve">1206 VILLAGE LN </t>
  </si>
  <si>
    <t xml:space="preserve">1206 VILLAGE LN  SHINER, TX 77984-6214 </t>
  </si>
  <si>
    <t>BLK B LOT 4 LAKEWOOD ESTATES PHASE I 59 J M SALINAS</t>
  </si>
  <si>
    <t>BAKER BRUCE</t>
  </si>
  <si>
    <t>BRUCE</t>
  </si>
  <si>
    <t>BAKER</t>
  </si>
  <si>
    <t>BAKER ELAINE</t>
  </si>
  <si>
    <t>ELAINE</t>
  </si>
  <si>
    <t>BRUCE &amp; ELAINE BAKER</t>
  </si>
  <si>
    <t>BAKER BRUCE BAKER ELAINE</t>
  </si>
  <si>
    <t>FM 108</t>
  </si>
  <si>
    <t xml:space="preserve">1085 FM 108 S </t>
  </si>
  <si>
    <t xml:space="preserve">1085 FM 108 S  GONZALES, TX 78629-6656 </t>
  </si>
  <si>
    <t>BLK B LOT 6 LAKEWOOD ESTATES 59 J M SALINAS</t>
  </si>
  <si>
    <t>POORE ROBERT L</t>
  </si>
  <si>
    <t>ROBERT L</t>
  </si>
  <si>
    <t>ROBERT</t>
  </si>
  <si>
    <t>POORE</t>
  </si>
  <si>
    <t>POORE ALICE R</t>
  </si>
  <si>
    <t>ALICE R</t>
  </si>
  <si>
    <t>ALICE</t>
  </si>
  <si>
    <t>ROBERT &amp; ALICE POORE</t>
  </si>
  <si>
    <t>POORE ROBERT L POORE ALICE R</t>
  </si>
  <si>
    <t>PO BOX 194</t>
  </si>
  <si>
    <t>FALLS CITY</t>
  </si>
  <si>
    <t xml:space="preserve">PO BOX 194 </t>
  </si>
  <si>
    <t xml:space="preserve">PO BOX 194  FALLS CITY, TX 78113 </t>
  </si>
  <si>
    <t>LOT 13 CREEKWOOD SUB 59 J M SALINAS</t>
  </si>
  <si>
    <t>DSG INVESTMENTS LTD</t>
  </si>
  <si>
    <t xml:space="preserve">487 CREEKWOOD DR </t>
  </si>
  <si>
    <t xml:space="preserve">487 CREEKWOOD DR  GONZALES, TX 78629 </t>
  </si>
  <si>
    <t xml:space="preserve">487 CREEKWOOD DR  GONZALES, TX 78629-6366 </t>
  </si>
  <si>
    <t>LOT 21 CREEKWOOD SUB 59 J M SALINAS</t>
  </si>
  <si>
    <t>LONG BONN</t>
  </si>
  <si>
    <t>BONN</t>
  </si>
  <si>
    <t>LONG</t>
  </si>
  <si>
    <t>SENG BORANY</t>
  </si>
  <si>
    <t>BORANY</t>
  </si>
  <si>
    <t>SENG</t>
  </si>
  <si>
    <t>BONN LONG &amp; BORANY SENG</t>
  </si>
  <si>
    <t>LONG BONN SENG BORANY</t>
  </si>
  <si>
    <t>WINDING WAY</t>
  </si>
  <si>
    <t xml:space="preserve">2631 WINDING WAY DR #418 </t>
  </si>
  <si>
    <t xml:space="preserve">2631 WINDING WAY DR #418, GONZALES, TX 78629-3237 </t>
  </si>
  <si>
    <t>LOT 23 CREEKWOOD SUB 59 J M SALINAS</t>
  </si>
  <si>
    <t>BAKER IRVIN WAYNE</t>
  </si>
  <si>
    <t>IRVIN WAYNE</t>
  </si>
  <si>
    <t>IRVIN</t>
  </si>
  <si>
    <t>BAKER ERIN</t>
  </si>
  <si>
    <t>ERIN</t>
  </si>
  <si>
    <t>IRVIN &amp; ERIN BAKER</t>
  </si>
  <si>
    <t>BAKER IRVIN WAYNE BAKER ERIN</t>
  </si>
  <si>
    <t>PO BOX 416</t>
  </si>
  <si>
    <t>B005</t>
  </si>
  <si>
    <t xml:space="preserve">PO BOX 416 </t>
  </si>
  <si>
    <t xml:space="preserve">PO BOX 416  GONZALES, TX 78629 </t>
  </si>
  <si>
    <t>LOT 25 CREEKWOOD SUB 59 J M SALINAS</t>
  </si>
  <si>
    <t>LWE PROPERTIES LTD</t>
  </si>
  <si>
    <t xml:space="preserve">7245 N US HIGHWAY 183 </t>
  </si>
  <si>
    <t xml:space="preserve">7245 N US HIGHWAY 183  GONZALES, TX 78629-5148 </t>
  </si>
  <si>
    <t>PARKS LAKEWOOD ESTATES 59 J M SALINAS PRIVATE PARKS</t>
  </si>
  <si>
    <t>LYMAN ALLEN L</t>
  </si>
  <si>
    <t>ALLEN L</t>
  </si>
  <si>
    <t>ALLEN</t>
  </si>
  <si>
    <t>LYMAN</t>
  </si>
  <si>
    <t>LYMAN VERANDA</t>
  </si>
  <si>
    <t>VERANDA</t>
  </si>
  <si>
    <t>ALLEN &amp; VERANDA LYMAN</t>
  </si>
  <si>
    <t>LYMAN ALLEN L LYMAN VERANDA</t>
  </si>
  <si>
    <t>LAKEVIEW</t>
  </si>
  <si>
    <t>C009</t>
  </si>
  <si>
    <t xml:space="preserve">658 LAKEVIEW DR </t>
  </si>
  <si>
    <t xml:space="preserve">658 LAKEVIEW DR  SEGUIN, TX 78155-3127 </t>
  </si>
  <si>
    <t>BLK A LOT 1 LAKEWOOD ESTATES 59 J M SALINAS</t>
  </si>
  <si>
    <t>SOLANSKY JOE F</t>
  </si>
  <si>
    <t>JOE F</t>
  </si>
  <si>
    <t>SOLANSKY</t>
  </si>
  <si>
    <t>JOE SOLANSKY</t>
  </si>
  <si>
    <t>TAPI</t>
  </si>
  <si>
    <t xml:space="preserve">28 TAPI LN </t>
  </si>
  <si>
    <t xml:space="preserve">28 TAPI LN  GONZALES, TX 78629 </t>
  </si>
  <si>
    <t xml:space="preserve">5233 N US HIGHWAY 183 </t>
  </si>
  <si>
    <t xml:space="preserve">5233 N US HIGHWAY 183  GONZALES, TX 78629-5104 </t>
  </si>
  <si>
    <t>BLK A LOT 2 LAKEWOOD ESTATES 59 J M SALINAS</t>
  </si>
  <si>
    <t>PATIO</t>
  </si>
  <si>
    <t>HERNANDEZ LORENZO</t>
  </si>
  <si>
    <t>LORENZO</t>
  </si>
  <si>
    <t>HERNANDEZ ELIZABETH</t>
  </si>
  <si>
    <t>ELIZABETH</t>
  </si>
  <si>
    <t>LORENZO &amp; ELIZABETH HERNANDEZ</t>
  </si>
  <si>
    <t>HERNANDEZ LORENZO HERNANDEZ ELIZABETH</t>
  </si>
  <si>
    <t>BOTTS</t>
  </si>
  <si>
    <t xml:space="preserve">217 BOTTS ST </t>
  </si>
  <si>
    <t xml:space="preserve">217 BOTTS ST  GONZALES, TX 78629-3401 </t>
  </si>
  <si>
    <t>BLK A LOT 3 LAKEWOOD ESTATES 59 J M SALINAS</t>
  </si>
  <si>
    <t>NESBITT GREGORY F</t>
  </si>
  <si>
    <t>GREGORY F</t>
  </si>
  <si>
    <t>NESBITT</t>
  </si>
  <si>
    <t>NESBITT LORETTA S</t>
  </si>
  <si>
    <t>LORETTA S</t>
  </si>
  <si>
    <t>LORETTA</t>
  </si>
  <si>
    <t>GREGORY &amp; LORETTA NESBITT</t>
  </si>
  <si>
    <t>NESBITT GREGORY F NESBITT LORETTA S</t>
  </si>
  <si>
    <t>LAKEWOOD ESTATES PHASE I</t>
  </si>
  <si>
    <t xml:space="preserve">LAKEWOOD ESTATES PHASE I </t>
  </si>
  <si>
    <t xml:space="preserve">LAKEWOOD ESTATES PHASE I  GONZALES, TX 78629 </t>
  </si>
  <si>
    <t>SUNSET CANYON</t>
  </si>
  <si>
    <t>DRIPPING SPRINGS</t>
  </si>
  <si>
    <t xml:space="preserve">1033 SUNSET CANYON DR S </t>
  </si>
  <si>
    <t xml:space="preserve">1033 SUNSET CANYON DR S  DRIPPING SPRINGS, TX 78620-4271 </t>
  </si>
  <si>
    <t>BLK A LOT 4 LAKEWOOD ESTATES 59 J M SALINAS</t>
  </si>
  <si>
    <t>ESTIMATED</t>
  </si>
  <si>
    <t>VENDOR'S LIEN</t>
  </si>
  <si>
    <t>WIEST TANA</t>
  </si>
  <si>
    <t>CONVENTIONAL</t>
  </si>
  <si>
    <t>SOUTHTRUST BANK SSB</t>
  </si>
  <si>
    <t>GRACY TITLE</t>
  </si>
  <si>
    <t>GARCIA JOHN E</t>
  </si>
  <si>
    <t>JOHN E</t>
  </si>
  <si>
    <t>JOHN</t>
  </si>
  <si>
    <t>GARCIA</t>
  </si>
  <si>
    <t>GARCIA CHRISTINE M</t>
  </si>
  <si>
    <t>CHRISTINE M</t>
  </si>
  <si>
    <t>CHRISTINE</t>
  </si>
  <si>
    <t>JOHN &amp; CHRISTINE GARCIA</t>
  </si>
  <si>
    <t>GARCIA JOHN E GARCIA CHRISTINE M</t>
  </si>
  <si>
    <t>MARRIED</t>
  </si>
  <si>
    <t>INNISBROOK</t>
  </si>
  <si>
    <t>R102</t>
  </si>
  <si>
    <t xml:space="preserve">16531 INNISBROOK DR </t>
  </si>
  <si>
    <t xml:space="preserve">16531 INNISBROOK DR  HOUSTON, TX 77095-6579 </t>
  </si>
  <si>
    <t>BLK A LOT 5 LAKEWOOD ESTATES 59 J M SALINAS</t>
  </si>
  <si>
    <t>BREITSCHOPF SHERYL</t>
  </si>
  <si>
    <t>SHERYL</t>
  </si>
  <si>
    <t>SHERYL BREITSCHOPF</t>
  </si>
  <si>
    <t>COUNTY ROAD 358</t>
  </si>
  <si>
    <t xml:space="preserve">1749 COUNTY ROAD 358 </t>
  </si>
  <si>
    <t xml:space="preserve">1749 COUNTY ROAD 358  SHINER, TX 77984-6325 </t>
  </si>
  <si>
    <t>BLK A LOT 7 LAKEWOOD ESTATES 59 J M SALINAS</t>
  </si>
  <si>
    <t>SWAYZE MARTIN ALLEN</t>
  </si>
  <si>
    <t>MARTIN ALLEN</t>
  </si>
  <si>
    <t>SWAYZE</t>
  </si>
  <si>
    <t>SWAYZE REBECCA FRANCES</t>
  </si>
  <si>
    <t>REBECCA FRANCES</t>
  </si>
  <si>
    <t>REBECCA</t>
  </si>
  <si>
    <t>MARTIN &amp; REBECCA SWAYZE</t>
  </si>
  <si>
    <t>SWAYZE MARTIN ALLEN SWAYZE REBECCA FRANCES</t>
  </si>
  <si>
    <t>MESQUITE</t>
  </si>
  <si>
    <t>PASS</t>
  </si>
  <si>
    <t xml:space="preserve">615 MESQUITE PASS </t>
  </si>
  <si>
    <t xml:space="preserve">615 MESQUITE PASS  SEGUIN, TX 78155-1797 </t>
  </si>
  <si>
    <t>BLK A LOT 8 LAKEWOOD ESTATES 59 J M SALINAS</t>
  </si>
  <si>
    <t>O1</t>
  </si>
  <si>
    <t>KAY BURROUGH DAVID RAY</t>
  </si>
  <si>
    <t>BURROUGH DAVID RAY</t>
  </si>
  <si>
    <t>BURROUGH</t>
  </si>
  <si>
    <t>KAY</t>
  </si>
  <si>
    <t>KAY GLADYS</t>
  </si>
  <si>
    <t>GLADYS</t>
  </si>
  <si>
    <t>BURROUGH &amp; GLADYS KAY</t>
  </si>
  <si>
    <t>KAY BURROUGH DAVID RAY KAY GLADYS</t>
  </si>
  <si>
    <t>PO BOX 1963</t>
  </si>
  <si>
    <t>B019</t>
  </si>
  <si>
    <t xml:space="preserve">PO BOX 1963 </t>
  </si>
  <si>
    <t xml:space="preserve">PO BOX 1963  GONZALES, TX 78629-1463 </t>
  </si>
  <si>
    <t>BLK A LOT 11 LAKEWOOD ESTATES 59 J M SALINAS</t>
  </si>
  <si>
    <t>OTHOLD JUSTIN</t>
  </si>
  <si>
    <t>JUSTIN</t>
  </si>
  <si>
    <t>OTHOLD</t>
  </si>
  <si>
    <t>JUSTIN OTHOLD</t>
  </si>
  <si>
    <t>GOODWIN</t>
  </si>
  <si>
    <t xml:space="preserve">408 GOODWIN RD </t>
  </si>
  <si>
    <t xml:space="preserve">408 GOODWIN RD  GONZALES, TX 78629 </t>
  </si>
  <si>
    <t>COUNTY ROAD 350</t>
  </si>
  <si>
    <t xml:space="preserve">1467 COUNTY ROAD 350 </t>
  </si>
  <si>
    <t xml:space="preserve">1467 COUNTY ROAD 350  SHINER, TX 77984-6478 </t>
  </si>
  <si>
    <t>BLK A LOT 12 LAKEWOOD ESTATES 59 J M SALINAS</t>
  </si>
  <si>
    <t>NEWMAN LEE</t>
  </si>
  <si>
    <t>NEWMAN</t>
  </si>
  <si>
    <t>LEE NEWMAN</t>
  </si>
  <si>
    <t>HIGHWAY 80 CR 114</t>
  </si>
  <si>
    <t xml:space="preserve">HIGHWAY 80 CR 114 </t>
  </si>
  <si>
    <t xml:space="preserve">HIGHWAY 80 CR 114  TX </t>
  </si>
  <si>
    <t>PO BOX 147</t>
  </si>
  <si>
    <t xml:space="preserve">PO BOX 147 </t>
  </si>
  <si>
    <t xml:space="preserve">PO BOX 147  LEESVILLE, TX 78122 </t>
  </si>
  <si>
    <t>PEREZ DANIEL</t>
  </si>
  <si>
    <t>DANIEL</t>
  </si>
  <si>
    <t>DANIEL PEREZ</t>
  </si>
  <si>
    <t>FM</t>
  </si>
  <si>
    <t xml:space="preserve">6576 FM #1682 </t>
  </si>
  <si>
    <t xml:space="preserve">6576 FM #1682, LEESVILLE, TX 78122 </t>
  </si>
  <si>
    <t>PO BOX 122</t>
  </si>
  <si>
    <t xml:space="preserve">PO BOX 122 </t>
  </si>
  <si>
    <t xml:space="preserve">PO BOX 122  LEESVILLE, TX 78122 </t>
  </si>
  <si>
    <t>148 E W CULLEN MH ON PARCEL 20659  25921 &amp; 28089</t>
  </si>
  <si>
    <t>SMITH LOTTIE EST</t>
  </si>
  <si>
    <t>LOTTIE SMITH</t>
  </si>
  <si>
    <t>UNKNOWN</t>
  </si>
  <si>
    <t xml:space="preserve"> UNKNOWN, TX </t>
  </si>
  <si>
    <t>16 GREEN DEWITT</t>
  </si>
  <si>
    <t>48177C0325C</t>
  </si>
  <si>
    <t>0325C</t>
  </si>
  <si>
    <t>GUZMAN SERGIO BARAJAS</t>
  </si>
  <si>
    <t>SERGIO BARAJAS</t>
  </si>
  <si>
    <t>SERGIO</t>
  </si>
  <si>
    <t>GUZMAN</t>
  </si>
  <si>
    <t>SERGIO GUZMAN</t>
  </si>
  <si>
    <t>BLK CONE</t>
  </si>
  <si>
    <t xml:space="preserve">900 E BLK CONE </t>
  </si>
  <si>
    <t xml:space="preserve">900 E BLK CONE  GONZALES, TX 78629 </t>
  </si>
  <si>
    <t>TATE</t>
  </si>
  <si>
    <t xml:space="preserve">821 TATE ST </t>
  </si>
  <si>
    <t xml:space="preserve">821 TATE ST  GONZALES, TX 78629-2302 </t>
  </si>
  <si>
    <t>57-58 KINGS 6TH W 1/2 80 &amp; 81</t>
  </si>
  <si>
    <t>KINGS 6TH ADD</t>
  </si>
  <si>
    <t>WILLIAMS ROBERT A</t>
  </si>
  <si>
    <t>ROBERT A</t>
  </si>
  <si>
    <t>ROBERT WILLIAMS</t>
  </si>
  <si>
    <t>HEWLETT</t>
  </si>
  <si>
    <t xml:space="preserve">46 HEWLETT RD </t>
  </si>
  <si>
    <t xml:space="preserve">46 HEWLETT RD  GONZALES, TX 78629 </t>
  </si>
  <si>
    <t>BELMONT</t>
  </si>
  <si>
    <t xml:space="preserve">PO BOX 886  BELMONT, TX 78604 </t>
  </si>
  <si>
    <t>19 E DICKINSON ADJOINS LOT 22 IN LAKESIDE</t>
  </si>
  <si>
    <t>LAKESIDE</t>
  </si>
  <si>
    <t>UNION PACIFIC RAILROAD CO</t>
  </si>
  <si>
    <t>PROPERTY TAX DEPT</t>
  </si>
  <si>
    <t>UNION PACIFIC RAILROAD CO PROPERTY TAX DEPT</t>
  </si>
  <si>
    <t>ST ANDREW ST PETER</t>
  </si>
  <si>
    <t xml:space="preserve">ST ANDREW ST PETER </t>
  </si>
  <si>
    <t xml:space="preserve">ST ANDREW ST PETER  GONZALES, TX 78629 </t>
  </si>
  <si>
    <t>DOUGLAS</t>
  </si>
  <si>
    <t>OMAHA</t>
  </si>
  <si>
    <t>NE</t>
  </si>
  <si>
    <t>C000</t>
  </si>
  <si>
    <t xml:space="preserve">1400 DOUGLAS ST #1640 </t>
  </si>
  <si>
    <t xml:space="preserve">1400 DOUGLAS ST #1640, OMAHA, NE 68179-1001 </t>
  </si>
  <si>
    <t>PT 2 RANGE II PT 1-2 BLK 2 BADGERS SOUTH PT BLDG 11099</t>
  </si>
  <si>
    <t>HARVEY KATHY ANN</t>
  </si>
  <si>
    <t>KATHY ANN</t>
  </si>
  <si>
    <t>KATHY</t>
  </si>
  <si>
    <t>HARVEY</t>
  </si>
  <si>
    <t>KATHY HARVEY</t>
  </si>
  <si>
    <t>4TH</t>
  </si>
  <si>
    <t xml:space="preserve">900 E 4TH ST </t>
  </si>
  <si>
    <t xml:space="preserve">900 E 4TH ST  NIXON, TX 78140 </t>
  </si>
  <si>
    <t xml:space="preserve">1000 E 4TH ST </t>
  </si>
  <si>
    <t xml:space="preserve">1000 E 4TH ST  NIXON, TX 78140-3240 </t>
  </si>
  <si>
    <t>6 &amp; 7 MCCANN HEIGHTS</t>
  </si>
  <si>
    <t>MCCANN HEIGHTS</t>
  </si>
  <si>
    <t>FIETSAM JOHN J INC</t>
  </si>
  <si>
    <t xml:space="preserve">HIGHWAY 97  WAELDER, TX 78959 </t>
  </si>
  <si>
    <t>MAIN</t>
  </si>
  <si>
    <t>SCHULENBURG</t>
  </si>
  <si>
    <t xml:space="preserve">100 S MAIN ST </t>
  </si>
  <si>
    <t xml:space="preserve">100 S MAIN ST  SCHULENBURG, TX 78956-2225 </t>
  </si>
  <si>
    <t>108 WILLIAM BARNES</t>
  </si>
  <si>
    <t>WILLIAM BARNES 01/3 LEAGUE A-10</t>
  </si>
  <si>
    <t>48177C0150C</t>
  </si>
  <si>
    <t>0150C</t>
  </si>
  <si>
    <t>BRACAMONTE S FELIPE</t>
  </si>
  <si>
    <t>S FELIPE</t>
  </si>
  <si>
    <t>BRACAMONTE</t>
  </si>
  <si>
    <t>BRACAMONTE LEONOR</t>
  </si>
  <si>
    <t>LEONOR</t>
  </si>
  <si>
    <t>S &amp; LEONOR BRACAMONTE</t>
  </si>
  <si>
    <t>BRACAMONTE S FELIPE BRACAMONTE LEONOR</t>
  </si>
  <si>
    <t xml:space="preserve">14650 E STATE HIGHWAY 97 </t>
  </si>
  <si>
    <t xml:space="preserve">14650 E STATE HIGHWAY 97  WAELDER, TX 78959 </t>
  </si>
  <si>
    <t>PO BOX 816</t>
  </si>
  <si>
    <t xml:space="preserve">PO BOX 816 </t>
  </si>
  <si>
    <t xml:space="preserve">PO BOX 816  WAELDER, TX 78959 </t>
  </si>
  <si>
    <t>303 DAVID B KENT MH ON PARCEL 28130</t>
  </si>
  <si>
    <t>PART/DAVID B KENT 01/3 LEAGUE A</t>
  </si>
  <si>
    <t>RAMIREZ SAMUEL</t>
  </si>
  <si>
    <t>SAMUEL</t>
  </si>
  <si>
    <t>RAMIREZ</t>
  </si>
  <si>
    <t>SAMUEL RAMIREZ</t>
  </si>
  <si>
    <t>ROYAL MILE</t>
  </si>
  <si>
    <t>R008</t>
  </si>
  <si>
    <t xml:space="preserve">16650 ROYAL MILE LN </t>
  </si>
  <si>
    <t xml:space="preserve">16650 ROYAL MILE LN  HOUSTON, TX 77084-2840 </t>
  </si>
  <si>
    <t>303 DAVID B KENT</t>
  </si>
  <si>
    <t>ESPARZA CARLOS</t>
  </si>
  <si>
    <t>CARLOS</t>
  </si>
  <si>
    <t>ESPARZA</t>
  </si>
  <si>
    <t>CARLOS ESPARZA</t>
  </si>
  <si>
    <t xml:space="preserve">14628 E STATE HIGHWAY 97 </t>
  </si>
  <si>
    <t xml:space="preserve">14628 E STATE HIGHWAY 97  WAELDER, TX 78959 </t>
  </si>
  <si>
    <t xml:space="preserve">14628 E STATE HIGHWAY 97  WAELDER, TX 78959-5190 </t>
  </si>
  <si>
    <t>303 DAVID B KENT MH ON PARCEL 19990</t>
  </si>
  <si>
    <t>REYES MIREYA Y ZUNIGA</t>
  </si>
  <si>
    <t>MIREYA Y ZUNIGA</t>
  </si>
  <si>
    <t>MIREYA</t>
  </si>
  <si>
    <t>REYES CASTILLO</t>
  </si>
  <si>
    <t>MIREYA &amp; CASTILLO REYES</t>
  </si>
  <si>
    <t>REYES MIREYA Y ZUNIGA REYES CASTILLO</t>
  </si>
  <si>
    <t>COUNTY ROAD 513</t>
  </si>
  <si>
    <t xml:space="preserve">130 COUNTY ROAD 513 </t>
  </si>
  <si>
    <t xml:space="preserve">130 COUNTY ROAD 513  WAELDER, TX 78959 </t>
  </si>
  <si>
    <t>PO BOX 600</t>
  </si>
  <si>
    <t xml:space="preserve">PO BOX 600 </t>
  </si>
  <si>
    <t xml:space="preserve">PO BOX 600  WAELDER, TX 78959 </t>
  </si>
  <si>
    <t>DAVID B KENT 01/3 LEAGUE ABS 30</t>
  </si>
  <si>
    <t>WATSON JUDY ANN</t>
  </si>
  <si>
    <t>JUDY ANN</t>
  </si>
  <si>
    <t>WATSON</t>
  </si>
  <si>
    <t>JUDY WATSON</t>
  </si>
  <si>
    <t>CR488</t>
  </si>
  <si>
    <t>PRAIRIE</t>
  </si>
  <si>
    <t>OF</t>
  </si>
  <si>
    <t xml:space="preserve">CR488 PRAIRIE OF </t>
  </si>
  <si>
    <t xml:space="preserve">CR488 PRAIRIE OF, GONZALES, TX 78629 </t>
  </si>
  <si>
    <t>LANGDON PARK</t>
  </si>
  <si>
    <t>CIR</t>
  </si>
  <si>
    <t>WINDER</t>
  </si>
  <si>
    <t>GA</t>
  </si>
  <si>
    <t>R021</t>
  </si>
  <si>
    <t xml:space="preserve">1170 LANGDON PARK CIR </t>
  </si>
  <si>
    <t xml:space="preserve">1170 LANGDON PARK CIR  WINDER, GA 30680-8013 </t>
  </si>
  <si>
    <t>503 ANDREW ZUMWALT</t>
  </si>
  <si>
    <t>BROWN WAYNE &amp; BROWN CAROL</t>
  </si>
  <si>
    <t>WAYNE &amp; CAROL BROWN</t>
  </si>
  <si>
    <t xml:space="preserve">5217 US HIGHWAY 90A E </t>
  </si>
  <si>
    <t xml:space="preserve">5217 US HIGHWAY 90A E  GONZALES, TX 78629-2757 </t>
  </si>
  <si>
    <t>2 7 BADGERS</t>
  </si>
  <si>
    <t>DAVIDSON HILL ADD</t>
  </si>
  <si>
    <t>LOCKSTEDT LARRY</t>
  </si>
  <si>
    <t>LARRY</t>
  </si>
  <si>
    <t>LOCKSTEDT</t>
  </si>
  <si>
    <t>LARRY LOCKSTEDT</t>
  </si>
  <si>
    <t xml:space="preserve">TX </t>
  </si>
  <si>
    <t xml:space="preserve">703 TATE ST </t>
  </si>
  <si>
    <t xml:space="preserve">703 TATE ST  GONZALES, TX 78629-2346 </t>
  </si>
  <si>
    <t>69-72 LAKESIDE</t>
  </si>
  <si>
    <t>BOX BUD</t>
  </si>
  <si>
    <t>BUD</t>
  </si>
  <si>
    <t>BOX</t>
  </si>
  <si>
    <t>BUD BOX</t>
  </si>
  <si>
    <t xml:space="preserve">594 N STATE HIGHWAY 80 </t>
  </si>
  <si>
    <t xml:space="preserve">594 N STATE HIGHWAY 80  NIXON, TX 78140 </t>
  </si>
  <si>
    <t>PO BOX 586</t>
  </si>
  <si>
    <t xml:space="preserve">PO BOX 586 </t>
  </si>
  <si>
    <t xml:space="preserve">PO BOX 586  NIXON, TX 78140 </t>
  </si>
  <si>
    <t>3 POLAN SUB/DIV#1</t>
  </si>
  <si>
    <t>POLAN SUB</t>
  </si>
  <si>
    <t>WOOD DECK</t>
  </si>
  <si>
    <t>A2</t>
  </si>
  <si>
    <t>SIMMONS CHARLES LEE</t>
  </si>
  <si>
    <t>CHARLES LEE</t>
  </si>
  <si>
    <t>CHARLES</t>
  </si>
  <si>
    <t>SIMMONS</t>
  </si>
  <si>
    <t>CHARLES SIMMONS</t>
  </si>
  <si>
    <t>COUNTY ROAD 108</t>
  </si>
  <si>
    <t xml:space="preserve">COUNTY ROAD 108 </t>
  </si>
  <si>
    <t xml:space="preserve">COUNTY ROAD 108  TX </t>
  </si>
  <si>
    <t>FOREST RIDGE</t>
  </si>
  <si>
    <t>ELGIN</t>
  </si>
  <si>
    <t xml:space="preserve">121 FOREST RIDGE DR </t>
  </si>
  <si>
    <t xml:space="preserve">121 FOREST RIDGE DR  ELGIN, TX 78621-9561 </t>
  </si>
  <si>
    <t>32 P JAMES</t>
  </si>
  <si>
    <t>DELEON CATHY L</t>
  </si>
  <si>
    <t>CATHY L</t>
  </si>
  <si>
    <t>CATHY</t>
  </si>
  <si>
    <t>DELEON</t>
  </si>
  <si>
    <t>CATHY DELEON</t>
  </si>
  <si>
    <t>6TH</t>
  </si>
  <si>
    <t xml:space="preserve">E 6TH ST </t>
  </si>
  <si>
    <t xml:space="preserve">E 6TH ST  NIXON, TX 78140 </t>
  </si>
  <si>
    <t xml:space="preserve">1620 E STATE HIGHWAY 97 </t>
  </si>
  <si>
    <t xml:space="preserve">1620 E STATE HIGHWAY 97  NIXON, TX 78140-5227 </t>
  </si>
  <si>
    <t>7-12 75 SCHL ADDN</t>
  </si>
  <si>
    <t>SCHL ADD</t>
  </si>
  <si>
    <t>HALAMICEK ROY E</t>
  </si>
  <si>
    <t>ROY E</t>
  </si>
  <si>
    <t>ROY</t>
  </si>
  <si>
    <t>HALAMICEK</t>
  </si>
  <si>
    <t>HALAMICEK GAYLE M</t>
  </si>
  <si>
    <t>GAYLE M</t>
  </si>
  <si>
    <t>GAYLE</t>
  </si>
  <si>
    <t>ROY &amp; GAYLE HALAMICEK</t>
  </si>
  <si>
    <t>HALAMICEK ROY E HALAMICEK GAYLE M</t>
  </si>
  <si>
    <t xml:space="preserve">REID ST </t>
  </si>
  <si>
    <t xml:space="preserve">REID ST  TX </t>
  </si>
  <si>
    <t>PO BOX 929</t>
  </si>
  <si>
    <t>LA GRANGE</t>
  </si>
  <si>
    <t>B010</t>
  </si>
  <si>
    <t xml:space="preserve">PO BOX 929 </t>
  </si>
  <si>
    <t xml:space="preserve">PO BOX 929  LA GRANGE, TX 78945 </t>
  </si>
  <si>
    <t>9 10 12 13 EASTWOOD TERRACE</t>
  </si>
  <si>
    <t>REID ADD</t>
  </si>
  <si>
    <t>CRAVEN VYRAN WAYNE</t>
  </si>
  <si>
    <t>VYRAN WAYNE</t>
  </si>
  <si>
    <t>VYRAN</t>
  </si>
  <si>
    <t>CRAVEN</t>
  </si>
  <si>
    <t>VYRAN CRAVEN</t>
  </si>
  <si>
    <t>ST MICHAEL MC CLURE</t>
  </si>
  <si>
    <t xml:space="preserve">ST MICHAEL MC CLURE </t>
  </si>
  <si>
    <t xml:space="preserve">ST MICHAEL MC CLURE  GONZALES, TX 78629 </t>
  </si>
  <si>
    <t>FM 2091</t>
  </si>
  <si>
    <t xml:space="preserve">368 FM 2091 N </t>
  </si>
  <si>
    <t xml:space="preserve">368 FM 2091 N  GONZALES, TX 78629-6229 </t>
  </si>
  <si>
    <t>ALL A B 11 LAFAYETTE ALL F PT E  G  H</t>
  </si>
  <si>
    <t>LAFAYETTE PLACE ADD</t>
  </si>
  <si>
    <t>DEMENT DERON D</t>
  </si>
  <si>
    <t>DERON D</t>
  </si>
  <si>
    <t>DERON</t>
  </si>
  <si>
    <t>DEMENT</t>
  </si>
  <si>
    <t>DEMENT PAULA R</t>
  </si>
  <si>
    <t>PAULA R</t>
  </si>
  <si>
    <t>PAULA</t>
  </si>
  <si>
    <t>DERON &amp; PAULA DEMENT</t>
  </si>
  <si>
    <t>DEMENT DERON D DEMENT PAULA R</t>
  </si>
  <si>
    <t xml:space="preserve">1611 GARDIEN ST </t>
  </si>
  <si>
    <t xml:space="preserve">1611 GARDIEN ST  GONZALES, TX 78629 </t>
  </si>
  <si>
    <t xml:space="preserve">1611 GARDIEN ST  GONZALES, TX 78629-4318 </t>
  </si>
  <si>
    <t>5 &amp; 6 6 EAST RIVERCREST</t>
  </si>
  <si>
    <t>EAST RIVER CREST ADD SEC 2</t>
  </si>
  <si>
    <t>FAIRCHILD JASON BRENT</t>
  </si>
  <si>
    <t>JASON BRENT</t>
  </si>
  <si>
    <t>JASON</t>
  </si>
  <si>
    <t>FAIRCHILD</t>
  </si>
  <si>
    <t>JASON FAIRCHILD</t>
  </si>
  <si>
    <t>1ST</t>
  </si>
  <si>
    <t xml:space="preserve">175 S 1ST ST </t>
  </si>
  <si>
    <t xml:space="preserve">175 S 1ST ST  HARWOOD, TX 78632 </t>
  </si>
  <si>
    <t>COUNTRY OAK</t>
  </si>
  <si>
    <t xml:space="preserve">1032 COUNTRY OAK DR </t>
  </si>
  <si>
    <t xml:space="preserve">1032 COUNTRY OAK DR  LULING, TX 78648-4810 </t>
  </si>
  <si>
    <t>1-14 59 HARWOOD</t>
  </si>
  <si>
    <t>ADAM MOSER 01/3 LEAGUE ABS 341</t>
  </si>
  <si>
    <t>MOORE PAMELA</t>
  </si>
  <si>
    <t>MOORE</t>
  </si>
  <si>
    <t>PAMELA MOORE</t>
  </si>
  <si>
    <t>FM 794</t>
  </si>
  <si>
    <t xml:space="preserve">8520 FM 794 </t>
  </si>
  <si>
    <t xml:space="preserve">8520 FM 794  GONZALES, TX 78629 </t>
  </si>
  <si>
    <t xml:space="preserve">8520 FM 794  GONZALES, TX 78629-5256 </t>
  </si>
  <si>
    <t>TRACT 16-17 OAK CREEK SUB 260 J F C HENDERSON</t>
  </si>
  <si>
    <t>OAK CREEK SUB</t>
  </si>
  <si>
    <t>16-17</t>
  </si>
  <si>
    <t>48177C0250C</t>
  </si>
  <si>
    <t>0250C</t>
  </si>
  <si>
    <t>RAMIREZ RANDY</t>
  </si>
  <si>
    <t>RANDY</t>
  </si>
  <si>
    <t>RAMIREZ MARICELLA</t>
  </si>
  <si>
    <t>MARICELLA</t>
  </si>
  <si>
    <t>RANDY &amp; MARICELLA RAMIREZ</t>
  </si>
  <si>
    <t>RAMIREZ RANDY RAMIREZ MARICELLA</t>
  </si>
  <si>
    <t>RAILROAD</t>
  </si>
  <si>
    <t xml:space="preserve">1000 S RAILROAD ST </t>
  </si>
  <si>
    <t xml:space="preserve">1000 S RAILROAD ST  WAELDER, TX 78959 </t>
  </si>
  <si>
    <t>PO BOX 484</t>
  </si>
  <si>
    <t>B009</t>
  </si>
  <si>
    <t xml:space="preserve">PO BOX 484 </t>
  </si>
  <si>
    <t xml:space="preserve">PO BOX 484  WAELDER, TX 78959 </t>
  </si>
  <si>
    <t>415 SARAH SMITH</t>
  </si>
  <si>
    <t>GOODWIN J B</t>
  </si>
  <si>
    <t>J GOODWIN</t>
  </si>
  <si>
    <t xml:space="preserve">GOODWIN LN </t>
  </si>
  <si>
    <t xml:space="preserve">GOODWIN LN  GONZALES, TX 78629 </t>
  </si>
  <si>
    <t>COUNTY ROAD 244</t>
  </si>
  <si>
    <t xml:space="preserve">1138 COUNTY ROAD 244 </t>
  </si>
  <si>
    <t xml:space="preserve">1138 COUNTY ROAD 244  GONZALES, TX 78629-2191 </t>
  </si>
  <si>
    <t>59 J M SALINAS</t>
  </si>
  <si>
    <t>48177C0650C</t>
  </si>
  <si>
    <t>0650C</t>
  </si>
  <si>
    <t>JASEK CHRISTINE</t>
  </si>
  <si>
    <t>JASEK</t>
  </si>
  <si>
    <t>JASEK JACOB</t>
  </si>
  <si>
    <t>JACOB</t>
  </si>
  <si>
    <t>CHRISTINE &amp; JACOB JASEK</t>
  </si>
  <si>
    <t>JASEK CHRISTINE JASEK JACOB</t>
  </si>
  <si>
    <t>BLK AVENUE F</t>
  </si>
  <si>
    <t xml:space="preserve">200 N BLK AVENUE F </t>
  </si>
  <si>
    <t xml:space="preserve">200 N BLK AVENUE F  WAELDER, TX 78959 </t>
  </si>
  <si>
    <t>BERWYN</t>
  </si>
  <si>
    <t>C013</t>
  </si>
  <si>
    <t xml:space="preserve">2305 BERWYN LN </t>
  </si>
  <si>
    <t xml:space="preserve">2305 BERWYN LN  AUSTIN, TX 78745-3510 </t>
  </si>
  <si>
    <t>15-28 34 WAELDER BLOCKS</t>
  </si>
  <si>
    <t>FLOYD DAVID L</t>
  </si>
  <si>
    <t>DAVID L</t>
  </si>
  <si>
    <t>DAVID</t>
  </si>
  <si>
    <t>FLOYD</t>
  </si>
  <si>
    <t>DAVID FLOYD</t>
  </si>
  <si>
    <t>BLK BUTLER POUNCEY</t>
  </si>
  <si>
    <t xml:space="preserve">100 BLK BUTLER POUNCEY </t>
  </si>
  <si>
    <t xml:space="preserve">100 BLK BUTLER POUNCEY  SMILEY, TX 78159 </t>
  </si>
  <si>
    <t xml:space="preserve">504 N FM 108 </t>
  </si>
  <si>
    <t xml:space="preserve">504 N FM 108  SMILEY, TX 78159-5955 </t>
  </si>
  <si>
    <t>2 3 5 GLOVER ADN SM</t>
  </si>
  <si>
    <t>PENA RAMIREZ CHARLES</t>
  </si>
  <si>
    <t>RAMIREZ CHARLES</t>
  </si>
  <si>
    <t>PENA</t>
  </si>
  <si>
    <t>PENA ROSA</t>
  </si>
  <si>
    <t>ROSA</t>
  </si>
  <si>
    <t>RAMIREZ &amp; ROSA PENA</t>
  </si>
  <si>
    <t>PENA RAMIREZ CHARLES PENA ROSA</t>
  </si>
  <si>
    <t xml:space="preserve">E HIGHWAY 97 </t>
  </si>
  <si>
    <t xml:space="preserve">E HIGHWAY 97  WAELDER, TX 78959 </t>
  </si>
  <si>
    <t>CHERRYHILL</t>
  </si>
  <si>
    <t>C023</t>
  </si>
  <si>
    <t xml:space="preserve">6014 CHERRYHILL ST </t>
  </si>
  <si>
    <t xml:space="preserve">6014 CHERRYHILL ST  HOUSTON, TX 77087-2002 </t>
  </si>
  <si>
    <t>48177C0525C</t>
  </si>
  <si>
    <t>0525C</t>
  </si>
  <si>
    <t>PARKER TAMMIE LYNN</t>
  </si>
  <si>
    <t>TAMMIE LYNN</t>
  </si>
  <si>
    <t>TAMMIE</t>
  </si>
  <si>
    <t>PARKER</t>
  </si>
  <si>
    <t>TAMMIE PARKER</t>
  </si>
  <si>
    <t>WINDEMERE</t>
  </si>
  <si>
    <t>FULTON</t>
  </si>
  <si>
    <t>NY</t>
  </si>
  <si>
    <t>R009</t>
  </si>
  <si>
    <t xml:space="preserve">55 WINDEMERE DR </t>
  </si>
  <si>
    <t xml:space="preserve">55 WINDEMERE DR  FULTON, NY 13069-4953 </t>
  </si>
  <si>
    <t>BLK A LOT 13 LAKEWOOD ESTATES 59 J M SALINAS</t>
  </si>
  <si>
    <t>BURTON COVETTER L</t>
  </si>
  <si>
    <t>COVETTER L</t>
  </si>
  <si>
    <t>COVETTER</t>
  </si>
  <si>
    <t>BURTON</t>
  </si>
  <si>
    <t>COVETTER BURTON</t>
  </si>
  <si>
    <t>COUNTY ROAD 414</t>
  </si>
  <si>
    <t xml:space="preserve">COUNTY ROAD 414 </t>
  </si>
  <si>
    <t xml:space="preserve">COUNTY ROAD 414  SHINER, TX 77984 </t>
  </si>
  <si>
    <t>HANCOCK</t>
  </si>
  <si>
    <t>C064</t>
  </si>
  <si>
    <t xml:space="preserve">1647 HANCOCK DR </t>
  </si>
  <si>
    <t xml:space="preserve">1647 HANCOCK DR  MESQUITE, TX 75149-1671 </t>
  </si>
  <si>
    <t>MUELLER MARY E</t>
  </si>
  <si>
    <t>MARY E</t>
  </si>
  <si>
    <t>MARY</t>
  </si>
  <si>
    <t>MUELLER</t>
  </si>
  <si>
    <t>MARY MUELLER</t>
  </si>
  <si>
    <t>PO BOX 54</t>
  </si>
  <si>
    <t>LA VERNIA</t>
  </si>
  <si>
    <t xml:space="preserve">PO BOX 54 </t>
  </si>
  <si>
    <t xml:space="preserve">PO BOX 54  LA VERNIA, TX 78121 </t>
  </si>
  <si>
    <t>ROBINSON EUGENE</t>
  </si>
  <si>
    <t>EUGENE</t>
  </si>
  <si>
    <t>ROBINSON</t>
  </si>
  <si>
    <t>EUGENE ROBINSON</t>
  </si>
  <si>
    <t>COUNTY ROAD 121</t>
  </si>
  <si>
    <t xml:space="preserve">COUNTY ROAD 121 </t>
  </si>
  <si>
    <t xml:space="preserve">COUNTY ROAD 121  GONZALES, TX 78629 </t>
  </si>
  <si>
    <t>PO BOX 274</t>
  </si>
  <si>
    <t xml:space="preserve">PO BOX 274 </t>
  </si>
  <si>
    <t xml:space="preserve">PO BOX 274  LEESVILLE, TX 78122 </t>
  </si>
  <si>
    <t>148 E W CULLEN MHS ON P# 25970  25971 &amp; 21477</t>
  </si>
  <si>
    <t>MCKINNEY LARRY</t>
  </si>
  <si>
    <t>MCKINNEY</t>
  </si>
  <si>
    <t>LARRY MCKINNEY</t>
  </si>
  <si>
    <t xml:space="preserve">509 CR </t>
  </si>
  <si>
    <t xml:space="preserve">509 CR  GONZALES, TX 78629 </t>
  </si>
  <si>
    <t>DEEP PRAIRIE</t>
  </si>
  <si>
    <t>R114</t>
  </si>
  <si>
    <t xml:space="preserve">17346 DEEP PRAIRIE DR </t>
  </si>
  <si>
    <t xml:space="preserve">17346 DEEP PRAIRIE DR  HOUSTON, TX 77095-4998 </t>
  </si>
  <si>
    <t>190 DECATUR DANIELS</t>
  </si>
  <si>
    <t>AGUILAR RUBEN</t>
  </si>
  <si>
    <t>RUBEN</t>
  </si>
  <si>
    <t>AGUILAR</t>
  </si>
  <si>
    <t>AGUILAR ISABEL</t>
  </si>
  <si>
    <t>ISABEL</t>
  </si>
  <si>
    <t>RUBEN &amp; ISABEL AGUILAR</t>
  </si>
  <si>
    <t>AGUILAR RUBEN AGUILAR ISABEL</t>
  </si>
  <si>
    <t>FM 77</t>
  </si>
  <si>
    <t xml:space="preserve">FM 77 </t>
  </si>
  <si>
    <t xml:space="preserve">FM 77  GONZALES, TX 78629 </t>
  </si>
  <si>
    <t>DORMAN</t>
  </si>
  <si>
    <t xml:space="preserve">2116 DORMAN DR </t>
  </si>
  <si>
    <t xml:space="preserve">2116 DORMAN DR  NEW BRAUNFELS, TX 78130-3389 </t>
  </si>
  <si>
    <t>229 GONZ SCHOOLLAND</t>
  </si>
  <si>
    <t>ACEVEDO REYNA</t>
  </si>
  <si>
    <t>REYNA</t>
  </si>
  <si>
    <t>ACEVEDO</t>
  </si>
  <si>
    <t>REYNA ACEVEDO</t>
  </si>
  <si>
    <t>SINGLE WOMAN</t>
  </si>
  <si>
    <t xml:space="preserve">703 E 2ND AVE </t>
  </si>
  <si>
    <t xml:space="preserve">703 E 2ND AVE  NIXON, TX 78140 </t>
  </si>
  <si>
    <t xml:space="preserve">703 E 2ND AVE  NIXON, TX 78140-3037 </t>
  </si>
  <si>
    <t>24-25 60 WEBER ADDN MH ON PARCEL 26081</t>
  </si>
  <si>
    <t>WEBER ADD</t>
  </si>
  <si>
    <t>WEBB JOHN  LISA</t>
  </si>
  <si>
    <t>HERITAGE BANK</t>
  </si>
  <si>
    <t>NONE AVAILABLE</t>
  </si>
  <si>
    <t>THIGPEN AARON DANIEL</t>
  </si>
  <si>
    <t>AARON DANIEL</t>
  </si>
  <si>
    <t>AARON</t>
  </si>
  <si>
    <t>THIGPEN</t>
  </si>
  <si>
    <t>AARON THIGPEN</t>
  </si>
  <si>
    <t>3RD ST E/N LOWERY</t>
  </si>
  <si>
    <t xml:space="preserve">3RD ST E/N LOWERY AVE </t>
  </si>
  <si>
    <t xml:space="preserve">3RD ST E/N LOWERY AVE  TX </t>
  </si>
  <si>
    <t>PO BOX 106</t>
  </si>
  <si>
    <t>YORKTOWN</t>
  </si>
  <si>
    <t xml:space="preserve">PO BOX 106 </t>
  </si>
  <si>
    <t xml:space="preserve">PO BOX 106  YORKTOWN, TX 78164 </t>
  </si>
  <si>
    <t>D 2 TOM &amp; FORD</t>
  </si>
  <si>
    <t>BUTLER GARY W &amp; BUTLER RODNEY L &amp; BUTLER ELVERA</t>
  </si>
  <si>
    <t>GARY &amp; RODNEY BUTLER</t>
  </si>
  <si>
    <t>HIGHWAY 87</t>
  </si>
  <si>
    <t xml:space="preserve">HIGHWAY 87 </t>
  </si>
  <si>
    <t xml:space="preserve">HIGHWAY 87  NIXON, TX 78140 </t>
  </si>
  <si>
    <t>PO BOX 27</t>
  </si>
  <si>
    <t xml:space="preserve">PO BOX 27 </t>
  </si>
  <si>
    <t xml:space="preserve">PO BOX 27  NIXON, TX 78140 </t>
  </si>
  <si>
    <t>448 J J TEJADA</t>
  </si>
  <si>
    <t>JJ TEJEDA A-448</t>
  </si>
  <si>
    <t>SCHOENFIELD DONALD</t>
  </si>
  <si>
    <t>SCHOENFIELD</t>
  </si>
  <si>
    <t>DONALD SCHOENFIELD</t>
  </si>
  <si>
    <t xml:space="preserve"> NIXON, TX 78140 </t>
  </si>
  <si>
    <t>COUNTY ROAD 474</t>
  </si>
  <si>
    <t>EL CAMPO</t>
  </si>
  <si>
    <t xml:space="preserve">445 COUNTY ROAD 474 </t>
  </si>
  <si>
    <t xml:space="preserve">445 COUNTY ROAD 474  EL CAMPO, TX 77437-5392 </t>
  </si>
  <si>
    <t>448 J J TEJADA 91.56'X 650'/ N ROOSEVELT &amp; N PARKER</t>
  </si>
  <si>
    <t>TOMASINI RICHARD</t>
  </si>
  <si>
    <t>RICHARD</t>
  </si>
  <si>
    <t>TOMASINI</t>
  </si>
  <si>
    <t>RICHARD TOMASINI</t>
  </si>
  <si>
    <t>FRANKLIN N N ROOSEVELT</t>
  </si>
  <si>
    <t xml:space="preserve">FRANKLIN N N ROOSEVELT </t>
  </si>
  <si>
    <t xml:space="preserve">FRANKLIN N N ROOSEVELT  TX </t>
  </si>
  <si>
    <t>CARRIZO SPRINGS</t>
  </si>
  <si>
    <t>CT</t>
  </si>
  <si>
    <t>KATY</t>
  </si>
  <si>
    <t>C022</t>
  </si>
  <si>
    <t xml:space="preserve">3016 CARRIZO SPRINGS CT </t>
  </si>
  <si>
    <t xml:space="preserve">3016 CARRIZO SPRINGS CT  KATY, TX 77449-6201 </t>
  </si>
  <si>
    <t>448 J J TEJADA 1.891 AC BALL PARK</t>
  </si>
  <si>
    <t>MORRIS PHILLIP A</t>
  </si>
  <si>
    <t>PHILLIP A</t>
  </si>
  <si>
    <t>PHILLIP</t>
  </si>
  <si>
    <t>MORRIS</t>
  </si>
  <si>
    <t>PHILLIP MORRIS</t>
  </si>
  <si>
    <t>SINGLE MAN</t>
  </si>
  <si>
    <t xml:space="preserve">408 N NIXON AVE </t>
  </si>
  <si>
    <t xml:space="preserve">408 N NIXON AVE  NIXON, TX 78140 </t>
  </si>
  <si>
    <t>LONG CREEK</t>
  </si>
  <si>
    <t>BLVD</t>
  </si>
  <si>
    <t xml:space="preserve">968 LONG CREEK BLVD </t>
  </si>
  <si>
    <t xml:space="preserve">968 LONG CREEK BLVD  NEW BRAUNFELS, TX 78130-8298 </t>
  </si>
  <si>
    <t>BLK 52 LOTS 9-12 NIXON EXT MH ON PARCEL 25669</t>
  </si>
  <si>
    <t>MOORE JAMES G &amp; NORMA REVOCABLE LIVING TRUST</t>
  </si>
  <si>
    <t>JAMES &amp; NORMA MOORE</t>
  </si>
  <si>
    <t>REVOCABLE TRUST</t>
  </si>
  <si>
    <t>RANCHO</t>
  </si>
  <si>
    <t xml:space="preserve">100 N RANCHO RD </t>
  </si>
  <si>
    <t xml:space="preserve">100 N RANCHO RD  NIXON, TX 78140 </t>
  </si>
  <si>
    <t>FM 1681</t>
  </si>
  <si>
    <t xml:space="preserve">9911 FM 1681 </t>
  </si>
  <si>
    <t xml:space="preserve">9911 FM 1681  NIXON, TX 78140-4094 </t>
  </si>
  <si>
    <t>BLK 67 LOTS 3-6 NIXON EXT MH ON PARCEL 15474</t>
  </si>
  <si>
    <t>MOSQUEDA MARTIN</t>
  </si>
  <si>
    <t>MOSQUEDA</t>
  </si>
  <si>
    <t>MOSQUEDA REYES ROSA</t>
  </si>
  <si>
    <t>REYES ROSA</t>
  </si>
  <si>
    <t>MARTIN &amp; REYES MOSQUEDA</t>
  </si>
  <si>
    <t>MOSQUEDA MARTIN MOSQUEDA REYES ROSA</t>
  </si>
  <si>
    <t>3RD</t>
  </si>
  <si>
    <t xml:space="preserve">608 W 3RD ST </t>
  </si>
  <si>
    <t xml:space="preserve">608 W 3RD ST  NIXON, TX 78140 </t>
  </si>
  <si>
    <t xml:space="preserve">608 W 3RD ST  NIXON, TX 78140-2568 </t>
  </si>
  <si>
    <t>PT LT 2 CAMPBELL MH ON PARCEL 28014</t>
  </si>
  <si>
    <t>CAMPBELLS</t>
  </si>
  <si>
    <t>CORONADO MARGARITO VASQUEZ</t>
  </si>
  <si>
    <t>MARGARITO VASQUEZ</t>
  </si>
  <si>
    <t>MARGARITO</t>
  </si>
  <si>
    <t>CORONADO</t>
  </si>
  <si>
    <t>HERNANDEZ-HERNANDEZ ANNA MARIA</t>
  </si>
  <si>
    <t>ANNA MARIA</t>
  </si>
  <si>
    <t>ANNA</t>
  </si>
  <si>
    <t>HERNANDEZ-HERNANDEZ</t>
  </si>
  <si>
    <t>MARGARITO CORONADO &amp; ANNA HERNANDEZ-HERNANDEZ</t>
  </si>
  <si>
    <t>CORONADO MARGARITO VASQUEZ HERNANDEZ-HERNANDEZ ANNA MARIA</t>
  </si>
  <si>
    <t xml:space="preserve">606 W 3RD ST </t>
  </si>
  <si>
    <t xml:space="preserve">606 W 3RD ST  NIXON, TX 78140 </t>
  </si>
  <si>
    <t xml:space="preserve">408 S LIBERTY AVE </t>
  </si>
  <si>
    <t xml:space="preserve">408 S LIBERTY AVE  NIXON, TX 78140-2890 </t>
  </si>
  <si>
    <t>PT 1 CAMPBELL MH ON PARCEL 28012</t>
  </si>
  <si>
    <t>LEAZER PAMELA ANN</t>
  </si>
  <si>
    <t>PAMELA ANN</t>
  </si>
  <si>
    <t>LEAZER</t>
  </si>
  <si>
    <t>PAMELA LEAZER</t>
  </si>
  <si>
    <t>AINSWORTH</t>
  </si>
  <si>
    <t xml:space="preserve">1017 AINSWORTH ST </t>
  </si>
  <si>
    <t xml:space="preserve">1017 AINSWORTH ST  GONZALES, TX 78629 </t>
  </si>
  <si>
    <t>PO BOX 514</t>
  </si>
  <si>
    <t xml:space="preserve">PO BOX 514 </t>
  </si>
  <si>
    <t xml:space="preserve">PO BOX 514  GONZALES, TX 78629 </t>
  </si>
  <si>
    <t>21 GARDIEN KOKERNOT</t>
  </si>
  <si>
    <t>ORTMAN SUE C</t>
  </si>
  <si>
    <t>SUE C</t>
  </si>
  <si>
    <t>SUE</t>
  </si>
  <si>
    <t>ORTMAN</t>
  </si>
  <si>
    <t>SUE ORTMAN</t>
  </si>
  <si>
    <t>PARK PLACE</t>
  </si>
  <si>
    <t xml:space="preserve">10 PARK PLACE DR </t>
  </si>
  <si>
    <t xml:space="preserve">10 PARK PLACE DR  GONZALES, TX 78629 </t>
  </si>
  <si>
    <t>SAINT GEORGE</t>
  </si>
  <si>
    <t xml:space="preserve">403 SAINT GEORGE ST </t>
  </si>
  <si>
    <t xml:space="preserve">403 SAINT GEORGE ST  GONZALES, TX 78629-3501 </t>
  </si>
  <si>
    <t>10 &amp; 11 PARK PLACE SUB</t>
  </si>
  <si>
    <t>PARK PLACE SUB</t>
  </si>
  <si>
    <t>EVANS TRACY L</t>
  </si>
  <si>
    <t>TRACY L</t>
  </si>
  <si>
    <t>TRACY</t>
  </si>
  <si>
    <t>EVANS</t>
  </si>
  <si>
    <t>TRACY EVANS</t>
  </si>
  <si>
    <t>SINGLE</t>
  </si>
  <si>
    <t>COUNTY ROAD 200</t>
  </si>
  <si>
    <t xml:space="preserve">1365 COUNTY ROAD 200 </t>
  </si>
  <si>
    <t xml:space="preserve">1365 COUNTY ROAD 200  GONZALES, TX 78629 </t>
  </si>
  <si>
    <t>DASHELLE</t>
  </si>
  <si>
    <t>KYLE</t>
  </si>
  <si>
    <t xml:space="preserve">440 DASHELLE RUN </t>
  </si>
  <si>
    <t xml:space="preserve">440 DASHELLE RUN  KYLE, TX 78640-4950 </t>
  </si>
  <si>
    <t>PT LT 9 PECAN RIVER RCH</t>
  </si>
  <si>
    <t>PECAN RIVER RANC</t>
  </si>
  <si>
    <t>CAMPION RICKY L</t>
  </si>
  <si>
    <t>RICKY L</t>
  </si>
  <si>
    <t>RICKY</t>
  </si>
  <si>
    <t>CAMPION</t>
  </si>
  <si>
    <t>CAMPION JANIE</t>
  </si>
  <si>
    <t>JANIE</t>
  </si>
  <si>
    <t>RICKY &amp; JANIE CAMPION</t>
  </si>
  <si>
    <t>CAMPION RICKY L CAMPION JANIE</t>
  </si>
  <si>
    <t>PECAN RIVER</t>
  </si>
  <si>
    <t>RNCH</t>
  </si>
  <si>
    <t xml:space="preserve">PECAN RIVER RNCH </t>
  </si>
  <si>
    <t xml:space="preserve">PECAN RIVER RNCH  GONZALES, TX 78629 </t>
  </si>
  <si>
    <t xml:space="preserve">821 STATE HIGHWAY 97 E </t>
  </si>
  <si>
    <t xml:space="preserve">821 STATE HIGHWAY 97 E  GONZALES, TX 78629-3377 </t>
  </si>
  <si>
    <t>9 PECAN RIVER RCH</t>
  </si>
  <si>
    <t>ANNA MOHRMANN JOHN</t>
  </si>
  <si>
    <t>MOHRMANN JOHN</t>
  </si>
  <si>
    <t>MOHRMANN</t>
  </si>
  <si>
    <t>ANNA IRIS</t>
  </si>
  <si>
    <t>IRIS</t>
  </si>
  <si>
    <t>MOHRMANN &amp; IRIS ANNA</t>
  </si>
  <si>
    <t>ANNA MOHRMANN JOHN ANNA IRIS</t>
  </si>
  <si>
    <t xml:space="preserve">1100 SAINT LAWRENCE ST </t>
  </si>
  <si>
    <t xml:space="preserve">1100 SAINT LAWRENCE ST  GONZALES, TX 78629 </t>
  </si>
  <si>
    <t>SAINT MICHAEL</t>
  </si>
  <si>
    <t xml:space="preserve">620 SAINT MICHAEL ST </t>
  </si>
  <si>
    <t xml:space="preserve">620 SAINT MICHAEL ST  GONZALES, TX 78629-4050 </t>
  </si>
  <si>
    <t>PT 4 GONZ TIER 2</t>
  </si>
  <si>
    <t>PILAND LOWELL</t>
  </si>
  <si>
    <t>LOWELL</t>
  </si>
  <si>
    <t>PILAND</t>
  </si>
  <si>
    <t>LOWELL PILAND</t>
  </si>
  <si>
    <t>PO BOX 294</t>
  </si>
  <si>
    <t xml:space="preserve">PO BOX 294 </t>
  </si>
  <si>
    <t xml:space="preserve">PO BOX 294  SMILEY, TX 78159 </t>
  </si>
  <si>
    <t>464 PETER WINN SM MH ON P#23344</t>
  </si>
  <si>
    <t>LONGORIA GUADALUPE</t>
  </si>
  <si>
    <t>GUADALUPE</t>
  </si>
  <si>
    <t>LONGORIA</t>
  </si>
  <si>
    <t>GUADALUPE LONGORIA</t>
  </si>
  <si>
    <t>COUNTY ROAD 342</t>
  </si>
  <si>
    <t xml:space="preserve">99 COUNTY ROAD 342 </t>
  </si>
  <si>
    <t xml:space="preserve">99 COUNTY ROAD 342  GONZALES, TX 78629 </t>
  </si>
  <si>
    <t>PO BOX 61</t>
  </si>
  <si>
    <t xml:space="preserve">PO BOX 61 </t>
  </si>
  <si>
    <t xml:space="preserve">PO BOX 61  GONZALES, TX 78629 </t>
  </si>
  <si>
    <t>25 TN OF GONZALES TRACT 7</t>
  </si>
  <si>
    <t>TAMEZ HUSBELIA</t>
  </si>
  <si>
    <t>HUSBELIA</t>
  </si>
  <si>
    <t>TAMEZ</t>
  </si>
  <si>
    <t>HUSBELIA TAMEZ</t>
  </si>
  <si>
    <t>COUNTY ROAD 326</t>
  </si>
  <si>
    <t xml:space="preserve">COUNTY ROAD 326 </t>
  </si>
  <si>
    <t xml:space="preserve">COUNTY ROAD 326  NIXON, TX 78140 </t>
  </si>
  <si>
    <t>HENRY</t>
  </si>
  <si>
    <t>CUERO</t>
  </si>
  <si>
    <t xml:space="preserve">206 HENRY ST </t>
  </si>
  <si>
    <t xml:space="preserve">206 HENRY ST  CUERO, TX 77954-2708 </t>
  </si>
  <si>
    <t>464 PETER WINN SM</t>
  </si>
  <si>
    <t>KOTZEBUE DOUGLAS ROY</t>
  </si>
  <si>
    <t>DOUGLAS ROY</t>
  </si>
  <si>
    <t>KOTZEBUE</t>
  </si>
  <si>
    <t>DOUGLAS KOTZEBUE</t>
  </si>
  <si>
    <t xml:space="preserve">1726 GARDIEN ST </t>
  </si>
  <si>
    <t xml:space="preserve">1726 GARDIEN ST  GONZALES, TX 78629 </t>
  </si>
  <si>
    <t xml:space="preserve">1726 GARDIEN ST  GONZALES, TX 78629-4346 </t>
  </si>
  <si>
    <t>D</t>
  </si>
  <si>
    <t>BRZOZOWSKI MICHAEL S</t>
  </si>
  <si>
    <t>MICHAEL S</t>
  </si>
  <si>
    <t>MICHAEL</t>
  </si>
  <si>
    <t>BRZOZOWSKI</t>
  </si>
  <si>
    <t>MICHAEL BRZOZOWSKI</t>
  </si>
  <si>
    <t>BELMONT OAKS SUBD</t>
  </si>
  <si>
    <t xml:space="preserve">BELMONT OAKS SUBD #7 </t>
  </si>
  <si>
    <t xml:space="preserve">BELMONT OAKS SUBD #7, TX </t>
  </si>
  <si>
    <t>SAINT VINCENT</t>
  </si>
  <si>
    <t xml:space="preserve">1004 SAINT VINCENT ST </t>
  </si>
  <si>
    <t xml:space="preserve">1004 SAINT VINCENT ST  GONZALES, TX 78629-4628 </t>
  </si>
  <si>
    <t>BELMONT OAKS SUBD LOT 7-A 16 GREEN DEWITT</t>
  </si>
  <si>
    <t>BELMONT OAKS SUB</t>
  </si>
  <si>
    <t>BELMONT OAKS</t>
  </si>
  <si>
    <t>ARRIAGA JOSE A</t>
  </si>
  <si>
    <t>JOSE A</t>
  </si>
  <si>
    <t>JOSE</t>
  </si>
  <si>
    <t>ARRIAGA</t>
  </si>
  <si>
    <t>JOSE ARRIAGA</t>
  </si>
  <si>
    <t>ILKA</t>
  </si>
  <si>
    <t xml:space="preserve">700 ILKA RD </t>
  </si>
  <si>
    <t xml:space="preserve">700 ILKA RD  SEGUIN, TX 78155-1814 </t>
  </si>
  <si>
    <t>PT 80 SCHLEICHERS SUB MHS ON PARCEL 25482  26521 26595  26596  26597 &amp; 26598 6 MH HOOKUPS</t>
  </si>
  <si>
    <t>MARTINEZ DOMINGO G</t>
  </si>
  <si>
    <t>DOMINGO G</t>
  </si>
  <si>
    <t>DOMINGO</t>
  </si>
  <si>
    <t>MARTINEZ AURORA</t>
  </si>
  <si>
    <t>AURORA</t>
  </si>
  <si>
    <t>DOMINGO &amp; AURORA MARTINEZ</t>
  </si>
  <si>
    <t>MARTINEZ DOMINGO G MARTINEZ AURORA</t>
  </si>
  <si>
    <t>PRIVATE ROAD 3421</t>
  </si>
  <si>
    <t xml:space="preserve">175 PRIVATE ROAD 3421 </t>
  </si>
  <si>
    <t xml:space="preserve">175 PRIVATE ROAD 3421  GONZALES, TX 78629 </t>
  </si>
  <si>
    <t xml:space="preserve">175 PRIVATE ROAD 3421  GONZALES, TX 78629-2846 </t>
  </si>
  <si>
    <t>25 TN OF GONZALES PT LOTS 23-25 TIER I MH ON PARCEL 26447</t>
  </si>
  <si>
    <t>PAPE JOE L &amp; ELAINE</t>
  </si>
  <si>
    <t>JOE &amp; ELAINE PAPE</t>
  </si>
  <si>
    <t xml:space="preserve">9544 N STATE HIGHWAY 80 </t>
  </si>
  <si>
    <t xml:space="preserve">9544 N STATE HIGHWAY 80  LEESVILLE, TX 78122 </t>
  </si>
  <si>
    <t>COUNTY ROAD 428</t>
  </si>
  <si>
    <t xml:space="preserve">802 W COUNTY ROAD 428 </t>
  </si>
  <si>
    <t xml:space="preserve">802 W COUNTY ROAD 428  WAELDER, TX 78959-5091 </t>
  </si>
  <si>
    <t>148 E W CULLEN MH ON P#23823</t>
  </si>
  <si>
    <t>PART/EZEKIEL W CULLEN LEAGUE A</t>
  </si>
  <si>
    <t>OPEN PORCH</t>
  </si>
  <si>
    <t>NESLONEY JASON COLE</t>
  </si>
  <si>
    <t>JASON COLE</t>
  </si>
  <si>
    <t>NESLONEY</t>
  </si>
  <si>
    <t>JASON NESLONEY</t>
  </si>
  <si>
    <t>PO BOX 1797</t>
  </si>
  <si>
    <t>B016</t>
  </si>
  <si>
    <t xml:space="preserve">PO BOX 1797 </t>
  </si>
  <si>
    <t xml:space="preserve">PO BOX 1797  GONZALES, TX 78629-1297 </t>
  </si>
  <si>
    <t>EDWARD DICKENSON 1/4 LEAGUE AB</t>
  </si>
  <si>
    <t>SAUNDERS WADE A</t>
  </si>
  <si>
    <t>WADE A</t>
  </si>
  <si>
    <t>WADE</t>
  </si>
  <si>
    <t>SAUNDERS</t>
  </si>
  <si>
    <t>SAUNDERS LYNDA L</t>
  </si>
  <si>
    <t>LYNDA L</t>
  </si>
  <si>
    <t>LYNDA</t>
  </si>
  <si>
    <t>WADE &amp; LYNDA SAUNDERS</t>
  </si>
  <si>
    <t>SAUNDERS WADE A SAUNDERS LYNDA L</t>
  </si>
  <si>
    <t>COST</t>
  </si>
  <si>
    <t xml:space="preserve">8502 W STATE HIGHWAY 97 </t>
  </si>
  <si>
    <t xml:space="preserve">8502 W STATE HIGHWAY 97  COST, TX 78614 </t>
  </si>
  <si>
    <t xml:space="preserve">8502 W STATE HIGHWAY 97  COST, TX 78614-4533 </t>
  </si>
  <si>
    <t>LOT 13 RANCHO DE COST MH ON PARCEL 28750</t>
  </si>
  <si>
    <t>CARROLL TABITHA</t>
  </si>
  <si>
    <t>TABITHA</t>
  </si>
  <si>
    <t>CARROLL</t>
  </si>
  <si>
    <t>TABITHA CARROLL</t>
  </si>
  <si>
    <t>COUNTY ROAD 413</t>
  </si>
  <si>
    <t xml:space="preserve">COUNTY ROAD 413 </t>
  </si>
  <si>
    <t xml:space="preserve">COUNTY ROAD 413  TX </t>
  </si>
  <si>
    <t>PO BOX 813</t>
  </si>
  <si>
    <t xml:space="preserve">PO BOX 813 </t>
  </si>
  <si>
    <t xml:space="preserve">PO BOX 813  WAELDER, TX 78959 </t>
  </si>
  <si>
    <t>HAILE H T TRUST</t>
  </si>
  <si>
    <t>H HAILE</t>
  </si>
  <si>
    <t xml:space="preserve">2091 US HIGHWAY 90A W </t>
  </si>
  <si>
    <t xml:space="preserve">2091 US HIGHWAY 90A W  GONZALES, TX 78629 </t>
  </si>
  <si>
    <t>PO BOX 3</t>
  </si>
  <si>
    <t xml:space="preserve">PO BOX 3 </t>
  </si>
  <si>
    <t xml:space="preserve">PO BOX 3  GONZALES, TX 78629 </t>
  </si>
  <si>
    <t>GREENWOOD HILLS</t>
  </si>
  <si>
    <t>J BRICKS &amp; ASSOCIATES INC</t>
  </si>
  <si>
    <t>CYPRESS CREEK</t>
  </si>
  <si>
    <t>PKWY</t>
  </si>
  <si>
    <t>C026</t>
  </si>
  <si>
    <t xml:space="preserve">10540 CYPRESS CREEK PKWY </t>
  </si>
  <si>
    <t xml:space="preserve">10540 CYPRESS CREEK PKWY  HOUSTON, TX 77070-6339 </t>
  </si>
  <si>
    <t>INDUSTRIAL PARK SUBD PHASE ONE SPLIT OUT 27557</t>
  </si>
  <si>
    <t>CP 24 LLC</t>
  </si>
  <si>
    <t>MATTERHORN</t>
  </si>
  <si>
    <t xml:space="preserve">MATTERHORN ST </t>
  </si>
  <si>
    <t xml:space="preserve">MATTERHORN ST  GONZALES, TX 78629 </t>
  </si>
  <si>
    <t>COLE</t>
  </si>
  <si>
    <t>DALLAS</t>
  </si>
  <si>
    <t xml:space="preserve">2909 COLE AVE #115 </t>
  </si>
  <si>
    <t xml:space="preserve">2909 COLE AVE #115, DALLAS, TX 75204-1309 </t>
  </si>
  <si>
    <t>BLK B LT 1 1835 VILLAGE SUB PT LOTS 10 &amp; 11 RANGE 9 EAST</t>
  </si>
  <si>
    <t>VILLAGE SUB</t>
  </si>
  <si>
    <t>WALLECK TOMMY L</t>
  </si>
  <si>
    <t>TOMMY L</t>
  </si>
  <si>
    <t>TOMMY</t>
  </si>
  <si>
    <t>WALLECK</t>
  </si>
  <si>
    <t>WALLECK JANICE A</t>
  </si>
  <si>
    <t>JANICE A</t>
  </si>
  <si>
    <t>JANICE</t>
  </si>
  <si>
    <t>TOMMY &amp; JANICE WALLECK</t>
  </si>
  <si>
    <t>WALLECK TOMMY L WALLECK JANICE A</t>
  </si>
  <si>
    <t>HIGH RIDGE MEADOWS</t>
  </si>
  <si>
    <t xml:space="preserve">245 HIGH RIDGE MEADOWS DR </t>
  </si>
  <si>
    <t xml:space="preserve">245 HIGH RIDGE MEADOWS DR  GONZALES, TX 78629 </t>
  </si>
  <si>
    <t xml:space="preserve">245 HIGH RIDGE MEADOWS DR  GONZALES, TX 78629-3256 </t>
  </si>
  <si>
    <t>LOT 15 HIGH RIDGE MEADOWS SUB 471 ANDREW WINTERS</t>
  </si>
  <si>
    <t>HIGH RIDGE MEADOWS SUB</t>
  </si>
  <si>
    <t>NICHOLS NATHANIEL</t>
  </si>
  <si>
    <t>NATHANIEL</t>
  </si>
  <si>
    <t>NICHOLS</t>
  </si>
  <si>
    <t>GREAR BRANDY M</t>
  </si>
  <si>
    <t>BRANDY M</t>
  </si>
  <si>
    <t>BRANDY</t>
  </si>
  <si>
    <t>GREAR</t>
  </si>
  <si>
    <t>NATHANIEL NICHOLS &amp; BRANDY GREAR</t>
  </si>
  <si>
    <t>NICHOLS NATHANIEL GREAR BRANDY M</t>
  </si>
  <si>
    <t xml:space="preserve">53 HIGH RIDGE MEADOWS DR </t>
  </si>
  <si>
    <t xml:space="preserve">53 HIGH RIDGE MEADOWS DR  GONZALES, TX 78629 </t>
  </si>
  <si>
    <t>CAVETT</t>
  </si>
  <si>
    <t xml:space="preserve">1057 CAVETT ST </t>
  </si>
  <si>
    <t xml:space="preserve">1057 CAVETT ST  GONZALES, TX 78629 </t>
  </si>
  <si>
    <t>LOT 1 HIGH RIDGE MEADOWS SUB 471 ANDREW WINTERS MH ON PARCEL 28711</t>
  </si>
  <si>
    <t>HIGH RIDGE MEADOWS SUBD ASSOCATION</t>
  </si>
  <si>
    <t xml:space="preserve">1301 E SARAH DEWITT DR </t>
  </si>
  <si>
    <t xml:space="preserve">1301 E SARAH DEWITT DR  GONZALES, TX 78629-2500 </t>
  </si>
  <si>
    <t>HIGH RIDGE MEADOWS SUB 471 ANDREW WINTERS PRIVATE ROAD SPLIT FROM 10317</t>
  </si>
  <si>
    <t>STOLTE J C</t>
  </si>
  <si>
    <t>J STOLTE</t>
  </si>
  <si>
    <t xml:space="preserve">HIGHWAY 97  GONZALES, TX 78629 </t>
  </si>
  <si>
    <t>LOOP 337</t>
  </si>
  <si>
    <t xml:space="preserve">1155 LOOP 337 </t>
  </si>
  <si>
    <t xml:space="preserve">1155 LOOP 337  NEW BRAUNFELS, TX 78130-3431 </t>
  </si>
  <si>
    <t>LOT 10 RANCHO DE COST 230 GONZ CO SCHOOL LAND SPLIT FROM 6125</t>
  </si>
  <si>
    <t>DUENEZ FELICIANO</t>
  </si>
  <si>
    <t>FELICIANO</t>
  </si>
  <si>
    <t>DUENEZ</t>
  </si>
  <si>
    <t>DUENEZ MAYRA A</t>
  </si>
  <si>
    <t>MAYRA A</t>
  </si>
  <si>
    <t>MAYRA</t>
  </si>
  <si>
    <t>FELICIANO &amp; MAYRA DUENEZ</t>
  </si>
  <si>
    <t>DUENEZ FELICIANO DUENEZ MAYRA A</t>
  </si>
  <si>
    <t xml:space="preserve">148 CR </t>
  </si>
  <si>
    <t xml:space="preserve">148 CR  GONZALES, TX 78629 </t>
  </si>
  <si>
    <t>PO BOX 716</t>
  </si>
  <si>
    <t xml:space="preserve">PO BOX 716 </t>
  </si>
  <si>
    <t xml:space="preserve">PO BOX 716  GONZALES, TX 78629 </t>
  </si>
  <si>
    <t>LOT 23 RANCHO DE COST 230 GCSL / 382 R A PACE SPLIT FROM 6125 &amp; 8574</t>
  </si>
  <si>
    <t>MARTINEZ TONY</t>
  </si>
  <si>
    <t>TONY</t>
  </si>
  <si>
    <t>TONY MARTINEZ</t>
  </si>
  <si>
    <t xml:space="preserve">120 HIGH RIDGE MEADOWS DR </t>
  </si>
  <si>
    <t xml:space="preserve">120 HIGH RIDGE MEADOWS DR  GONZALES, TX 78629-3250 </t>
  </si>
  <si>
    <t>LOT 8 HIGH RIDGE MEADOWS SUB 471 ANDREW WINTERS</t>
  </si>
  <si>
    <t>MTHS PROPERTIES LLC</t>
  </si>
  <si>
    <t>RANDOLPH BROOKS FCU</t>
  </si>
  <si>
    <t>YES</t>
  </si>
  <si>
    <t>TISCARENO MANUEL CHARLES</t>
  </si>
  <si>
    <t>MANUEL CHARLES</t>
  </si>
  <si>
    <t>MANUEL</t>
  </si>
  <si>
    <t>TISCARENO</t>
  </si>
  <si>
    <t>BENNETT PAULA DANEILLE</t>
  </si>
  <si>
    <t>PAULA DANEILLE</t>
  </si>
  <si>
    <t>BENNETT</t>
  </si>
  <si>
    <t>MANUEL TISCARENO &amp; PAULA BENNETT</t>
  </si>
  <si>
    <t>TISCARENO MANUEL CHARLES BENNETT PAULA DANEILLE</t>
  </si>
  <si>
    <t xml:space="preserve">115 HIGH RIDGE MEADOWS DR </t>
  </si>
  <si>
    <t xml:space="preserve">115 HIGH RIDGE MEADOWS DR  GONZALES, TX 78629 </t>
  </si>
  <si>
    <t xml:space="preserve">115 HIGH RIDGE MEADOWS DR  GONZALES, TX 78629-3255 </t>
  </si>
  <si>
    <t>LOT 5 HIGH RIDGE MEADOWS SUB 471 ANDREW WINTERS MH ON PARCEL 28712</t>
  </si>
  <si>
    <t>TEXAS MORTGAGE CAPITAL CORP</t>
  </si>
  <si>
    <t>ALAMO TITLE COMPANY</t>
  </si>
  <si>
    <t>VENSON PATRICK</t>
  </si>
  <si>
    <t>PATRICK</t>
  </si>
  <si>
    <t>VENSON</t>
  </si>
  <si>
    <t>VENSON NICOLE</t>
  </si>
  <si>
    <t>NICOLE</t>
  </si>
  <si>
    <t>PATRICK &amp; NICOLE VENSON</t>
  </si>
  <si>
    <t>VENSON PATRICK VENSON NICOLE</t>
  </si>
  <si>
    <t>COUNTY ROAD 148</t>
  </si>
  <si>
    <t xml:space="preserve">236 COUNTY ROAD 148 </t>
  </si>
  <si>
    <t xml:space="preserve">236 COUNTY ROAD 148  COST, TX 78614 </t>
  </si>
  <si>
    <t xml:space="preserve">236 COUNTY ROAD 148  COST, TX 78614-4534 </t>
  </si>
  <si>
    <t>LOT 28 RANCHO DE COST 382 R A PACE SPLIT FROM 8574</t>
  </si>
  <si>
    <t>181 SOUTH HOMES INCORPORATED</t>
  </si>
  <si>
    <t xml:space="preserve">201 N FM 108 </t>
  </si>
  <si>
    <t xml:space="preserve">201 N FM 108  SMILEY, TX 78159 </t>
  </si>
  <si>
    <t>US HIGHWAY 181</t>
  </si>
  <si>
    <t xml:space="preserve">12621 S US HIGHWAY 181 </t>
  </si>
  <si>
    <t xml:space="preserve">12621 S US HIGHWAY 181  SAN ANTONIO, TX 78223-4572 </t>
  </si>
  <si>
    <t>PETER WINN LEAGUE ABS 464</t>
  </si>
  <si>
    <t>E2</t>
  </si>
  <si>
    <t>KELLAR JOHN GLENN</t>
  </si>
  <si>
    <t>JOHN GLENN</t>
  </si>
  <si>
    <t>KELLAR</t>
  </si>
  <si>
    <t>BURKLAND JENNIFER LAREE</t>
  </si>
  <si>
    <t>JENNIFER LAREE</t>
  </si>
  <si>
    <t>JENNIFER</t>
  </si>
  <si>
    <t>BURKLAND</t>
  </si>
  <si>
    <t>JOHN KELLAR &amp; JENNIFER BURKLAND</t>
  </si>
  <si>
    <t>KELLAR JOHN GLENN BURKLAND JENNIFER LAREE</t>
  </si>
  <si>
    <t xml:space="preserve">140 CR </t>
  </si>
  <si>
    <t xml:space="preserve">140 CR  GONZALES, TX 78629 </t>
  </si>
  <si>
    <t>PO BOX 219</t>
  </si>
  <si>
    <t xml:space="preserve">PO BOX 219 </t>
  </si>
  <si>
    <t xml:space="preserve">PO BOX 219  COST, TX 78614 </t>
  </si>
  <si>
    <t>LOT 3 RANCHO DE COST 230 GONZ CO SCHOOL LAND SPLIT FROM 6125</t>
  </si>
  <si>
    <t>RODRIGUEZ ADRIAN TOVAR</t>
  </si>
  <si>
    <t>ADRIAN TOVAR</t>
  </si>
  <si>
    <t>ADRIAN</t>
  </si>
  <si>
    <t>RODRIGUEZ</t>
  </si>
  <si>
    <t>RODRIGUEZ EVANGELINA</t>
  </si>
  <si>
    <t>EVANGELINA</t>
  </si>
  <si>
    <t>ADRIAN &amp; EVANGELINA RODRIGUEZ</t>
  </si>
  <si>
    <t>RODRIGUEZ ADRIAN TOVAR RODRIGUEZ EVANGELINA</t>
  </si>
  <si>
    <t>HAMILTON</t>
  </si>
  <si>
    <t xml:space="preserve">930 N HAMILTON ST </t>
  </si>
  <si>
    <t xml:space="preserve">930 N HAMILTON ST  GONZALES, TX 78629-3519 </t>
  </si>
  <si>
    <t>LOT 7 RANCHO DE COST 230 GONZ CO SCHOOL LAND SPLIT FROM 6125</t>
  </si>
  <si>
    <t>ROSS ROBERTA</t>
  </si>
  <si>
    <t>ROBERTA</t>
  </si>
  <si>
    <t>ROSS</t>
  </si>
  <si>
    <t>ROBERTA ROSS</t>
  </si>
  <si>
    <t>INDIVIDUAL(S)</t>
  </si>
  <si>
    <t xml:space="preserve">410 HIGH RIDGE MEADOWS DR </t>
  </si>
  <si>
    <t xml:space="preserve">410 HIGH RIDGE MEADOWS DR  GONZALES, TX 78629 </t>
  </si>
  <si>
    <t xml:space="preserve">410 HIGH RIDGE MEADOWS DR  GONZALES, TX 78629-3253 </t>
  </si>
  <si>
    <t>LOT 24 HIGH RIDGE MEADOWS SUB 471 ANDREW WINTERS</t>
  </si>
  <si>
    <t>MARION STATE BANK</t>
  </si>
  <si>
    <t>JIMENEZ MATILDE J</t>
  </si>
  <si>
    <t>MATILDE J</t>
  </si>
  <si>
    <t>MATILDE</t>
  </si>
  <si>
    <t>JIMENEZ</t>
  </si>
  <si>
    <t>HIDALGO OLIVIA MARIE</t>
  </si>
  <si>
    <t>OLIVIA MARIE</t>
  </si>
  <si>
    <t>OLIVIA</t>
  </si>
  <si>
    <t>HIDALGO</t>
  </si>
  <si>
    <t>MATILDE JIMENEZ &amp; OLIVIA HIDALGO</t>
  </si>
  <si>
    <t>JIMENEZ MATILDE J HIDALGO OLIVIA MARIE</t>
  </si>
  <si>
    <t>HOSKINS</t>
  </si>
  <si>
    <t xml:space="preserve">708 HOSKINS ST </t>
  </si>
  <si>
    <t xml:space="preserve">708 HOSKINS ST  GONZALES, TX 78629-3648 </t>
  </si>
  <si>
    <t>LOT 15 RANCHO DE COST 230 GCSL / 382 R A PACE SPLIT FROM 6125 &amp; 8574</t>
  </si>
  <si>
    <t>OWENS JERRYL</t>
  </si>
  <si>
    <t>JERRYL</t>
  </si>
  <si>
    <t>OWENS</t>
  </si>
  <si>
    <t>JERRYL OWENS</t>
  </si>
  <si>
    <t xml:space="preserve">1000 N 4TH ST </t>
  </si>
  <si>
    <t xml:space="preserve">1000 N 4TH ST  WAELDER, TX 78959 </t>
  </si>
  <si>
    <t>PO BOX 91472</t>
  </si>
  <si>
    <t>B024</t>
  </si>
  <si>
    <t xml:space="preserve">PO BOX 91472 </t>
  </si>
  <si>
    <t xml:space="preserve">PO BOX 91472  HOUSTON, TX 77291-1472 </t>
  </si>
  <si>
    <t>ESPINOZA HERNANDEZ KEVIN MARTINEZ</t>
  </si>
  <si>
    <t>HERNANDEZ KEVIN MARTINEZ</t>
  </si>
  <si>
    <t>ESPINOZA</t>
  </si>
  <si>
    <t>ESPINOZA GUEVARA MARIA D</t>
  </si>
  <si>
    <t>GUEVARA MARIA D</t>
  </si>
  <si>
    <t>GUEVARA</t>
  </si>
  <si>
    <t>HERNANDEZ &amp; GUEVARA ESPINOZA</t>
  </si>
  <si>
    <t>ESPINOZA HERNANDEZ KEVIN MARTINEZ ESPINOZA GUEVARA MARIA D</t>
  </si>
  <si>
    <t>COUNTY ROAD 140</t>
  </si>
  <si>
    <t xml:space="preserve">18 N COUNTY ROAD 140 </t>
  </si>
  <si>
    <t xml:space="preserve">18 N COUNTY ROAD 140  COST, TX 78614 </t>
  </si>
  <si>
    <t xml:space="preserve">3600 STATE HIGHWAY 97 W </t>
  </si>
  <si>
    <t xml:space="preserve">3600 STATE HIGHWAY 97 W  GONZALES, TX 78629-5500 </t>
  </si>
  <si>
    <t>LOT 1 RANCHO DE COST MH ON PARCEL 29156 SPLIT FROM 6125</t>
  </si>
  <si>
    <t>FOX KENNETH LEE</t>
  </si>
  <si>
    <t>KENNETH LEE</t>
  </si>
  <si>
    <t>KENNETH</t>
  </si>
  <si>
    <t>FOX</t>
  </si>
  <si>
    <t>KENNETH FOX</t>
  </si>
  <si>
    <t>MARRIED MAN</t>
  </si>
  <si>
    <t xml:space="preserve">888 N STATE HIGHWAY 80 </t>
  </si>
  <si>
    <t xml:space="preserve">888 N STATE HIGHWAY 80  NIXON, TX 78140 </t>
  </si>
  <si>
    <t>CIELA</t>
  </si>
  <si>
    <t>VIS</t>
  </si>
  <si>
    <t xml:space="preserve">108 CIELA VIS </t>
  </si>
  <si>
    <t xml:space="preserve">108 CIELA VIS  SEGUIN, TX 78155-5308 </t>
  </si>
  <si>
    <t>J J TEJADA</t>
  </si>
  <si>
    <t>MORENO REYES BRUNO MORENO</t>
  </si>
  <si>
    <t>REYES BRUNO MORENO</t>
  </si>
  <si>
    <t>MORENO</t>
  </si>
  <si>
    <t>MORENO REYES ROBERTO</t>
  </si>
  <si>
    <t>REYES ROBERTO</t>
  </si>
  <si>
    <t>REYES &amp; REYES MORENO</t>
  </si>
  <si>
    <t>MORENO REYES BRUNO MORENO MORENO REYES ROBERTO</t>
  </si>
  <si>
    <t xml:space="preserve">803 N 5TH ST </t>
  </si>
  <si>
    <t xml:space="preserve">803 N 5TH ST  WAELDER, TX 78959 </t>
  </si>
  <si>
    <t>RUSSEK</t>
  </si>
  <si>
    <t>C</t>
  </si>
  <si>
    <t xml:space="preserve">200 RUSSEK ST C </t>
  </si>
  <si>
    <t xml:space="preserve">200 RUSSEK ST C, SCHULENBURG, TX 78956-1311 </t>
  </si>
  <si>
    <t>303 DAVID B KENT MH ON PARCEL 27802</t>
  </si>
  <si>
    <t>ALMARAZ DAVID ALMARAZ EDWARD</t>
  </si>
  <si>
    <t>DAVID ALMARAZ EDWARD</t>
  </si>
  <si>
    <t>ALMARAZ</t>
  </si>
  <si>
    <t>ALMARAZ MARCUS</t>
  </si>
  <si>
    <t>MARCUS</t>
  </si>
  <si>
    <t>DAVID &amp; MARCUS ALMARAZ</t>
  </si>
  <si>
    <t>ALMARAZ DAVID ALMARAZ EDWARD ALMARAZ MARCUS</t>
  </si>
  <si>
    <t>FM 1115</t>
  </si>
  <si>
    <t xml:space="preserve">FM 1115 </t>
  </si>
  <si>
    <t xml:space="preserve">FM 1115  WAELDER, TX 78959 </t>
  </si>
  <si>
    <t>SYMPHONIC</t>
  </si>
  <si>
    <t>C033</t>
  </si>
  <si>
    <t xml:space="preserve">9223 SYMPHONIC LN </t>
  </si>
  <si>
    <t xml:space="preserve">9223 SYMPHONIC LN  HOUSTON, TX 77040-2472 </t>
  </si>
  <si>
    <t>TUCH LEROY</t>
  </si>
  <si>
    <t>LEROY</t>
  </si>
  <si>
    <t>TUCH</t>
  </si>
  <si>
    <t>TUCH TERRY</t>
  </si>
  <si>
    <t>TERRY</t>
  </si>
  <si>
    <t>LEROY &amp; TERRY TUCH</t>
  </si>
  <si>
    <t>TUCH LEROY &amp; TERRY</t>
  </si>
  <si>
    <t>HUSBAND AND WIFE</t>
  </si>
  <si>
    <t>STATE HIGHWAY 304</t>
  </si>
  <si>
    <t xml:space="preserve">3312 STATE HIGHWAY 304 </t>
  </si>
  <si>
    <t xml:space="preserve">3312 STATE HIGHWAY 304  GONZALES, TX 78629-6844 </t>
  </si>
  <si>
    <t>LOT 17 RANCHO DE COST 230 GCSL / 382 R A PACE SPLIT FROM 6125 &amp; 8574</t>
  </si>
  <si>
    <t>PRIVATE PARTY</t>
  </si>
  <si>
    <t>J C STOLTE TRUSTEE</t>
  </si>
  <si>
    <t>WARFIELD JAMES EST</t>
  </si>
  <si>
    <t>JAMES WARFIELD</t>
  </si>
  <si>
    <t xml:space="preserve">431 CR </t>
  </si>
  <si>
    <t xml:space="preserve">431 CR  WAELDER, TX 78959 </t>
  </si>
  <si>
    <t>KENWELL</t>
  </si>
  <si>
    <t>C040</t>
  </si>
  <si>
    <t xml:space="preserve">7406 KENWELL ST </t>
  </si>
  <si>
    <t xml:space="preserve">7406 KENWELL ST  DALLAS, TX 75209-4025 </t>
  </si>
  <si>
    <t>LUEDECKE LYNN D</t>
  </si>
  <si>
    <t>LYNN D</t>
  </si>
  <si>
    <t>LYNN</t>
  </si>
  <si>
    <t>LUEDECKE</t>
  </si>
  <si>
    <t>LUEDECKE RITA I</t>
  </si>
  <si>
    <t>RITA I</t>
  </si>
  <si>
    <t>RITA</t>
  </si>
  <si>
    <t>LYNN &amp; RITA LUEDECKE</t>
  </si>
  <si>
    <t>LUEDECKE LYNN D LUEDECKE RITA I</t>
  </si>
  <si>
    <t>OIL PATCH</t>
  </si>
  <si>
    <t xml:space="preserve">5 OIL PATCH LN </t>
  </si>
  <si>
    <t xml:space="preserve">5 OIL PATCH LN  GONZALES, TX 78629 </t>
  </si>
  <si>
    <t>HEINE FARM</t>
  </si>
  <si>
    <t>DEL VALLE</t>
  </si>
  <si>
    <t xml:space="preserve">6629 HEINE FARM RD #4 </t>
  </si>
  <si>
    <t xml:space="preserve">6629 HEINE FARM RD #4, DEL VALLE, TX 78617-3602 </t>
  </si>
  <si>
    <t>1925 TOWN OF GONZALES PT LT 23 RANGE 2 EAST</t>
  </si>
  <si>
    <t>PACIFIC SOUTHWEST BANK</t>
  </si>
  <si>
    <t>PLANO</t>
  </si>
  <si>
    <t>R052</t>
  </si>
  <si>
    <t xml:space="preserve">2901 DALLAS PKWY #450 </t>
  </si>
  <si>
    <t xml:space="preserve">2901 DALLAS PKWY #450, PLANO, TX 75093-5997 </t>
  </si>
  <si>
    <t>ROADS KERR CREEK SUBD 25 TN OF GONZALES ARE NOT CITY STREETS</t>
  </si>
  <si>
    <t>ROADS KERR CREEK SUB</t>
  </si>
  <si>
    <t>TRISTAN ADAM</t>
  </si>
  <si>
    <t>ADAM</t>
  </si>
  <si>
    <t>TRISTAN</t>
  </si>
  <si>
    <t>ADAM TRISTAN</t>
  </si>
  <si>
    <t xml:space="preserve">810 E 8TH ST </t>
  </si>
  <si>
    <t xml:space="preserve">810 E 8TH ST  NIXON, TX 78140 </t>
  </si>
  <si>
    <t>10TH</t>
  </si>
  <si>
    <t xml:space="preserve">707 E 10TH ST </t>
  </si>
  <si>
    <t xml:space="preserve">707 E 10TH ST  NIXON, TX 78140-3185 </t>
  </si>
  <si>
    <t>448 J J TEJADA MH ON PARCEL 27678</t>
  </si>
  <si>
    <t>NOT AVAILABLE FROM THE COUNTY</t>
  </si>
  <si>
    <t xml:space="preserve"> UNKNOWN,  </t>
  </si>
  <si>
    <t>HULL DONALD</t>
  </si>
  <si>
    <t>HULL</t>
  </si>
  <si>
    <t>DONALD HULL</t>
  </si>
  <si>
    <t xml:space="preserve">2000 ROBERTSON </t>
  </si>
  <si>
    <t xml:space="preserve">2000 ROBERTSON  GONZALES, TX 78629 </t>
  </si>
  <si>
    <t>FM 532</t>
  </si>
  <si>
    <t xml:space="preserve">8901 FM 532 W </t>
  </si>
  <si>
    <t xml:space="preserve">8901 FM 532 W  GONZALES, TX 78629-3322 </t>
  </si>
  <si>
    <t>1925 TOWN OF GONZALES PT LOT 13 RANGE 5 EAST</t>
  </si>
  <si>
    <t>TREJO VICTOR MARTINEZ</t>
  </si>
  <si>
    <t>VICTOR MARTINEZ</t>
  </si>
  <si>
    <t>VICTOR</t>
  </si>
  <si>
    <t>TREJO</t>
  </si>
  <si>
    <t>VARGAS BLANCA L</t>
  </si>
  <si>
    <t>BLANCA L</t>
  </si>
  <si>
    <t>BLANCA</t>
  </si>
  <si>
    <t>VARGAS</t>
  </si>
  <si>
    <t>VICTOR TREJO &amp; BLANCA VARGAS</t>
  </si>
  <si>
    <t>TREJO VICTOR MARTINEZ VARGAS BLANCA L</t>
  </si>
  <si>
    <t>SW</t>
  </si>
  <si>
    <t>MARGATE</t>
  </si>
  <si>
    <t>FL</t>
  </si>
  <si>
    <t xml:space="preserve">6374 SW 1ST ST </t>
  </si>
  <si>
    <t xml:space="preserve">6374 SW 1ST ST  MARGATE, FL 33068-1610 </t>
  </si>
  <si>
    <t>LOT 2 RANCHO DE COST 230 GONZ CO SCHOOL LAND SPLIT FROM 6125</t>
  </si>
  <si>
    <t>PEREZ-MONREAL KARLA S</t>
  </si>
  <si>
    <t>KARLA S</t>
  </si>
  <si>
    <t>KARLA</t>
  </si>
  <si>
    <t>PEREZ-MONREAL</t>
  </si>
  <si>
    <t>PECINA QUDBERTO</t>
  </si>
  <si>
    <t>QUDBERTO</t>
  </si>
  <si>
    <t>PECINA</t>
  </si>
  <si>
    <t>KARLA PEREZ-MONREAL &amp; QUDBERTO PECINA</t>
  </si>
  <si>
    <t>PEREZ-MONREAL KARLA S PECINA QUDBERTO</t>
  </si>
  <si>
    <t>CHURCH</t>
  </si>
  <si>
    <t xml:space="preserve">2405 CHURCH ST #82 </t>
  </si>
  <si>
    <t xml:space="preserve">2405 CHURCH ST #82, GONZALES, TX 78629-2156 </t>
  </si>
  <si>
    <t>LOT 5 RANCHO DE COST 230 GONZ CO SCHOOL LAND SPLIT FROM 6125</t>
  </si>
  <si>
    <t>GOODWIN STEINMAN DAVID A</t>
  </si>
  <si>
    <t>STEINMAN DAVID A</t>
  </si>
  <si>
    <t>STEINMAN</t>
  </si>
  <si>
    <t>GOODWIN ROBIN</t>
  </si>
  <si>
    <t>ROBIN</t>
  </si>
  <si>
    <t>STEINMAN &amp; ROBIN GOODWIN</t>
  </si>
  <si>
    <t>GOODWIN STEINMAN DAVID A GOODWIN ROBIN</t>
  </si>
  <si>
    <t xml:space="preserve">148 STATE HIGHWAY 97 W </t>
  </si>
  <si>
    <t xml:space="preserve">148 STATE HIGHWAY 97 W  GONZALES, TX 78629 </t>
  </si>
  <si>
    <t>PO BOX 182</t>
  </si>
  <si>
    <t xml:space="preserve">PO BOX 182 </t>
  </si>
  <si>
    <t xml:space="preserve">PO BOX 182  COST, TX 78614 </t>
  </si>
  <si>
    <t>LOT 19 RANCHO DE COST 230 GONZ CO SCHOOL LAND MH ON PARCEL 28638 SPLIT FROM 6125</t>
  </si>
  <si>
    <t>LEDBETTER JAMES ROBERT</t>
  </si>
  <si>
    <t>JAMES ROBERT</t>
  </si>
  <si>
    <t>LEDBETTER</t>
  </si>
  <si>
    <t>TUCH SAMANTHA ANN</t>
  </si>
  <si>
    <t>SAMANTHA ANN</t>
  </si>
  <si>
    <t>SAMANTHA</t>
  </si>
  <si>
    <t>JAMES LEDBETTER &amp; SAMANTHA TUCH</t>
  </si>
  <si>
    <t>LEDBETTER JAMES ROBERT TUCH SAMANTHA ANN</t>
  </si>
  <si>
    <t>MIDDLEBUSTER</t>
  </si>
  <si>
    <t xml:space="preserve">310 MIDDLEBUSTER RD #9 </t>
  </si>
  <si>
    <t xml:space="preserve">310 MIDDLEBUSTER RD #9, GONZALES, TX 78629-2231 </t>
  </si>
  <si>
    <t>LOT 18 RANCHO DE COST SPLIT FROM 6125 &amp; 8574</t>
  </si>
  <si>
    <t>STOLTE JS</t>
  </si>
  <si>
    <t>VAZQUEZ ENRIQUE</t>
  </si>
  <si>
    <t>ENRIQUE</t>
  </si>
  <si>
    <t>VELAZQUEZ ARECELI</t>
  </si>
  <si>
    <t>ARECELI</t>
  </si>
  <si>
    <t>VELAZQUEZ</t>
  </si>
  <si>
    <t>ENRIQUE VAZQUEZ &amp; ARECELI VELAZQUEZ</t>
  </si>
  <si>
    <t>VAZQUEZ ENRIQUE VELAZQUEZ ARECELI</t>
  </si>
  <si>
    <t xml:space="preserve">6691 N US HIGHWAY 183 </t>
  </si>
  <si>
    <t xml:space="preserve">6691 N US HIGHWAY 183  GONZALES, TX 78629-5251 </t>
  </si>
  <si>
    <t>LOT 9 RANCHO DE COST 230 GONZ CO SCHOOL LAND SPLIT FROM 6125</t>
  </si>
  <si>
    <t>MONJARAZ PABLO GRIFALDO</t>
  </si>
  <si>
    <t>PABLO GRIFALDO</t>
  </si>
  <si>
    <t>PABLO</t>
  </si>
  <si>
    <t>MONJARAZ</t>
  </si>
  <si>
    <t>PABLO MONJARAZ</t>
  </si>
  <si>
    <t xml:space="preserve">84 N COUNTY ROAD 140 </t>
  </si>
  <si>
    <t xml:space="preserve">84 N COUNTY ROAD 140  COST, TX 78614 </t>
  </si>
  <si>
    <t xml:space="preserve">84 N COUNTY ROAD 140  COST, TX 78614-4535 </t>
  </si>
  <si>
    <t>LOT 4 RANCHO DE COST MH ON PARCEL 29014 SPLIT FROM 6125</t>
  </si>
  <si>
    <t>FIVE STAR TITLE</t>
  </si>
  <si>
    <t>DANIEL ANITA K O</t>
  </si>
  <si>
    <t>ANITA K O</t>
  </si>
  <si>
    <t>ANITA</t>
  </si>
  <si>
    <t>DANIEL DAYNE W</t>
  </si>
  <si>
    <t>DAYNE W</t>
  </si>
  <si>
    <t>DAYNE</t>
  </si>
  <si>
    <t>ANITA &amp; DAYNE DANIEL</t>
  </si>
  <si>
    <t>DANIEL ANITA K O DANIEL DAYNE W</t>
  </si>
  <si>
    <t>HIGHWAY 304</t>
  </si>
  <si>
    <t xml:space="preserve">HIGHWAY 304 </t>
  </si>
  <si>
    <t xml:space="preserve">HIGHWAY 304  GONZALES, TX 78629 </t>
  </si>
  <si>
    <t xml:space="preserve">256 HIGH RIDGE MEADOWS DR </t>
  </si>
  <si>
    <t xml:space="preserve">256 HIGH RIDGE MEADOWS DR  GONZALES, TX 78629-3251 </t>
  </si>
  <si>
    <t>LOT 16 HIGH RIDGE MEADOWS SUB 471 ANDREW WINTERS</t>
  </si>
  <si>
    <t>GALLEGOS-CONTRERAS NARCISO J</t>
  </si>
  <si>
    <t>NARCISO J</t>
  </si>
  <si>
    <t>NARCISO</t>
  </si>
  <si>
    <t>GALLEGOS-CONTRERAS</t>
  </si>
  <si>
    <t>GALLEGOS ELIZABETH G</t>
  </si>
  <si>
    <t>ELIZABETH G</t>
  </si>
  <si>
    <t>NARCISO GALLEGOS-CONTRERAS &amp; ELIZABETH GALLEGOS</t>
  </si>
  <si>
    <t>GALLEGOS-CONTRERAS NARCISO J GALLEGOS ELIZABETH G</t>
  </si>
  <si>
    <t xml:space="preserve">704 N STATE HIGHWAY 80 </t>
  </si>
  <si>
    <t xml:space="preserve">704 N STATE HIGHWAY 80  NIXON, TX 78140-2669 </t>
  </si>
  <si>
    <t>LOT 25 RANCHO DE COST 382 R A PACE</t>
  </si>
  <si>
    <t>KINDRED E A</t>
  </si>
  <si>
    <t>E A</t>
  </si>
  <si>
    <t>KINDRED</t>
  </si>
  <si>
    <t>E KINDRED</t>
  </si>
  <si>
    <t>HIGHWAY 90</t>
  </si>
  <si>
    <t xml:space="preserve">HIGHWAY 90 </t>
  </si>
  <si>
    <t xml:space="preserve">HIGHWAY 90  WAELDER, TX 78959 </t>
  </si>
  <si>
    <t>LAVENDER</t>
  </si>
  <si>
    <t>C019</t>
  </si>
  <si>
    <t xml:space="preserve">4523 LAVENDER LN #319 </t>
  </si>
  <si>
    <t xml:space="preserve">4523 LAVENDER LN #319, SAN ANTONIO, TX 78220-2537 </t>
  </si>
  <si>
    <t>MEZA GEORGIA M</t>
  </si>
  <si>
    <t>GEORGIA M</t>
  </si>
  <si>
    <t>GEORGIA</t>
  </si>
  <si>
    <t>MEZA</t>
  </si>
  <si>
    <t>GEORGIA MEZA</t>
  </si>
  <si>
    <t>AVENUE I</t>
  </si>
  <si>
    <t xml:space="preserve">213 S AVENUE I </t>
  </si>
  <si>
    <t xml:space="preserve">213 S AVENUE I  WAELDER, TX 78959 </t>
  </si>
  <si>
    <t>HARLAND</t>
  </si>
  <si>
    <t xml:space="preserve">1915 HARLAND DR </t>
  </si>
  <si>
    <t xml:space="preserve">1915 HARLAND DR  HOUSTON, TX 77055-1821 </t>
  </si>
  <si>
    <t>HANSON CHRISTI JEAN</t>
  </si>
  <si>
    <t>CHRISTI JEAN</t>
  </si>
  <si>
    <t>CHRISTI</t>
  </si>
  <si>
    <t>HANSON</t>
  </si>
  <si>
    <t>CHRISTI HANSON</t>
  </si>
  <si>
    <t xml:space="preserve">236 CR </t>
  </si>
  <si>
    <t xml:space="preserve">236 CR  GONZALES, TX 78629 </t>
  </si>
  <si>
    <t>STOKES</t>
  </si>
  <si>
    <t>FAYETTEVILLE</t>
  </si>
  <si>
    <t>R404</t>
  </si>
  <si>
    <t xml:space="preserve">1677 STOKES RD </t>
  </si>
  <si>
    <t xml:space="preserve">1677 STOKES RD  FAYETTEVILLE, TX 78940-5658 </t>
  </si>
  <si>
    <t>25 TOWN OF GONZALES</t>
  </si>
  <si>
    <t>RYDER DELAINE</t>
  </si>
  <si>
    <t>DELAINE</t>
  </si>
  <si>
    <t>RYDER</t>
  </si>
  <si>
    <t>DELAINE RYDER</t>
  </si>
  <si>
    <t>US HIGHWAY 90</t>
  </si>
  <si>
    <t xml:space="preserve">13318 US HIGHWAY 90 W </t>
  </si>
  <si>
    <t xml:space="preserve">13318 US HIGHWAY 90 W  HARWOOD, TX 78632 </t>
  </si>
  <si>
    <t>PO BOX 30</t>
  </si>
  <si>
    <t xml:space="preserve">PO BOX 30 </t>
  </si>
  <si>
    <t xml:space="preserve">PO BOX 30  HARWOOD, TX 78632 </t>
  </si>
  <si>
    <t>447 G TUMLINSON MH ON PARCEL 27053</t>
  </si>
  <si>
    <t>LEE MOSE EST</t>
  </si>
  <si>
    <t>MOSE LEE</t>
  </si>
  <si>
    <t>ADDRESS UNKNOWN</t>
  </si>
  <si>
    <t xml:space="preserve"> ADDRESS UNKNOWN, TX </t>
  </si>
  <si>
    <t>LORENZ LESLIE A</t>
  </si>
  <si>
    <t>LESLIE A</t>
  </si>
  <si>
    <t>LESLIE</t>
  </si>
  <si>
    <t>LORENZ</t>
  </si>
  <si>
    <t>LORENZ SHIRLEY H</t>
  </si>
  <si>
    <t>SHIRLEY H</t>
  </si>
  <si>
    <t>SHIRLEY</t>
  </si>
  <si>
    <t>LESLIE &amp; SHIRLEY LORENZ</t>
  </si>
  <si>
    <t>LORENZ LESLIE A LORENZ SHIRLEY H</t>
  </si>
  <si>
    <t>DUNNING</t>
  </si>
  <si>
    <t xml:space="preserve">603 DUNNING ST </t>
  </si>
  <si>
    <t xml:space="preserve">603 DUNNING ST  GONZALES, TX 78629-2309 </t>
  </si>
  <si>
    <t>LOT 16 RANCHO DE COST 230 GCSL / 382 R A PACE SPLIT FROM 6125 &amp; 8574</t>
  </si>
  <si>
    <t>MACEDO MARCELINA</t>
  </si>
  <si>
    <t>MARCELINA</t>
  </si>
  <si>
    <t>MACEDO</t>
  </si>
  <si>
    <t>MARCELINA MACEDO</t>
  </si>
  <si>
    <t>PO BOX 507</t>
  </si>
  <si>
    <t xml:space="preserve">PO BOX 507 </t>
  </si>
  <si>
    <t xml:space="preserve">PO BOX 507  WAELDER, TX 78959 </t>
  </si>
  <si>
    <t>303 DAVID B KENT MH ON PARCEL 28127</t>
  </si>
  <si>
    <t>MCCAULEY SCHUTZ PATRICIA ELAINE</t>
  </si>
  <si>
    <t>SCHUTZ PATRICIA ELAINE</t>
  </si>
  <si>
    <t>SCHUTZ</t>
  </si>
  <si>
    <t>MCCAULEY</t>
  </si>
  <si>
    <t>MCCAULEY DIANA LYNN</t>
  </si>
  <si>
    <t>DIANA LYNN</t>
  </si>
  <si>
    <t>SCHUTZ &amp; DIANA MCCAULEY</t>
  </si>
  <si>
    <t>MCCAULEY SCHUTZ PATRICIA ELAINE MCCAULEY DIANA LYNN</t>
  </si>
  <si>
    <t xml:space="preserve">513 CR </t>
  </si>
  <si>
    <t xml:space="preserve">513 CR  WAELDER, TX 78959 </t>
  </si>
  <si>
    <t>SENECA</t>
  </si>
  <si>
    <t>TRL</t>
  </si>
  <si>
    <t>VALLEY BEND</t>
  </si>
  <si>
    <t>WV</t>
  </si>
  <si>
    <t xml:space="preserve">5519 SENECA TRL </t>
  </si>
  <si>
    <t xml:space="preserve">5519 SENECA TRL  VALLEY BEND, WV 26293-5032 </t>
  </si>
  <si>
    <t>VALERIO JAVIER</t>
  </si>
  <si>
    <t>JAVIER</t>
  </si>
  <si>
    <t>VALERIO</t>
  </si>
  <si>
    <t>VALERIO ROSALBA</t>
  </si>
  <si>
    <t>ROSALBA</t>
  </si>
  <si>
    <t>JAVIER &amp; ROSALBA VALERIO</t>
  </si>
  <si>
    <t>VALERIO JAVIER VALERIO ROSALBA</t>
  </si>
  <si>
    <t xml:space="preserve">608 S ROOSEVELT AVE </t>
  </si>
  <si>
    <t xml:space="preserve">608 S ROOSEVELT AVE  NIXON, TX 78140 </t>
  </si>
  <si>
    <t xml:space="preserve">608 S ROOSEVELT AVE  NIXON, TX 78140-3013 </t>
  </si>
  <si>
    <t>PT 65 SCHLEICHERS SUB SPLIT FROM P#15703</t>
  </si>
  <si>
    <t>SCHEUERMAN LESTER ALAN</t>
  </si>
  <si>
    <t>LESTER ALAN</t>
  </si>
  <si>
    <t>LESTER</t>
  </si>
  <si>
    <t>SCHEUERMAN</t>
  </si>
  <si>
    <t>SCHEUERMAN KATHLEEN D</t>
  </si>
  <si>
    <t>KATHLEEN D</t>
  </si>
  <si>
    <t>KATHLEEN</t>
  </si>
  <si>
    <t>LESTER &amp; KATHLEEN SCHEUERMAN</t>
  </si>
  <si>
    <t>SCHEUERMAN LESTER ALAN SCHEUERMAN KATHLEEN D</t>
  </si>
  <si>
    <t xml:space="preserve">606 S ROOSEVELT AVE </t>
  </si>
  <si>
    <t xml:space="preserve">606 S ROOSEVELT AVE  NIXON, TX 78140 </t>
  </si>
  <si>
    <t xml:space="preserve">606 S ROOSEVELT AVE  NIXON, TX 78140-3013 </t>
  </si>
  <si>
    <t>PT 65 SCHLEICHERS SUB MH ON PARCEL 28741 SPLIT FROM P15703 (DOES NOT JOIN)</t>
  </si>
  <si>
    <t>KLAPUCH JOHN F</t>
  </si>
  <si>
    <t>JOHN F</t>
  </si>
  <si>
    <t>KLAPUCH</t>
  </si>
  <si>
    <t>KLAPUCH BERNADETTE</t>
  </si>
  <si>
    <t>BERNADETTE</t>
  </si>
  <si>
    <t>JOHN &amp; BERNADETTE KLAPUCH</t>
  </si>
  <si>
    <t>KLAPUCH JOHN F KLAPUCH BERNADETTE</t>
  </si>
  <si>
    <t xml:space="preserve">4391 US HIGHWAY 90A E </t>
  </si>
  <si>
    <t xml:space="preserve">4391 US HIGHWAY 90A E  GONZALES, TX 78629 </t>
  </si>
  <si>
    <t xml:space="preserve">4363 US HIGHWAY 90A E </t>
  </si>
  <si>
    <t xml:space="preserve">4363 US HIGHWAY 90A E  GONZALES, TX 78629-6943 </t>
  </si>
  <si>
    <t>72 JAMES THOMPSON SPLIT FROM P#3137 MH ON PARCEL 3138</t>
  </si>
  <si>
    <t>MAR ANTONIO</t>
  </si>
  <si>
    <t>ANTONIO</t>
  </si>
  <si>
    <t>MAR</t>
  </si>
  <si>
    <t>SEVILLA ARNELI</t>
  </si>
  <si>
    <t>ARNELI</t>
  </si>
  <si>
    <t>SEVILLA</t>
  </si>
  <si>
    <t>ANTONIO MAR &amp; ARNELI SEVILLA</t>
  </si>
  <si>
    <t>MAR ANTONIO SEVILLA ARNELI</t>
  </si>
  <si>
    <t xml:space="preserve">228 CR </t>
  </si>
  <si>
    <t xml:space="preserve">228 CR  GONZALES, TX 78629 </t>
  </si>
  <si>
    <t>BUFFALO</t>
  </si>
  <si>
    <t xml:space="preserve">615 BUFFALO RUN </t>
  </si>
  <si>
    <t xml:space="preserve">615 BUFFALO RUN  HARWOOD, TX 78632-4788 </t>
  </si>
  <si>
    <t>336 CHARLES MASON SPLIT FROM P#7735</t>
  </si>
  <si>
    <t>JONES EDNA E</t>
  </si>
  <si>
    <t>EDNA E</t>
  </si>
  <si>
    <t>EDNA</t>
  </si>
  <si>
    <t>JONES</t>
  </si>
  <si>
    <t>EDNA JONES</t>
  </si>
  <si>
    <t>CR342</t>
  </si>
  <si>
    <t>KELLY</t>
  </si>
  <si>
    <t>LOOP</t>
  </si>
  <si>
    <t xml:space="preserve">CR342 KELLY LOOP </t>
  </si>
  <si>
    <t xml:space="preserve">CR342 KELLY LOOP  GONZALES, TX 78629 </t>
  </si>
  <si>
    <t>COUNTY ROAD 228</t>
  </si>
  <si>
    <t xml:space="preserve">243 COUNTY ROAD 228 </t>
  </si>
  <si>
    <t xml:space="preserve">243 COUNTY ROAD 228  GONZALES, TX 78629-2715 </t>
  </si>
  <si>
    <t>2.80 AC J THOMPSON A 72</t>
  </si>
  <si>
    <t>ZAPPE RIVER CAMP LLC</t>
  </si>
  <si>
    <t>RIVERWOOD</t>
  </si>
  <si>
    <t xml:space="preserve">RIVERWOOD RD </t>
  </si>
  <si>
    <t xml:space="preserve">RIVERWOOD RD  GONZALES, TX 78629 </t>
  </si>
  <si>
    <t xml:space="preserve">417 SAINT GEORGE ST </t>
  </si>
  <si>
    <t xml:space="preserve">417 SAINT GEORGE ST  GONZALES, TX 78629-3541 </t>
  </si>
  <si>
    <t>BLK 1 LOTS 18-21 RIVERWOOD SUBD SPLIT FROM PAR 2529</t>
  </si>
  <si>
    <t>ROBERSON LLOYD MILTON</t>
  </si>
  <si>
    <t>LLOYD MILTON</t>
  </si>
  <si>
    <t>LLOYD</t>
  </si>
  <si>
    <t>ROBERSON</t>
  </si>
  <si>
    <t>LLOYD ROBERSON</t>
  </si>
  <si>
    <t xml:space="preserve">344 CR </t>
  </si>
  <si>
    <t xml:space="preserve">344 CR  GONZALES, TX 78629 </t>
  </si>
  <si>
    <t xml:space="preserve">682 COUNTY ROAD 344 </t>
  </si>
  <si>
    <t xml:space="preserve">682 COUNTY ROAD 344  GONZALES, TX 78629-6989 </t>
  </si>
  <si>
    <t>337 ELI MITCHELL MH ON PARCEL 28976 SPLIT FROM PAR 7784</t>
  </si>
  <si>
    <t>LEBANON CHURCH</t>
  </si>
  <si>
    <t>LEBANON</t>
  </si>
  <si>
    <t>CHURCH LEBANON</t>
  </si>
  <si>
    <t xml:space="preserve">436 CR </t>
  </si>
  <si>
    <t xml:space="preserve">436 CR  HARWOOD, TX 78632 </t>
  </si>
  <si>
    <t>COUNTY ROAD 284</t>
  </si>
  <si>
    <t xml:space="preserve">3644 COUNTY ROAD 284 </t>
  </si>
  <si>
    <t xml:space="preserve">3644 COUNTY ROAD 284  HARWOOD, TX 78632-4133 </t>
  </si>
  <si>
    <t>496 JOHN WITHERS SPLIT FROM PAR 10722</t>
  </si>
  <si>
    <t>TOVAR LEONEL M</t>
  </si>
  <si>
    <t>LEONEL M</t>
  </si>
  <si>
    <t>LEONEL</t>
  </si>
  <si>
    <t>TOVAR</t>
  </si>
  <si>
    <t>MARTINEZ DALFINA</t>
  </si>
  <si>
    <t>DALFINA</t>
  </si>
  <si>
    <t>LEONEL TOVAR &amp; DALFINA MARTINEZ</t>
  </si>
  <si>
    <t>TOVAR LEONEL M MARTINEZ DALFINA</t>
  </si>
  <si>
    <t xml:space="preserve">500 S ROOSEVELT AVE </t>
  </si>
  <si>
    <t xml:space="preserve">500 S ROOSEVELT AVE  NIXON, TX 78140 </t>
  </si>
  <si>
    <t xml:space="preserve">500 S ROOSEVELT AVE  NIXON, TX 78140-2928 </t>
  </si>
  <si>
    <t>PT 65 SCHLEICHERS SUB TRACT 1 MH ON PARCEL 28780 SPLIT FROM PAR 15702</t>
  </si>
  <si>
    <t>OWNER 1 FULL NAME</t>
  </si>
  <si>
    <t>OWNER 1 FIRST NAME &amp; MI</t>
  </si>
  <si>
    <t>OWNER 1 FIRST NAME</t>
  </si>
  <si>
    <t>OWNER 1 LAST NAME</t>
  </si>
  <si>
    <t>OWNER 1 TYPE</t>
  </si>
  <si>
    <t>OWNER 1 PROPERTIES OWNED</t>
  </si>
  <si>
    <t>OWNER 2 FULL NAME</t>
  </si>
  <si>
    <t>OWNER 2 FIRST NAME &amp; MI</t>
  </si>
  <si>
    <t>OWNER 2 FIRST NAME</t>
  </si>
  <si>
    <t>OWNER 2 LAST NAME</t>
  </si>
  <si>
    <t>OWNER 2 TYPE</t>
  </si>
  <si>
    <t>OWNER 2 PROPERTIES OWNED</t>
  </si>
  <si>
    <t>OWNER 3 FULL NAME</t>
  </si>
  <si>
    <t>OWNER 4 FULL NAME</t>
  </si>
  <si>
    <t>OWNER MAILING NAME</t>
  </si>
  <si>
    <t>OWNERS (ALL)</t>
  </si>
  <si>
    <t>OWNER RELATIONSHIP TYPE</t>
  </si>
  <si>
    <t>OWNER RIGHTS VESTING CODE</t>
  </si>
  <si>
    <t>OWNER ETAL VESTING CODE</t>
  </si>
  <si>
    <t>OWNER STATUS</t>
  </si>
  <si>
    <t>DO NOT MAIL</t>
  </si>
  <si>
    <t>SITUS DIRECTION</t>
  </si>
  <si>
    <t>SITUS HOUSE NUMBER</t>
  </si>
  <si>
    <t>SITUS HOUSE NUMBER #2</t>
  </si>
  <si>
    <t>SITUS POST DIRECTION</t>
  </si>
  <si>
    <t>SITUS STREET NAME</t>
  </si>
  <si>
    <t>SITUS STREET NAME SUFFIX</t>
  </si>
  <si>
    <t>SITUS UNIT NUMBER</t>
  </si>
  <si>
    <t>SITUS CITY</t>
  </si>
  <si>
    <t>ALTERNATE SITUS CITY</t>
  </si>
  <si>
    <t>SITUS STATE</t>
  </si>
  <si>
    <t>SITUS ZIP CODE</t>
  </si>
  <si>
    <t>SITUS ZIP+4</t>
  </si>
  <si>
    <t>COUNTY</t>
  </si>
  <si>
    <t>SITUS CARRIER ROUTE</t>
  </si>
  <si>
    <t>SITUS STREET ADDRESS</t>
  </si>
  <si>
    <t>SITUS FULL ADDRESS</t>
  </si>
  <si>
    <t>MAIL DIRECTION</t>
  </si>
  <si>
    <t>MAIL HOUSE NUMBER</t>
  </si>
  <si>
    <t>MAIL HOUSE NUMBER #2</t>
  </si>
  <si>
    <t>MAIL POST DIRECTION</t>
  </si>
  <si>
    <t>MAIL STREET NAME</t>
  </si>
  <si>
    <t>MAIL STREET NAME SUFFIX</t>
  </si>
  <si>
    <t>MAIL UNIT NUMBER</t>
  </si>
  <si>
    <t>MAIL CITY</t>
  </si>
  <si>
    <t>ALTERNATE MAILING CITY</t>
  </si>
  <si>
    <t>MAIL STATE</t>
  </si>
  <si>
    <t>MAIL ZIP/ZIP+4</t>
  </si>
  <si>
    <t>MAIL CARRIER ROUTE</t>
  </si>
  <si>
    <t>MAILING STREET ADDRESS</t>
  </si>
  <si>
    <t>MAILING FULL ADDRESS</t>
  </si>
  <si>
    <t>MAILING COUNTRY</t>
  </si>
  <si>
    <t>LEGAL DESCRIPTION</t>
  </si>
  <si>
    <t>APN - FORMATTED</t>
  </si>
  <si>
    <t>APN - UNFORMATTED</t>
  </si>
  <si>
    <t>ALTERNATE APN</t>
  </si>
  <si>
    <t>FIPSCODE</t>
  </si>
  <si>
    <t>MUNICIPALITY/TOWNSHIP</t>
  </si>
  <si>
    <t>CENSUS TRACT</t>
  </si>
  <si>
    <t>CENSUS BLOCK</t>
  </si>
  <si>
    <t>OPPORTUNITY ZONE</t>
  </si>
  <si>
    <t>TOWNSHIP</t>
  </si>
  <si>
    <t>RANGE</t>
  </si>
  <si>
    <t>SECTION</t>
  </si>
  <si>
    <t>QUARTER</t>
  </si>
  <si>
    <t>LATITUDE</t>
  </si>
  <si>
    <t>LONGITUDE</t>
  </si>
  <si>
    <t>SUBDIVISION</t>
  </si>
  <si>
    <t>TRACT</t>
  </si>
  <si>
    <t>APPRAISAL DISTRICT</t>
  </si>
  <si>
    <t>MACRO NEIGHBORHOOD</t>
  </si>
  <si>
    <t>NEIGHBORHOOD</t>
  </si>
  <si>
    <t>SUB NEIGHBORHOOD</t>
  </si>
  <si>
    <t>RESIDENTIAL NEIGHBORHOOD</t>
  </si>
  <si>
    <t>MAP REF1</t>
  </si>
  <si>
    <t>MAP REF2</t>
  </si>
  <si>
    <t>LEGAL BOOK</t>
  </si>
  <si>
    <t>LEGAL PAGE</t>
  </si>
  <si>
    <t>LEGAL LOT</t>
  </si>
  <si>
    <t>LEGAL BLOCK</t>
  </si>
  <si>
    <t>GROSS AREA</t>
  </si>
  <si>
    <t>LIVING AREA</t>
  </si>
  <si>
    <t>BASE/MAIN AREA</t>
  </si>
  <si>
    <t>GROUND FLOOR AREA</t>
  </si>
  <si>
    <t>ADJUSTED AREA (TOTAL)</t>
  </si>
  <si>
    <t>ABOVE GRADE SQFT</t>
  </si>
  <si>
    <t>ADDITION AREA</t>
  </si>
  <si>
    <t>YEAR BUILT</t>
  </si>
  <si>
    <t>YEAR BUILT (EFFECTIVE)</t>
  </si>
  <si>
    <t>NUMBER OF ROOMS</t>
  </si>
  <si>
    <t>NUMBER OF BEDROOMS</t>
  </si>
  <si>
    <t>NUMBER OF BATHS</t>
  </si>
  <si>
    <t>BATHS/RESTROOMS (FULL)</t>
  </si>
  <si>
    <t>BATHS/RESTROOMS (HALF)</t>
  </si>
  <si>
    <t>FIXTURES NUMBER</t>
  </si>
  <si>
    <t>OTHER ROOMS</t>
  </si>
  <si>
    <t>DINING ROOMS</t>
  </si>
  <si>
    <t>FAMILY ROOMS</t>
  </si>
  <si>
    <t>STORIES NO.</t>
  </si>
  <si>
    <t>STORIES DESCRIPTION</t>
  </si>
  <si>
    <t>POOL AREA</t>
  </si>
  <si>
    <t>FIREPLACE INDICATOR</t>
  </si>
  <si>
    <t>FIREPLACE NUMBER</t>
  </si>
  <si>
    <t>PARKING TYPE</t>
  </si>
  <si>
    <t>PARKING SPACES</t>
  </si>
  <si>
    <t>GARAGE TYPE</t>
  </si>
  <si>
    <t>GARAGE AREA</t>
  </si>
  <si>
    <t>BASEMENT TYPE</t>
  </si>
  <si>
    <t>BASEMENT AREA</t>
  </si>
  <si>
    <t>AIR CONDITIONING</t>
  </si>
  <si>
    <t>HEAT TYPE</t>
  </si>
  <si>
    <t>HEAT FUEL</t>
  </si>
  <si>
    <t>PATIO TYPE</t>
  </si>
  <si>
    <t>PATIO AREA</t>
  </si>
  <si>
    <t>PORCH TYPE</t>
  </si>
  <si>
    <t>PORCH 1 AREA</t>
  </si>
  <si>
    <t>STYLE</t>
  </si>
  <si>
    <t>ELECTRIC</t>
  </si>
  <si>
    <t>ROOF TYPE</t>
  </si>
  <si>
    <t>ROOF MATERIAL TYPE</t>
  </si>
  <si>
    <t>ROOF FRAME</t>
  </si>
  <si>
    <t>EXTERIOR WALL</t>
  </si>
  <si>
    <t>FLOOR TYPE</t>
  </si>
  <si>
    <t>FOUNDATION</t>
  </si>
  <si>
    <t>CONSTRUCTION TYPE</t>
  </si>
  <si>
    <t>QUALITY</t>
  </si>
  <si>
    <t>CONDITION</t>
  </si>
  <si>
    <t>FRAME</t>
  </si>
  <si>
    <t>EQUITY VALUE</t>
  </si>
  <si>
    <t>EQUITY PERCENTAGE</t>
  </si>
  <si>
    <t>ESTIMATED VALUE</t>
  </si>
  <si>
    <t>LAND USE</t>
  </si>
  <si>
    <t>STATE USE</t>
  </si>
  <si>
    <t>COUNTY LAND USE</t>
  </si>
  <si>
    <t>ZONING</t>
  </si>
  <si>
    <t>LOT AREA</t>
  </si>
  <si>
    <t>LOT ACREAGE</t>
  </si>
  <si>
    <t>LOT WIDTH</t>
  </si>
  <si>
    <t>LOT DEPTH</t>
  </si>
  <si>
    <t>USABLE LOT</t>
  </si>
  <si>
    <t>USABLE LOT AREA</t>
  </si>
  <si>
    <t>LOT SHAPE</t>
  </si>
  <si>
    <t>NO. RESIDENTIAL UNITS</t>
  </si>
  <si>
    <t>NO. COMMERCIAL UNITS</t>
  </si>
  <si>
    <t>NUMBER OF BUILDINGS</t>
  </si>
  <si>
    <t>WATER TYPE</t>
  </si>
  <si>
    <t>SEWER TYPE</t>
  </si>
  <si>
    <t>VIEW QUALITY</t>
  </si>
  <si>
    <t>SITE INFLUENCE</t>
  </si>
  <si>
    <t>FLOOD ZONE CODE</t>
  </si>
  <si>
    <t>FLOOD MAP #</t>
  </si>
  <si>
    <t>FLOOD PANEL #</t>
  </si>
  <si>
    <t>FLOOD MAP DATE</t>
  </si>
  <si>
    <t>COMMUNITY NAME</t>
  </si>
  <si>
    <t>INSIDE SFHA</t>
  </si>
  <si>
    <t>ASSESSMENT YEAR</t>
  </si>
  <si>
    <t>TAX YEAR</t>
  </si>
  <si>
    <t>TAX AREA</t>
  </si>
  <si>
    <t>EXEMPT-DISABLED</t>
  </si>
  <si>
    <t>EXEMPT-HOMESTEAD</t>
  </si>
  <si>
    <t>EXEMPT-RELIGIOUS</t>
  </si>
  <si>
    <t>EXEMPT-SCHOOL</t>
  </si>
  <si>
    <t>EXEMPT-SENIOR</t>
  </si>
  <si>
    <t>EXEMPT-UTILITIES</t>
  </si>
  <si>
    <t>EXEMPT-VETERAN</t>
  </si>
  <si>
    <t>EXEMPT-WIDOW</t>
  </si>
  <si>
    <t>HOSPITAL EXEMPTION</t>
  </si>
  <si>
    <t>LIBRARY EXEMPTION</t>
  </si>
  <si>
    <t>MUSEUM EXEMPTION</t>
  </si>
  <si>
    <t>WELFARE EXEMPTION</t>
  </si>
  <si>
    <t>CEMETERY EXEMPTION</t>
  </si>
  <si>
    <t>ASSESSED TOTAL VALUE</t>
  </si>
  <si>
    <t>ASSESSED LAND VALUE</t>
  </si>
  <si>
    <t>ASSESSED IMPROVEMENT VALUE</t>
  </si>
  <si>
    <t>ASSESSED IMPROVEMENT PERCENTAGE</t>
  </si>
  <si>
    <t>MARKET TOTAL VALUE</t>
  </si>
  <si>
    <t>MARKET LAND VALUE</t>
  </si>
  <si>
    <t>MARKET IMPROVEMENT VALUE</t>
  </si>
  <si>
    <t>MARKET IMPROVEMENT PERCENTAGE</t>
  </si>
  <si>
    <t>APPRAISED TOTAL VALUE</t>
  </si>
  <si>
    <t>APPRAISED LAND VALUE</t>
  </si>
  <si>
    <t>APPRAISED IMPROVEMENT VALUE</t>
  </si>
  <si>
    <t>APPRAISED IMPROVEMENT PERCENTAGE</t>
  </si>
  <si>
    <t>PROPERTY TAX</t>
  </si>
  <si>
    <t>TOTAL VALUE (TAXABLE)</t>
  </si>
  <si>
    <t>MARKET VALUE</t>
  </si>
  <si>
    <t>DELINQUENT TAX YR</t>
  </si>
  <si>
    <t>SCHOOL DISTRICT 1</t>
  </si>
  <si>
    <t>SCHOOL DISTRICT 2</t>
  </si>
  <si>
    <t>SCHOOL DISTRICT 3</t>
  </si>
  <si>
    <t>ELEMENTARY SCHOOL</t>
  </si>
  <si>
    <t>MIDDLE SCHOOL</t>
  </si>
  <si>
    <t>HIGH SCHOOL</t>
  </si>
  <si>
    <t>OT-SALE DATE</t>
  </si>
  <si>
    <t>OT-RECORDING DATE</t>
  </si>
  <si>
    <t>OT-SALE PRICE</t>
  </si>
  <si>
    <t>OT-DEED TYPE</t>
  </si>
  <si>
    <t>OT-1ST MTG DOCUMENT #</t>
  </si>
  <si>
    <t>OT-DOCUMENT NUMBER</t>
  </si>
  <si>
    <t>LMS-SALE DATE</t>
  </si>
  <si>
    <t>LMS-RECORDING DATE</t>
  </si>
  <si>
    <t>LMS-SALE PRICE</t>
  </si>
  <si>
    <t>LMS-SALE TYPE</t>
  </si>
  <si>
    <t>LMS-DEED TYPE</t>
  </si>
  <si>
    <t>LMS-SELLER NAME</t>
  </si>
  <si>
    <t>LMS-PRICE PER SQFT</t>
  </si>
  <si>
    <t>LMS-1ST MTG AMOUNT</t>
  </si>
  <si>
    <t>LMS-1ST MTG TYPE</t>
  </si>
  <si>
    <t>LMS-1ST MTG INT.RATE</t>
  </si>
  <si>
    <t>LMS-1ST MTG INT.RATE TYPE</t>
  </si>
  <si>
    <t>LMS-1ST MTG DOCUMENT #</t>
  </si>
  <si>
    <t>LMS-2ND MTG AMOUNT</t>
  </si>
  <si>
    <t>LMS-2ND MTG TYPE</t>
  </si>
  <si>
    <t>LMS-2ND MTG INT.RATE</t>
  </si>
  <si>
    <t>LMS-2ND MTG INT.RATE TYPE</t>
  </si>
  <si>
    <t>LMS-2ND MTG DOCUMENT #</t>
  </si>
  <si>
    <t>LMS-LENDER</t>
  </si>
  <si>
    <t>LMS-TITLE COMPANY</t>
  </si>
  <si>
    <t>LMS-NEW CONSTRUCTION</t>
  </si>
  <si>
    <t>LMS-MULTI /SPLIT SALE</t>
  </si>
  <si>
    <t>LMS-DOCUMENT NUMBER</t>
  </si>
  <si>
    <t>PRIOR SALE DATE</t>
  </si>
  <si>
    <t>PRIOR REC DATE</t>
  </si>
  <si>
    <t>PRIOR SALE PRICE</t>
  </si>
  <si>
    <t>PRIOR DEED TYPE</t>
  </si>
  <si>
    <t>PRIOR LENDER</t>
  </si>
  <si>
    <t>PRIOR 1ST MTG AMOUNT</t>
  </si>
  <si>
    <t>PRIOR 1ST MTG TYPE</t>
  </si>
  <si>
    <t>PRIOR 1ST MTG RATE TYPE</t>
  </si>
  <si>
    <t>PRIOR 1ST MTG RATE</t>
  </si>
  <si>
    <t>PRIOR DOC NUMBER</t>
  </si>
  <si>
    <t>LINK</t>
  </si>
  <si>
    <t>Est market value</t>
  </si>
  <si>
    <t>Offer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</si>
</sst>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9" fontId="0" fillId="0" borderId="0" xfId="0" applyNumberFormat="1"/>
    <xf numFmtId="14" fontId="0" fillId="0" borderId="0" xfId="0" applyNumberFormat="1"/>
    <xf numFmtId="8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74743D-0B60-4A11-A480-06FE44E0BA53}">
  <dimension ref="A1:IA185"/>
  <sheetViews>
    <sheetView tabSelected="1" topLeftCell="DW10" workbookViewId="0">
      <selection activeCell="EM10" sqref="EM10"/>
    </sheetView>
  </sheetViews>
  <sheetFormatPr defaultRowHeight="14.4" x14ac:dyDescent="0.3"/>
  <cols>
    <col min="15" max="15" width="51.33203125" bestFit="1" customWidth="1"/>
    <col min="16" max="16" width="71.109375" bestFit="1" customWidth="1"/>
    <col min="36" max="36" width="27.33203125" bestFit="1" customWidth="1"/>
    <col min="37" max="37" width="1" customWidth="1"/>
    <col min="38" max="41" width="8.88671875" hidden="1" customWidth="1"/>
    <col min="42" max="42" width="20.44140625" hidden="1" customWidth="1"/>
    <col min="43" max="49" width="8.88671875" hidden="1" customWidth="1"/>
    <col min="50" max="50" width="27.33203125" bestFit="1" customWidth="1"/>
    <col min="138" max="138" width="12.33203125" bestFit="1" customWidth="1"/>
    <col min="139" max="139" width="14.5546875" bestFit="1" customWidth="1"/>
  </cols>
  <sheetData>
    <row r="1" spans="1:235" x14ac:dyDescent="0.3">
      <c r="A1" t="s">
        <v>2246</v>
      </c>
      <c r="B1" t="s">
        <v>2247</v>
      </c>
      <c r="C1" t="s">
        <v>2248</v>
      </c>
      <c r="D1" t="s">
        <v>2249</v>
      </c>
      <c r="E1" t="s">
        <v>2250</v>
      </c>
      <c r="F1" t="s">
        <v>2251</v>
      </c>
      <c r="G1" t="s">
        <v>2252</v>
      </c>
      <c r="H1" t="s">
        <v>2253</v>
      </c>
      <c r="I1" t="s">
        <v>2254</v>
      </c>
      <c r="J1" t="s">
        <v>2255</v>
      </c>
      <c r="K1" t="s">
        <v>2256</v>
      </c>
      <c r="L1" t="s">
        <v>2257</v>
      </c>
      <c r="M1" t="s">
        <v>2258</v>
      </c>
      <c r="N1" t="s">
        <v>2259</v>
      </c>
      <c r="O1" t="s">
        <v>2260</v>
      </c>
      <c r="P1" t="s">
        <v>2261</v>
      </c>
      <c r="Q1" t="s">
        <v>2262</v>
      </c>
      <c r="R1" t="s">
        <v>2263</v>
      </c>
      <c r="S1" t="s">
        <v>2264</v>
      </c>
      <c r="T1" t="s">
        <v>2265</v>
      </c>
      <c r="U1" t="s">
        <v>2266</v>
      </c>
      <c r="V1" t="s">
        <v>2267</v>
      </c>
      <c r="W1" t="s">
        <v>2268</v>
      </c>
      <c r="X1" t="s">
        <v>2269</v>
      </c>
      <c r="Y1" t="s">
        <v>2270</v>
      </c>
      <c r="Z1" t="s">
        <v>2271</v>
      </c>
      <c r="AA1" t="s">
        <v>2272</v>
      </c>
      <c r="AB1" t="s">
        <v>2273</v>
      </c>
      <c r="AC1" t="s">
        <v>2274</v>
      </c>
      <c r="AD1" t="s">
        <v>2275</v>
      </c>
      <c r="AE1" t="s">
        <v>2276</v>
      </c>
      <c r="AF1" t="s">
        <v>2277</v>
      </c>
      <c r="AG1" t="s">
        <v>2278</v>
      </c>
      <c r="AH1" t="s">
        <v>2279</v>
      </c>
      <c r="AI1" t="s">
        <v>2280</v>
      </c>
      <c r="AJ1" t="s">
        <v>2281</v>
      </c>
      <c r="AK1" t="s">
        <v>2282</v>
      </c>
      <c r="AL1" t="s">
        <v>2283</v>
      </c>
      <c r="AM1" t="s">
        <v>2284</v>
      </c>
      <c r="AN1" t="s">
        <v>2285</v>
      </c>
      <c r="AO1" t="s">
        <v>2286</v>
      </c>
      <c r="AP1" t="s">
        <v>2287</v>
      </c>
      <c r="AQ1" t="s">
        <v>2288</v>
      </c>
      <c r="AR1" t="s">
        <v>2289</v>
      </c>
      <c r="AS1" t="s">
        <v>2290</v>
      </c>
      <c r="AT1" t="s">
        <v>2291</v>
      </c>
      <c r="AU1" t="s">
        <v>2292</v>
      </c>
      <c r="AV1" t="s">
        <v>2293</v>
      </c>
      <c r="AW1" t="s">
        <v>2294</v>
      </c>
      <c r="AX1" t="s">
        <v>2295</v>
      </c>
      <c r="AY1" t="s">
        <v>2296</v>
      </c>
      <c r="AZ1" t="s">
        <v>2297</v>
      </c>
      <c r="BA1" t="s">
        <v>2298</v>
      </c>
      <c r="BB1" t="s">
        <v>2299</v>
      </c>
      <c r="BC1" t="s">
        <v>2300</v>
      </c>
      <c r="BD1" t="s">
        <v>2301</v>
      </c>
      <c r="BE1" t="s">
        <v>2302</v>
      </c>
      <c r="BF1" t="s">
        <v>2303</v>
      </c>
      <c r="BG1" t="s">
        <v>2304</v>
      </c>
      <c r="BH1" t="s">
        <v>2305</v>
      </c>
      <c r="BI1" t="s">
        <v>2306</v>
      </c>
      <c r="BJ1" t="s">
        <v>2307</v>
      </c>
      <c r="BK1" t="s">
        <v>2308</v>
      </c>
      <c r="BL1" t="s">
        <v>2309</v>
      </c>
      <c r="BM1" t="s">
        <v>2310</v>
      </c>
      <c r="BN1" t="s">
        <v>2311</v>
      </c>
      <c r="BO1" t="s">
        <v>2312</v>
      </c>
      <c r="BP1" t="s">
        <v>2313</v>
      </c>
      <c r="BQ1" t="s">
        <v>2314</v>
      </c>
      <c r="BR1" t="s">
        <v>2315</v>
      </c>
      <c r="BS1" t="s">
        <v>2316</v>
      </c>
      <c r="BT1" t="s">
        <v>2317</v>
      </c>
      <c r="BU1" t="s">
        <v>2318</v>
      </c>
      <c r="BV1" t="s">
        <v>2319</v>
      </c>
      <c r="BW1" t="s">
        <v>2320</v>
      </c>
      <c r="BX1" t="s">
        <v>2321</v>
      </c>
      <c r="BY1" t="s">
        <v>2322</v>
      </c>
      <c r="BZ1" t="s">
        <v>2323</v>
      </c>
      <c r="CA1" t="s">
        <v>2324</v>
      </c>
      <c r="CB1" t="s">
        <v>2325</v>
      </c>
      <c r="CC1" t="s">
        <v>2326</v>
      </c>
      <c r="CD1" t="s">
        <v>2327</v>
      </c>
      <c r="CE1" t="s">
        <v>2328</v>
      </c>
      <c r="CF1" t="s">
        <v>2329</v>
      </c>
      <c r="CG1" t="s">
        <v>2330</v>
      </c>
      <c r="CH1" t="s">
        <v>2331</v>
      </c>
      <c r="CI1" t="s">
        <v>2332</v>
      </c>
      <c r="CJ1" t="s">
        <v>2333</v>
      </c>
      <c r="CK1" t="s">
        <v>2334</v>
      </c>
      <c r="CL1" t="s">
        <v>2335</v>
      </c>
      <c r="CM1" t="s">
        <v>2336</v>
      </c>
      <c r="CN1" t="s">
        <v>2337</v>
      </c>
      <c r="CO1" t="s">
        <v>2338</v>
      </c>
      <c r="CP1" t="s">
        <v>2339</v>
      </c>
      <c r="CQ1" t="s">
        <v>2340</v>
      </c>
      <c r="CR1" t="s">
        <v>2341</v>
      </c>
      <c r="CS1" t="s">
        <v>2342</v>
      </c>
      <c r="CT1" t="s">
        <v>2343</v>
      </c>
      <c r="CU1" t="s">
        <v>2344</v>
      </c>
      <c r="CV1" t="s">
        <v>2345</v>
      </c>
      <c r="CW1" t="s">
        <v>519</v>
      </c>
      <c r="CX1" t="s">
        <v>2346</v>
      </c>
      <c r="CY1" t="s">
        <v>2347</v>
      </c>
      <c r="CZ1" t="s">
        <v>2348</v>
      </c>
      <c r="DA1" t="s">
        <v>2349</v>
      </c>
      <c r="DB1" t="s">
        <v>2350</v>
      </c>
      <c r="DC1" t="s">
        <v>2351</v>
      </c>
      <c r="DD1" t="s">
        <v>2352</v>
      </c>
      <c r="DE1" t="s">
        <v>2353</v>
      </c>
      <c r="DF1" t="s">
        <v>2354</v>
      </c>
      <c r="DG1" t="s">
        <v>2355</v>
      </c>
      <c r="DH1" t="s">
        <v>2356</v>
      </c>
      <c r="DI1" t="s">
        <v>2357</v>
      </c>
      <c r="DJ1" t="s">
        <v>2358</v>
      </c>
      <c r="DK1" t="s">
        <v>2359</v>
      </c>
      <c r="DL1" t="s">
        <v>2360</v>
      </c>
      <c r="DM1" t="s">
        <v>2361</v>
      </c>
      <c r="DN1" t="s">
        <v>2362</v>
      </c>
      <c r="DO1" t="s">
        <v>2363</v>
      </c>
      <c r="DP1" t="s">
        <v>2364</v>
      </c>
      <c r="DQ1" t="s">
        <v>2365</v>
      </c>
      <c r="DR1" t="s">
        <v>2366</v>
      </c>
      <c r="DS1" t="s">
        <v>2367</v>
      </c>
      <c r="DT1" t="s">
        <v>2368</v>
      </c>
      <c r="DU1" t="s">
        <v>2369</v>
      </c>
      <c r="DV1" t="s">
        <v>2370</v>
      </c>
      <c r="DW1" t="s">
        <v>2371</v>
      </c>
      <c r="DX1" t="s">
        <v>2372</v>
      </c>
      <c r="DY1" t="s">
        <v>2373</v>
      </c>
      <c r="DZ1" t="s">
        <v>2374</v>
      </c>
      <c r="EA1" t="s">
        <v>2375</v>
      </c>
      <c r="EB1" t="s">
        <v>2376</v>
      </c>
      <c r="EC1" t="s">
        <v>2377</v>
      </c>
      <c r="ED1" t="s">
        <v>2378</v>
      </c>
      <c r="EE1" t="s">
        <v>2379</v>
      </c>
      <c r="EF1" t="s">
        <v>2380</v>
      </c>
      <c r="EG1" t="s">
        <v>2381</v>
      </c>
      <c r="EH1" t="s">
        <v>2382</v>
      </c>
      <c r="EI1" t="s">
        <v>2478</v>
      </c>
      <c r="EJ1" t="s">
        <v>2479</v>
      </c>
      <c r="EK1" t="s">
        <v>2383</v>
      </c>
      <c r="EL1" t="s">
        <v>2384</v>
      </c>
      <c r="EM1" t="s">
        <v>2385</v>
      </c>
      <c r="EN1" t="s">
        <v>2386</v>
      </c>
      <c r="EO1" t="s">
        <v>2387</v>
      </c>
      <c r="EP1" t="s">
        <v>2388</v>
      </c>
      <c r="EQ1" t="s">
        <v>2389</v>
      </c>
      <c r="ER1" t="s">
        <v>2390</v>
      </c>
      <c r="ES1" t="s">
        <v>2391</v>
      </c>
      <c r="ET1" t="s">
        <v>2392</v>
      </c>
      <c r="EU1" t="s">
        <v>2393</v>
      </c>
      <c r="EV1" t="s">
        <v>2394</v>
      </c>
      <c r="EW1" t="s">
        <v>2395</v>
      </c>
      <c r="EX1" t="s">
        <v>2396</v>
      </c>
      <c r="EY1" t="s">
        <v>2397</v>
      </c>
      <c r="EZ1" t="s">
        <v>2398</v>
      </c>
      <c r="FA1" t="s">
        <v>2399</v>
      </c>
      <c r="FB1" t="s">
        <v>2400</v>
      </c>
      <c r="FC1" t="s">
        <v>2401</v>
      </c>
      <c r="FD1" t="s">
        <v>2402</v>
      </c>
      <c r="FE1" t="s">
        <v>2403</v>
      </c>
      <c r="FF1" t="s">
        <v>2404</v>
      </c>
      <c r="FG1" t="s">
        <v>2405</v>
      </c>
      <c r="FH1" t="s">
        <v>2406</v>
      </c>
      <c r="FI1" t="s">
        <v>2407</v>
      </c>
      <c r="FJ1" t="s">
        <v>2408</v>
      </c>
      <c r="FK1" t="s">
        <v>2409</v>
      </c>
      <c r="FL1" t="s">
        <v>2410</v>
      </c>
      <c r="FM1" t="s">
        <v>2411</v>
      </c>
      <c r="FN1" t="s">
        <v>2412</v>
      </c>
      <c r="FO1" t="s">
        <v>2413</v>
      </c>
      <c r="FP1" t="s">
        <v>2414</v>
      </c>
      <c r="FQ1" t="s">
        <v>2415</v>
      </c>
      <c r="FR1" t="s">
        <v>2416</v>
      </c>
      <c r="FS1" t="s">
        <v>2417</v>
      </c>
      <c r="FT1" t="s">
        <v>2418</v>
      </c>
      <c r="FU1" t="s">
        <v>2419</v>
      </c>
      <c r="FV1" t="s">
        <v>2420</v>
      </c>
      <c r="FW1" t="s">
        <v>2421</v>
      </c>
      <c r="FX1" t="s">
        <v>2422</v>
      </c>
      <c r="FY1" t="s">
        <v>2423</v>
      </c>
      <c r="FZ1" t="s">
        <v>2424</v>
      </c>
      <c r="GA1" t="s">
        <v>2425</v>
      </c>
      <c r="GB1" t="s">
        <v>2426</v>
      </c>
      <c r="GC1" t="s">
        <v>2427</v>
      </c>
      <c r="GD1" t="s">
        <v>2428</v>
      </c>
      <c r="GE1" t="s">
        <v>2429</v>
      </c>
      <c r="GF1" t="s">
        <v>2430</v>
      </c>
      <c r="GG1" t="s">
        <v>2431</v>
      </c>
      <c r="GH1" t="s">
        <v>2432</v>
      </c>
      <c r="GI1" t="s">
        <v>2433</v>
      </c>
      <c r="GJ1" t="s">
        <v>2434</v>
      </c>
      <c r="GK1" t="s">
        <v>2435</v>
      </c>
      <c r="GL1" t="s">
        <v>2436</v>
      </c>
      <c r="GM1" t="s">
        <v>2437</v>
      </c>
      <c r="GN1" t="s">
        <v>2438</v>
      </c>
      <c r="GO1" t="s">
        <v>2439</v>
      </c>
      <c r="GP1" t="s">
        <v>2440</v>
      </c>
      <c r="GQ1" t="s">
        <v>2441</v>
      </c>
      <c r="GR1" t="s">
        <v>2442</v>
      </c>
      <c r="GS1" t="s">
        <v>2443</v>
      </c>
      <c r="GT1" t="s">
        <v>2444</v>
      </c>
      <c r="GU1" t="s">
        <v>2445</v>
      </c>
      <c r="GV1" t="s">
        <v>2446</v>
      </c>
      <c r="GW1" t="s">
        <v>2447</v>
      </c>
      <c r="GX1" t="s">
        <v>2448</v>
      </c>
      <c r="GY1" t="s">
        <v>2449</v>
      </c>
      <c r="GZ1" t="s">
        <v>2450</v>
      </c>
      <c r="HA1" t="s">
        <v>2451</v>
      </c>
      <c r="HB1" t="s">
        <v>2452</v>
      </c>
      <c r="HC1" t="s">
        <v>2453</v>
      </c>
      <c r="HD1" t="s">
        <v>2454</v>
      </c>
      <c r="HE1" t="s">
        <v>2455</v>
      </c>
      <c r="HF1" t="s">
        <v>2456</v>
      </c>
      <c r="HG1" t="s">
        <v>2457</v>
      </c>
      <c r="HH1" t="s">
        <v>2458</v>
      </c>
      <c r="HI1" t="s">
        <v>2459</v>
      </c>
      <c r="HJ1" t="s">
        <v>2460</v>
      </c>
      <c r="HK1" t="s">
        <v>2461</v>
      </c>
      <c r="HL1" t="s">
        <v>2462</v>
      </c>
      <c r="HM1" t="s">
        <v>2463</v>
      </c>
      <c r="HN1" t="s">
        <v>2464</v>
      </c>
      <c r="HO1" t="s">
        <v>2465</v>
      </c>
      <c r="HP1" t="s">
        <v>2466</v>
      </c>
      <c r="HQ1" t="s">
        <v>2467</v>
      </c>
      <c r="HR1" t="s">
        <v>2468</v>
      </c>
      <c r="HS1" t="s">
        <v>2469</v>
      </c>
      <c r="HT1" t="s">
        <v>2470</v>
      </c>
      <c r="HU1" t="s">
        <v>2471</v>
      </c>
      <c r="HV1" t="s">
        <v>2472</v>
      </c>
      <c r="HW1" t="s">
        <v>2473</v>
      </c>
      <c r="HX1" t="s">
        <v>2474</v>
      </c>
      <c r="HY1" t="s">
        <v>2475</v>
      </c>
      <c r="HZ1" t="s">
        <v>2476</v>
      </c>
      <c r="IA1" t="s">
        <v>2477</v>
      </c>
    </row>
    <row r="2" spans="1:235" x14ac:dyDescent="0.3">
      <c r="A2" t="s">
        <v>1477</v>
      </c>
      <c r="B2" t="s">
        <v>1478</v>
      </c>
      <c r="C2" t="s">
        <v>1479</v>
      </c>
      <c r="D2" t="s">
        <v>1480</v>
      </c>
      <c r="E2" t="s">
        <v>3</v>
      </c>
      <c r="F2">
        <v>11</v>
      </c>
      <c r="O2" t="s">
        <v>1481</v>
      </c>
      <c r="P2" t="s">
        <v>1477</v>
      </c>
      <c r="T2" t="s">
        <v>5</v>
      </c>
      <c r="W2">
        <v>10</v>
      </c>
      <c r="Z2" t="s">
        <v>1482</v>
      </c>
      <c r="AA2" t="s">
        <v>77</v>
      </c>
      <c r="AC2" t="s">
        <v>2</v>
      </c>
      <c r="AE2" t="s">
        <v>8</v>
      </c>
      <c r="AF2" t="str">
        <f>"78629"</f>
        <v>78629</v>
      </c>
      <c r="AG2" t="str">
        <f>"78629-2705"</f>
        <v>78629-2705</v>
      </c>
      <c r="AH2" t="s">
        <v>2</v>
      </c>
      <c r="AI2" t="s">
        <v>152</v>
      </c>
      <c r="AJ2" t="s">
        <v>1483</v>
      </c>
      <c r="AK2" t="s">
        <v>1484</v>
      </c>
      <c r="AM2">
        <v>403</v>
      </c>
      <c r="AP2" t="s">
        <v>1485</v>
      </c>
      <c r="AQ2" t="s">
        <v>7</v>
      </c>
      <c r="AS2" t="s">
        <v>2</v>
      </c>
      <c r="AT2" t="s">
        <v>2</v>
      </c>
      <c r="AU2" t="s">
        <v>8</v>
      </c>
      <c r="AV2" t="str">
        <f>"78629-3501"</f>
        <v>78629-3501</v>
      </c>
      <c r="AW2" t="s">
        <v>281</v>
      </c>
      <c r="AX2" t="s">
        <v>1486</v>
      </c>
      <c r="AY2" t="s">
        <v>1487</v>
      </c>
      <c r="AZ2" t="s">
        <v>18</v>
      </c>
      <c r="BA2" t="s">
        <v>1488</v>
      </c>
      <c r="BB2" t="str">
        <f>"14878"</f>
        <v>14878</v>
      </c>
      <c r="BC2" t="str">
        <f>"14878"</f>
        <v>14878</v>
      </c>
      <c r="BD2" t="str">
        <f>"167902500911000000000"</f>
        <v>167902500911000000000</v>
      </c>
      <c r="BE2">
        <v>48177</v>
      </c>
      <c r="BG2">
        <v>200</v>
      </c>
      <c r="BH2">
        <v>1173</v>
      </c>
      <c r="BN2">
        <v>29.506880097816101</v>
      </c>
      <c r="BO2">
        <v>-97.424062137012797</v>
      </c>
      <c r="BP2" t="s">
        <v>1489</v>
      </c>
      <c r="BV2" t="s">
        <v>1482</v>
      </c>
      <c r="BX2" t="s">
        <v>22</v>
      </c>
      <c r="CA2" t="str">
        <f>"10|11"</f>
        <v>10|11</v>
      </c>
      <c r="CD2">
        <v>0</v>
      </c>
      <c r="CO2">
        <v>0</v>
      </c>
      <c r="EA2" s="1">
        <v>1</v>
      </c>
      <c r="EC2" t="s">
        <v>23</v>
      </c>
      <c r="ED2" t="s">
        <v>24</v>
      </c>
      <c r="EE2" t="s">
        <v>25</v>
      </c>
      <c r="EG2">
        <v>21985</v>
      </c>
      <c r="EH2">
        <v>0.5</v>
      </c>
      <c r="EI2">
        <f>23000*EH2</f>
        <v>11500</v>
      </c>
      <c r="EJ2">
        <f>EI2/2</f>
        <v>5750</v>
      </c>
      <c r="EK2">
        <v>159</v>
      </c>
      <c r="EL2">
        <v>198</v>
      </c>
      <c r="EM2">
        <v>6534</v>
      </c>
      <c r="EN2">
        <v>6534</v>
      </c>
      <c r="EW2" t="s">
        <v>26</v>
      </c>
      <c r="EX2" t="s">
        <v>64</v>
      </c>
      <c r="EY2" t="s">
        <v>65</v>
      </c>
      <c r="EZ2" s="2">
        <v>40515</v>
      </c>
      <c r="FA2" t="s">
        <v>29</v>
      </c>
      <c r="FB2" t="str">
        <f>"FALSE"</f>
        <v>FALSE</v>
      </c>
      <c r="FC2">
        <v>2019</v>
      </c>
      <c r="FD2">
        <v>2016</v>
      </c>
      <c r="FE2" t="s">
        <v>30</v>
      </c>
      <c r="FF2" t="s">
        <v>31</v>
      </c>
      <c r="FG2" t="s">
        <v>31</v>
      </c>
      <c r="FH2" t="s">
        <v>31</v>
      </c>
      <c r="FI2" t="s">
        <v>31</v>
      </c>
      <c r="FJ2" t="s">
        <v>31</v>
      </c>
      <c r="FK2" t="s">
        <v>31</v>
      </c>
      <c r="FL2" t="s">
        <v>31</v>
      </c>
      <c r="FM2" t="s">
        <v>31</v>
      </c>
      <c r="FN2" t="s">
        <v>31</v>
      </c>
      <c r="FO2" t="s">
        <v>31</v>
      </c>
      <c r="FP2" t="s">
        <v>31</v>
      </c>
      <c r="FQ2" t="s">
        <v>31</v>
      </c>
      <c r="FR2" t="s">
        <v>31</v>
      </c>
      <c r="FS2" s="3">
        <v>26780</v>
      </c>
      <c r="FT2" s="3">
        <v>26780</v>
      </c>
      <c r="FW2" s="3">
        <v>26780</v>
      </c>
      <c r="FX2" s="3">
        <v>26780</v>
      </c>
      <c r="GE2" s="3">
        <v>593.98</v>
      </c>
      <c r="GG2" s="3">
        <v>26780</v>
      </c>
      <c r="GI2" t="s">
        <v>32</v>
      </c>
      <c r="GL2" t="s">
        <v>273</v>
      </c>
      <c r="GM2" t="s">
        <v>34</v>
      </c>
      <c r="GN2" t="s">
        <v>35</v>
      </c>
      <c r="GS2" t="str">
        <f>""</f>
        <v/>
      </c>
      <c r="GT2" t="str">
        <f>""</f>
        <v/>
      </c>
      <c r="GV2" s="2">
        <v>38842</v>
      </c>
      <c r="GW2" s="3">
        <v>0</v>
      </c>
      <c r="GY2" t="s">
        <v>36</v>
      </c>
      <c r="GZ2" t="s">
        <v>37</v>
      </c>
      <c r="HF2" t="str">
        <f>""</f>
        <v/>
      </c>
      <c r="HK2" t="str">
        <f>""</f>
        <v/>
      </c>
      <c r="HN2" t="s">
        <v>38</v>
      </c>
      <c r="HP2" t="str">
        <f>"0009430673"</f>
        <v>0009430673</v>
      </c>
      <c r="HZ2" t="str">
        <f>""</f>
        <v/>
      </c>
      <c r="IA2" t="str">
        <f>HYPERLINK("https://web.datatree.com/?/property?propertyId=128793413")</f>
        <v>https://web.datatree.com/?/property?propertyId=128793413</v>
      </c>
    </row>
    <row r="3" spans="1:235" x14ac:dyDescent="0.3">
      <c r="A3" t="s">
        <v>440</v>
      </c>
      <c r="B3" t="s">
        <v>441</v>
      </c>
      <c r="C3" t="s">
        <v>442</v>
      </c>
      <c r="D3" t="s">
        <v>443</v>
      </c>
      <c r="E3" t="s">
        <v>3</v>
      </c>
      <c r="F3">
        <v>2</v>
      </c>
      <c r="G3" t="s">
        <v>444</v>
      </c>
      <c r="H3" t="s">
        <v>445</v>
      </c>
      <c r="I3" t="s">
        <v>445</v>
      </c>
      <c r="J3" t="s">
        <v>443</v>
      </c>
      <c r="K3" t="s">
        <v>3</v>
      </c>
      <c r="L3">
        <v>2</v>
      </c>
      <c r="O3" t="s">
        <v>446</v>
      </c>
      <c r="P3" t="s">
        <v>447</v>
      </c>
      <c r="T3" t="s">
        <v>55</v>
      </c>
      <c r="W3">
        <v>317</v>
      </c>
      <c r="Z3" t="s">
        <v>448</v>
      </c>
      <c r="AA3" t="s">
        <v>7</v>
      </c>
      <c r="AC3" t="s">
        <v>2</v>
      </c>
      <c r="AE3" t="s">
        <v>8</v>
      </c>
      <c r="AF3" t="str">
        <f>"78629"</f>
        <v>78629</v>
      </c>
      <c r="AG3" t="str">
        <f>"78629-2037"</f>
        <v>78629-2037</v>
      </c>
      <c r="AH3" t="s">
        <v>2</v>
      </c>
      <c r="AI3" t="s">
        <v>80</v>
      </c>
      <c r="AJ3" t="s">
        <v>449</v>
      </c>
      <c r="AK3" t="s">
        <v>450</v>
      </c>
      <c r="AP3" t="s">
        <v>451</v>
      </c>
      <c r="AS3" t="s">
        <v>2</v>
      </c>
      <c r="AT3" t="s">
        <v>2</v>
      </c>
      <c r="AU3" t="s">
        <v>8</v>
      </c>
      <c r="AV3" t="str">
        <f>"78629"</f>
        <v>78629</v>
      </c>
      <c r="AW3" t="s">
        <v>452</v>
      </c>
      <c r="AX3" t="s">
        <v>453</v>
      </c>
      <c r="AY3" t="s">
        <v>454</v>
      </c>
      <c r="AZ3" t="s">
        <v>18</v>
      </c>
      <c r="BA3" t="s">
        <v>455</v>
      </c>
      <c r="BB3" t="str">
        <f>"13004"</f>
        <v>13004</v>
      </c>
      <c r="BC3" t="str">
        <f>"13004"</f>
        <v>13004</v>
      </c>
      <c r="BD3" t="str">
        <f>"164004500151640000000"</f>
        <v>164004500151640000000</v>
      </c>
      <c r="BE3">
        <v>48177</v>
      </c>
      <c r="BG3">
        <v>400</v>
      </c>
      <c r="BH3">
        <v>1021</v>
      </c>
      <c r="BN3">
        <v>29.516647481550599</v>
      </c>
      <c r="BO3">
        <v>-97.460653415774104</v>
      </c>
      <c r="BX3" t="s">
        <v>22</v>
      </c>
      <c r="CA3" t="str">
        <f>""</f>
        <v/>
      </c>
      <c r="CD3">
        <v>0</v>
      </c>
      <c r="CO3">
        <v>0</v>
      </c>
      <c r="EA3" s="1">
        <v>1</v>
      </c>
      <c r="EC3" t="s">
        <v>23</v>
      </c>
      <c r="ED3" t="s">
        <v>24</v>
      </c>
      <c r="EE3" t="s">
        <v>25</v>
      </c>
      <c r="EG3">
        <v>21954</v>
      </c>
      <c r="EH3">
        <v>0.5</v>
      </c>
      <c r="EI3">
        <f t="shared" ref="EI3:EI66" si="0">23000*EH3</f>
        <v>11500</v>
      </c>
      <c r="EJ3">
        <f t="shared" ref="EJ3:EJ66" si="1">EI3/2</f>
        <v>5750</v>
      </c>
      <c r="EK3">
        <v>109.7</v>
      </c>
      <c r="EL3">
        <v>200</v>
      </c>
      <c r="EW3" t="s">
        <v>26</v>
      </c>
      <c r="EX3" t="s">
        <v>27</v>
      </c>
      <c r="EY3" t="s">
        <v>28</v>
      </c>
      <c r="EZ3" s="2">
        <v>40515</v>
      </c>
      <c r="FA3" t="s">
        <v>29</v>
      </c>
      <c r="FB3" t="str">
        <f>"FALSE"</f>
        <v>FALSE</v>
      </c>
      <c r="FC3">
        <v>2019</v>
      </c>
      <c r="FD3">
        <v>2016</v>
      </c>
      <c r="FE3" t="s">
        <v>30</v>
      </c>
      <c r="FF3" t="s">
        <v>31</v>
      </c>
      <c r="FG3" t="s">
        <v>31</v>
      </c>
      <c r="FH3" t="s">
        <v>31</v>
      </c>
      <c r="FI3" t="s">
        <v>31</v>
      </c>
      <c r="FJ3" t="s">
        <v>31</v>
      </c>
      <c r="FK3" t="s">
        <v>31</v>
      </c>
      <c r="FL3" t="s">
        <v>31</v>
      </c>
      <c r="FM3" t="s">
        <v>31</v>
      </c>
      <c r="FN3" t="s">
        <v>31</v>
      </c>
      <c r="FO3" t="s">
        <v>31</v>
      </c>
      <c r="FP3" t="s">
        <v>31</v>
      </c>
      <c r="FQ3" t="s">
        <v>31</v>
      </c>
      <c r="FR3" t="s">
        <v>31</v>
      </c>
      <c r="FS3" s="3">
        <v>30240</v>
      </c>
      <c r="FT3" s="3">
        <v>30240</v>
      </c>
      <c r="FW3" s="3">
        <v>30240</v>
      </c>
      <c r="FX3" s="3">
        <v>30240</v>
      </c>
      <c r="GE3" s="3">
        <v>670.72</v>
      </c>
      <c r="GG3" s="3">
        <v>30240</v>
      </c>
      <c r="GI3" t="s">
        <v>32</v>
      </c>
      <c r="GL3" t="s">
        <v>33</v>
      </c>
      <c r="GM3" t="s">
        <v>34</v>
      </c>
      <c r="GN3" t="s">
        <v>35</v>
      </c>
      <c r="GS3" t="str">
        <f>""</f>
        <v/>
      </c>
      <c r="GT3" t="str">
        <f>""</f>
        <v/>
      </c>
      <c r="GV3" s="2">
        <v>38957</v>
      </c>
      <c r="GW3" s="3">
        <v>0</v>
      </c>
      <c r="GY3" t="s">
        <v>36</v>
      </c>
      <c r="GZ3" t="s">
        <v>37</v>
      </c>
      <c r="HF3" t="str">
        <f>""</f>
        <v/>
      </c>
      <c r="HK3" t="str">
        <f>""</f>
        <v/>
      </c>
      <c r="HN3" t="s">
        <v>38</v>
      </c>
      <c r="HP3" t="str">
        <f>"0009550678"</f>
        <v>0009550678</v>
      </c>
      <c r="HZ3" t="str">
        <f>""</f>
        <v/>
      </c>
      <c r="IA3" t="str">
        <f>HYPERLINK("https://web.datatree.com/?/property?propertyId=128791965")</f>
        <v>https://web.datatree.com/?/property?propertyId=128791965</v>
      </c>
    </row>
    <row r="4" spans="1:235" x14ac:dyDescent="0.3">
      <c r="A4" t="s">
        <v>876</v>
      </c>
      <c r="B4" t="s">
        <v>877</v>
      </c>
      <c r="C4" t="s">
        <v>353</v>
      </c>
      <c r="D4" t="s">
        <v>878</v>
      </c>
      <c r="E4" t="s">
        <v>3</v>
      </c>
      <c r="F4">
        <v>3</v>
      </c>
      <c r="G4" t="s">
        <v>879</v>
      </c>
      <c r="H4" t="s">
        <v>880</v>
      </c>
      <c r="I4" t="s">
        <v>881</v>
      </c>
      <c r="J4" t="s">
        <v>878</v>
      </c>
      <c r="K4" t="s">
        <v>3</v>
      </c>
      <c r="L4">
        <v>3</v>
      </c>
      <c r="O4" t="s">
        <v>882</v>
      </c>
      <c r="P4" t="s">
        <v>883</v>
      </c>
      <c r="T4" t="s">
        <v>55</v>
      </c>
      <c r="Z4" t="s">
        <v>884</v>
      </c>
      <c r="AC4" t="s">
        <v>2</v>
      </c>
      <c r="AE4" t="s">
        <v>8</v>
      </c>
      <c r="AF4" t="str">
        <f>"78629"</f>
        <v>78629</v>
      </c>
      <c r="AG4" t="str">
        <f>"78629"</f>
        <v>78629</v>
      </c>
      <c r="AH4" t="s">
        <v>2</v>
      </c>
      <c r="AJ4" t="s">
        <v>885</v>
      </c>
      <c r="AK4" t="s">
        <v>886</v>
      </c>
      <c r="AM4">
        <v>1033</v>
      </c>
      <c r="AO4" t="s">
        <v>52</v>
      </c>
      <c r="AP4" t="s">
        <v>887</v>
      </c>
      <c r="AQ4" t="s">
        <v>77</v>
      </c>
      <c r="AS4" t="s">
        <v>888</v>
      </c>
      <c r="AU4" t="s">
        <v>8</v>
      </c>
      <c r="AV4" t="str">
        <f>"78620-4271"</f>
        <v>78620-4271</v>
      </c>
      <c r="AW4" t="s">
        <v>60</v>
      </c>
      <c r="AX4" t="s">
        <v>889</v>
      </c>
      <c r="AY4" t="s">
        <v>890</v>
      </c>
      <c r="AZ4" t="s">
        <v>18</v>
      </c>
      <c r="BA4" t="s">
        <v>891</v>
      </c>
      <c r="BB4" t="str">
        <f>"23697"</f>
        <v>23697</v>
      </c>
      <c r="BC4" t="str">
        <f>"23697"</f>
        <v>23697</v>
      </c>
      <c r="BD4" t="str">
        <f>"905910100004000000000"</f>
        <v>905910100004000000000</v>
      </c>
      <c r="BE4">
        <v>48177</v>
      </c>
      <c r="BG4">
        <v>400</v>
      </c>
      <c r="BH4">
        <v>2001</v>
      </c>
      <c r="BN4">
        <v>29.469147337671298</v>
      </c>
      <c r="BO4">
        <v>-97.5008848725452</v>
      </c>
      <c r="BP4" t="s">
        <v>748</v>
      </c>
      <c r="BX4" t="s">
        <v>22</v>
      </c>
      <c r="CA4" t="str">
        <f>"4"</f>
        <v>4</v>
      </c>
      <c r="CB4" t="s">
        <v>5</v>
      </c>
      <c r="CD4">
        <v>0</v>
      </c>
      <c r="CO4">
        <v>0</v>
      </c>
      <c r="EA4" s="1">
        <v>1</v>
      </c>
      <c r="EC4" t="s">
        <v>23</v>
      </c>
      <c r="ED4" t="s">
        <v>24</v>
      </c>
      <c r="EE4" t="s">
        <v>25</v>
      </c>
      <c r="EG4">
        <v>21780</v>
      </c>
      <c r="EH4">
        <v>0.5</v>
      </c>
      <c r="EI4">
        <f t="shared" si="0"/>
        <v>11500</v>
      </c>
      <c r="EJ4">
        <f t="shared" si="1"/>
        <v>5750</v>
      </c>
      <c r="EW4" t="s">
        <v>270</v>
      </c>
      <c r="EX4" t="s">
        <v>683</v>
      </c>
      <c r="EY4" t="s">
        <v>684</v>
      </c>
      <c r="EZ4" s="2">
        <v>40515</v>
      </c>
      <c r="FA4" t="s">
        <v>143</v>
      </c>
      <c r="FB4" t="str">
        <f>"TRUE"</f>
        <v>TRUE</v>
      </c>
      <c r="FC4">
        <v>2019</v>
      </c>
      <c r="FD4">
        <v>2016</v>
      </c>
      <c r="FE4" t="s">
        <v>30</v>
      </c>
      <c r="FF4" t="s">
        <v>31</v>
      </c>
      <c r="FG4" t="s">
        <v>31</v>
      </c>
      <c r="FH4" t="s">
        <v>31</v>
      </c>
      <c r="FI4" t="s">
        <v>31</v>
      </c>
      <c r="FJ4" t="s">
        <v>31</v>
      </c>
      <c r="FK4" t="s">
        <v>31</v>
      </c>
      <c r="FL4" t="s">
        <v>31</v>
      </c>
      <c r="FM4" t="s">
        <v>31</v>
      </c>
      <c r="FN4" t="s">
        <v>31</v>
      </c>
      <c r="FO4" t="s">
        <v>31</v>
      </c>
      <c r="FP4" t="s">
        <v>31</v>
      </c>
      <c r="FQ4" t="s">
        <v>31</v>
      </c>
      <c r="FR4" t="s">
        <v>31</v>
      </c>
      <c r="FS4" s="3">
        <v>19620</v>
      </c>
      <c r="FT4" s="3">
        <v>15000</v>
      </c>
      <c r="FU4" s="3">
        <v>4620</v>
      </c>
      <c r="FV4">
        <v>23.55</v>
      </c>
      <c r="FW4" s="3">
        <v>19620</v>
      </c>
      <c r="FX4" s="3">
        <v>15000</v>
      </c>
      <c r="FY4" s="3">
        <v>4620</v>
      </c>
      <c r="FZ4">
        <v>23.55</v>
      </c>
      <c r="GE4" s="3">
        <v>306.17</v>
      </c>
      <c r="GG4" s="3">
        <v>19620</v>
      </c>
      <c r="GI4" t="s">
        <v>32</v>
      </c>
      <c r="GL4" t="s">
        <v>273</v>
      </c>
      <c r="GM4" t="s">
        <v>34</v>
      </c>
      <c r="GN4" t="s">
        <v>35</v>
      </c>
      <c r="GS4" t="str">
        <f>""</f>
        <v/>
      </c>
      <c r="GT4" t="str">
        <f>""</f>
        <v/>
      </c>
      <c r="GU4" s="2">
        <v>42123</v>
      </c>
      <c r="GV4" s="2">
        <v>42124</v>
      </c>
      <c r="GW4" s="3">
        <v>51000</v>
      </c>
      <c r="GX4" t="s">
        <v>892</v>
      </c>
      <c r="GY4" t="s">
        <v>893</v>
      </c>
      <c r="GZ4" t="s">
        <v>894</v>
      </c>
      <c r="HB4" s="3">
        <v>40800</v>
      </c>
      <c r="HC4" t="s">
        <v>895</v>
      </c>
      <c r="HF4" t="str">
        <f>"280954"</f>
        <v>280954</v>
      </c>
      <c r="HK4" t="str">
        <f>""</f>
        <v/>
      </c>
      <c r="HL4" t="s">
        <v>896</v>
      </c>
      <c r="HM4" t="s">
        <v>897</v>
      </c>
      <c r="HN4" t="s">
        <v>38</v>
      </c>
      <c r="HP4" t="str">
        <f>"280953"</f>
        <v>280953</v>
      </c>
      <c r="HQ4" s="2">
        <v>42123</v>
      </c>
      <c r="HR4" s="2">
        <v>42124</v>
      </c>
      <c r="HS4" s="3">
        <v>51000</v>
      </c>
      <c r="HT4" t="s">
        <v>893</v>
      </c>
      <c r="HU4" t="s">
        <v>896</v>
      </c>
      <c r="HV4" s="3">
        <v>40800</v>
      </c>
      <c r="HW4" t="s">
        <v>895</v>
      </c>
      <c r="HZ4" t="str">
        <f>"1196.780"</f>
        <v>1196.780</v>
      </c>
      <c r="IA4" t="str">
        <f>HYPERLINK("https://web.datatree.com/?/property?propertyId=128798272")</f>
        <v>https://web.datatree.com/?/property?propertyId=128798272</v>
      </c>
    </row>
    <row r="5" spans="1:235" x14ac:dyDescent="0.3">
      <c r="A5" t="s">
        <v>898</v>
      </c>
      <c r="B5" t="s">
        <v>899</v>
      </c>
      <c r="C5" t="s">
        <v>900</v>
      </c>
      <c r="D5" t="s">
        <v>901</v>
      </c>
      <c r="E5" t="s">
        <v>3</v>
      </c>
      <c r="F5">
        <v>4</v>
      </c>
      <c r="G5" t="s">
        <v>902</v>
      </c>
      <c r="H5" t="s">
        <v>903</v>
      </c>
      <c r="I5" t="s">
        <v>904</v>
      </c>
      <c r="J5" t="s">
        <v>901</v>
      </c>
      <c r="K5" t="s">
        <v>3</v>
      </c>
      <c r="L5">
        <v>4</v>
      </c>
      <c r="O5" t="s">
        <v>905</v>
      </c>
      <c r="P5" t="s">
        <v>906</v>
      </c>
      <c r="Q5" t="s">
        <v>907</v>
      </c>
      <c r="T5" t="s">
        <v>55</v>
      </c>
      <c r="Z5" t="s">
        <v>884</v>
      </c>
      <c r="AC5" t="s">
        <v>2</v>
      </c>
      <c r="AE5" t="s">
        <v>8</v>
      </c>
      <c r="AF5" t="str">
        <f>"78629"</f>
        <v>78629</v>
      </c>
      <c r="AG5" t="str">
        <f>"78629"</f>
        <v>78629</v>
      </c>
      <c r="AH5" t="s">
        <v>2</v>
      </c>
      <c r="AJ5" t="s">
        <v>885</v>
      </c>
      <c r="AK5" t="s">
        <v>886</v>
      </c>
      <c r="AM5">
        <v>16531</v>
      </c>
      <c r="AP5" t="s">
        <v>908</v>
      </c>
      <c r="AQ5" t="s">
        <v>77</v>
      </c>
      <c r="AS5" t="s">
        <v>374</v>
      </c>
      <c r="AU5" t="s">
        <v>8</v>
      </c>
      <c r="AV5" t="str">
        <f>"77095-6579"</f>
        <v>77095-6579</v>
      </c>
      <c r="AW5" t="s">
        <v>909</v>
      </c>
      <c r="AX5" t="s">
        <v>910</v>
      </c>
      <c r="AY5" t="s">
        <v>911</v>
      </c>
      <c r="AZ5" t="s">
        <v>18</v>
      </c>
      <c r="BA5" t="s">
        <v>912</v>
      </c>
      <c r="BB5" t="str">
        <f>"23698"</f>
        <v>23698</v>
      </c>
      <c r="BC5" t="str">
        <f>"23698"</f>
        <v>23698</v>
      </c>
      <c r="BD5" t="str">
        <f>"905910100005000000000"</f>
        <v>905910100005000000000</v>
      </c>
      <c r="BE5">
        <v>48177</v>
      </c>
      <c r="BG5">
        <v>400</v>
      </c>
      <c r="BH5">
        <v>2001</v>
      </c>
      <c r="BN5">
        <v>29.469220568463399</v>
      </c>
      <c r="BO5">
        <v>-97.500358372129199</v>
      </c>
      <c r="BP5" t="s">
        <v>748</v>
      </c>
      <c r="BX5" t="s">
        <v>22</v>
      </c>
      <c r="CA5" t="str">
        <f>"5"</f>
        <v>5</v>
      </c>
      <c r="CB5" t="s">
        <v>5</v>
      </c>
      <c r="CD5">
        <v>0</v>
      </c>
      <c r="CO5">
        <v>0</v>
      </c>
      <c r="EA5" s="1">
        <v>1</v>
      </c>
      <c r="EC5" t="s">
        <v>23</v>
      </c>
      <c r="ED5" t="s">
        <v>24</v>
      </c>
      <c r="EE5" t="s">
        <v>25</v>
      </c>
      <c r="EF5" t="s">
        <v>26</v>
      </c>
      <c r="EG5">
        <v>21780</v>
      </c>
      <c r="EH5">
        <v>0.5</v>
      </c>
      <c r="EI5">
        <f t="shared" si="0"/>
        <v>11500</v>
      </c>
      <c r="EJ5">
        <f t="shared" si="1"/>
        <v>5750</v>
      </c>
      <c r="EW5" t="s">
        <v>270</v>
      </c>
      <c r="EX5" t="s">
        <v>683</v>
      </c>
      <c r="EY5" t="s">
        <v>684</v>
      </c>
      <c r="EZ5" s="2">
        <v>40515</v>
      </c>
      <c r="FA5" t="s">
        <v>143</v>
      </c>
      <c r="FB5" t="str">
        <f>"TRUE"</f>
        <v>TRUE</v>
      </c>
      <c r="FC5">
        <v>2019</v>
      </c>
      <c r="FD5">
        <v>2016</v>
      </c>
      <c r="FE5" t="s">
        <v>30</v>
      </c>
      <c r="FF5" t="s">
        <v>31</v>
      </c>
      <c r="FG5" t="s">
        <v>31</v>
      </c>
      <c r="FH5" t="s">
        <v>31</v>
      </c>
      <c r="FI5" t="s">
        <v>31</v>
      </c>
      <c r="FJ5" t="s">
        <v>31</v>
      </c>
      <c r="FK5" t="s">
        <v>31</v>
      </c>
      <c r="FL5" t="s">
        <v>31</v>
      </c>
      <c r="FM5" t="s">
        <v>31</v>
      </c>
      <c r="FN5" t="s">
        <v>31</v>
      </c>
      <c r="FO5" t="s">
        <v>31</v>
      </c>
      <c r="FP5" t="s">
        <v>31</v>
      </c>
      <c r="FQ5" t="s">
        <v>31</v>
      </c>
      <c r="FR5" t="s">
        <v>31</v>
      </c>
      <c r="FS5" s="3">
        <v>25920</v>
      </c>
      <c r="FT5" s="3">
        <v>15000</v>
      </c>
      <c r="FU5" s="3">
        <v>10920</v>
      </c>
      <c r="FV5">
        <v>42.13</v>
      </c>
      <c r="FW5" s="3">
        <v>25920</v>
      </c>
      <c r="FX5" s="3">
        <v>15000</v>
      </c>
      <c r="FY5" s="3">
        <v>10920</v>
      </c>
      <c r="FZ5">
        <v>42.13</v>
      </c>
      <c r="GE5" s="3">
        <v>306.17</v>
      </c>
      <c r="GG5" s="3">
        <v>25920</v>
      </c>
      <c r="GI5" t="s">
        <v>32</v>
      </c>
      <c r="GL5" t="s">
        <v>273</v>
      </c>
      <c r="GM5" t="s">
        <v>34</v>
      </c>
      <c r="GN5" t="s">
        <v>35</v>
      </c>
      <c r="GO5" s="2">
        <v>42474</v>
      </c>
      <c r="GP5" s="2">
        <v>42481</v>
      </c>
      <c r="GQ5" s="3">
        <v>0</v>
      </c>
      <c r="GR5" t="s">
        <v>586</v>
      </c>
      <c r="GS5" t="str">
        <f>""</f>
        <v/>
      </c>
      <c r="GT5" t="str">
        <f>"285366"</f>
        <v>285366</v>
      </c>
      <c r="GV5" s="2">
        <v>39624</v>
      </c>
      <c r="GW5" s="3">
        <v>0</v>
      </c>
      <c r="GY5" t="s">
        <v>36</v>
      </c>
      <c r="GZ5" t="s">
        <v>37</v>
      </c>
      <c r="HF5" t="str">
        <f>""</f>
        <v/>
      </c>
      <c r="HK5" t="str">
        <f>""</f>
        <v/>
      </c>
      <c r="HN5" t="s">
        <v>38</v>
      </c>
      <c r="HP5" t="str">
        <f>"0009850032"</f>
        <v>0009850032</v>
      </c>
      <c r="HZ5" t="str">
        <f>""</f>
        <v/>
      </c>
      <c r="IA5" t="str">
        <f>HYPERLINK("https://web.datatree.com/?/property?propertyId=128798273")</f>
        <v>https://web.datatree.com/?/property?propertyId=128798273</v>
      </c>
    </row>
    <row r="6" spans="1:235" x14ac:dyDescent="0.3">
      <c r="A6" t="s">
        <v>750</v>
      </c>
      <c r="B6" t="s">
        <v>751</v>
      </c>
      <c r="C6" t="s">
        <v>751</v>
      </c>
      <c r="D6" t="s">
        <v>752</v>
      </c>
      <c r="E6" t="s">
        <v>3</v>
      </c>
      <c r="F6">
        <v>5</v>
      </c>
      <c r="G6" t="s">
        <v>753</v>
      </c>
      <c r="H6" t="s">
        <v>754</v>
      </c>
      <c r="I6" t="s">
        <v>754</v>
      </c>
      <c r="J6" t="s">
        <v>752</v>
      </c>
      <c r="K6" t="s">
        <v>3</v>
      </c>
      <c r="L6">
        <v>1</v>
      </c>
      <c r="O6" t="s">
        <v>755</v>
      </c>
      <c r="P6" t="s">
        <v>756</v>
      </c>
      <c r="T6" t="s">
        <v>55</v>
      </c>
      <c r="Z6" t="s">
        <v>739</v>
      </c>
      <c r="AA6" t="s">
        <v>740</v>
      </c>
      <c r="AC6" t="s">
        <v>2</v>
      </c>
      <c r="AE6" t="s">
        <v>8</v>
      </c>
      <c r="AF6" t="str">
        <f>"78629"</f>
        <v>78629</v>
      </c>
      <c r="AG6" t="str">
        <f>"78629"</f>
        <v>78629</v>
      </c>
      <c r="AH6" t="s">
        <v>2</v>
      </c>
      <c r="AJ6" t="s">
        <v>741</v>
      </c>
      <c r="AK6" t="s">
        <v>742</v>
      </c>
      <c r="AP6" t="s">
        <v>757</v>
      </c>
      <c r="AS6" t="s">
        <v>758</v>
      </c>
      <c r="AT6" t="s">
        <v>759</v>
      </c>
      <c r="AU6" t="s">
        <v>8</v>
      </c>
      <c r="AV6" t="str">
        <f>"78123"</f>
        <v>78123</v>
      </c>
      <c r="AW6" t="s">
        <v>307</v>
      </c>
      <c r="AX6" t="s">
        <v>760</v>
      </c>
      <c r="AY6" t="s">
        <v>761</v>
      </c>
      <c r="AZ6" t="s">
        <v>18</v>
      </c>
      <c r="BA6" t="s">
        <v>762</v>
      </c>
      <c r="BB6" t="str">
        <f>"23708"</f>
        <v>23708</v>
      </c>
      <c r="BC6" t="str">
        <f>"23708"</f>
        <v>23708</v>
      </c>
      <c r="BD6" t="str">
        <f>"905910200002000000000"</f>
        <v>905910200002000000000</v>
      </c>
      <c r="BE6">
        <v>48177</v>
      </c>
      <c r="BG6">
        <v>400</v>
      </c>
      <c r="BH6">
        <v>2001</v>
      </c>
      <c r="BN6">
        <v>29.469797549434201</v>
      </c>
      <c r="BO6">
        <v>-97.501246875468496</v>
      </c>
      <c r="BP6" t="s">
        <v>748</v>
      </c>
      <c r="BX6" t="s">
        <v>22</v>
      </c>
      <c r="CA6" t="str">
        <f>"2"</f>
        <v>2</v>
      </c>
      <c r="CB6" t="s">
        <v>749</v>
      </c>
      <c r="CD6">
        <v>0</v>
      </c>
      <c r="CO6">
        <v>0</v>
      </c>
      <c r="DA6" t="s">
        <v>131</v>
      </c>
      <c r="EA6" s="1">
        <v>1</v>
      </c>
      <c r="EC6" t="s">
        <v>23</v>
      </c>
      <c r="ED6" t="s">
        <v>24</v>
      </c>
      <c r="EE6" t="s">
        <v>25</v>
      </c>
      <c r="EG6">
        <v>21780</v>
      </c>
      <c r="EH6">
        <v>0.5</v>
      </c>
      <c r="EI6">
        <f t="shared" si="0"/>
        <v>11500</v>
      </c>
      <c r="EJ6">
        <f t="shared" si="1"/>
        <v>5750</v>
      </c>
      <c r="ER6">
        <v>1</v>
      </c>
      <c r="EW6" t="s">
        <v>270</v>
      </c>
      <c r="EX6" t="s">
        <v>683</v>
      </c>
      <c r="EY6" t="s">
        <v>684</v>
      </c>
      <c r="EZ6" s="2">
        <v>40515</v>
      </c>
      <c r="FA6" t="s">
        <v>143</v>
      </c>
      <c r="FB6" t="str">
        <f>"TRUE"</f>
        <v>TRUE</v>
      </c>
      <c r="FC6">
        <v>2019</v>
      </c>
      <c r="FD6">
        <v>2016</v>
      </c>
      <c r="FE6" t="s">
        <v>30</v>
      </c>
      <c r="FF6" t="s">
        <v>31</v>
      </c>
      <c r="FG6" t="s">
        <v>31</v>
      </c>
      <c r="FH6" t="s">
        <v>31</v>
      </c>
      <c r="FI6" t="s">
        <v>31</v>
      </c>
      <c r="FJ6" t="s">
        <v>31</v>
      </c>
      <c r="FK6" t="s">
        <v>31</v>
      </c>
      <c r="FL6" t="s">
        <v>31</v>
      </c>
      <c r="FM6" t="s">
        <v>31</v>
      </c>
      <c r="FN6" t="s">
        <v>31</v>
      </c>
      <c r="FO6" t="s">
        <v>31</v>
      </c>
      <c r="FP6" t="s">
        <v>31</v>
      </c>
      <c r="FQ6" t="s">
        <v>31</v>
      </c>
      <c r="FR6" t="s">
        <v>31</v>
      </c>
      <c r="FS6" s="3">
        <v>22600</v>
      </c>
      <c r="FT6" s="3">
        <v>15000</v>
      </c>
      <c r="FU6" s="3">
        <v>7600</v>
      </c>
      <c r="FV6">
        <v>33.630000000000003</v>
      </c>
      <c r="FW6" s="3">
        <v>22600</v>
      </c>
      <c r="FX6" s="3">
        <v>15000</v>
      </c>
      <c r="FY6" s="3">
        <v>7600</v>
      </c>
      <c r="FZ6">
        <v>33.630000000000003</v>
      </c>
      <c r="GE6" s="3">
        <v>452.92</v>
      </c>
      <c r="GG6" s="3">
        <v>22600</v>
      </c>
      <c r="GI6" t="s">
        <v>32</v>
      </c>
      <c r="GL6" t="s">
        <v>273</v>
      </c>
      <c r="GM6" t="s">
        <v>34</v>
      </c>
      <c r="GN6" t="s">
        <v>35</v>
      </c>
      <c r="GS6" t="str">
        <f>""</f>
        <v/>
      </c>
      <c r="GT6" t="str">
        <f>""</f>
        <v/>
      </c>
      <c r="GV6" s="2">
        <v>38683</v>
      </c>
      <c r="GW6" s="3">
        <v>0</v>
      </c>
      <c r="GY6" t="s">
        <v>36</v>
      </c>
      <c r="GZ6" t="s">
        <v>37</v>
      </c>
      <c r="HF6" t="str">
        <f>""</f>
        <v/>
      </c>
      <c r="HK6" t="str">
        <f>""</f>
        <v/>
      </c>
      <c r="HN6" t="s">
        <v>38</v>
      </c>
      <c r="HP6" t="str">
        <f>"0009340127"</f>
        <v>0009340127</v>
      </c>
      <c r="HZ6" t="str">
        <f>""</f>
        <v/>
      </c>
      <c r="IA6" t="str">
        <f>HYPERLINK("https://web.datatree.com/?/property?propertyId=128798285")</f>
        <v>https://web.datatree.com/?/property?propertyId=128798285</v>
      </c>
    </row>
    <row r="7" spans="1:235" x14ac:dyDescent="0.3">
      <c r="A7" t="s">
        <v>763</v>
      </c>
      <c r="B7" t="s">
        <v>764</v>
      </c>
      <c r="C7" t="s">
        <v>765</v>
      </c>
      <c r="D7" t="s">
        <v>766</v>
      </c>
      <c r="E7" t="s">
        <v>3</v>
      </c>
      <c r="F7">
        <v>3</v>
      </c>
      <c r="O7" t="s">
        <v>767</v>
      </c>
      <c r="P7" t="s">
        <v>763</v>
      </c>
      <c r="T7" t="s">
        <v>55</v>
      </c>
      <c r="Z7" t="s">
        <v>739</v>
      </c>
      <c r="AA7" t="s">
        <v>740</v>
      </c>
      <c r="AC7" t="s">
        <v>2</v>
      </c>
      <c r="AE7" t="s">
        <v>8</v>
      </c>
      <c r="AF7" t="str">
        <f>"78629"</f>
        <v>78629</v>
      </c>
      <c r="AG7" t="str">
        <f>"78629"</f>
        <v>78629</v>
      </c>
      <c r="AH7" t="s">
        <v>2</v>
      </c>
      <c r="AJ7" t="s">
        <v>741</v>
      </c>
      <c r="AK7" t="s">
        <v>742</v>
      </c>
      <c r="AM7">
        <v>973</v>
      </c>
      <c r="AP7" t="s">
        <v>768</v>
      </c>
      <c r="AS7" t="s">
        <v>769</v>
      </c>
      <c r="AT7" t="s">
        <v>769</v>
      </c>
      <c r="AU7" t="s">
        <v>8</v>
      </c>
      <c r="AV7" t="str">
        <f>"78648-4845"</f>
        <v>78648-4845</v>
      </c>
      <c r="AW7" t="s">
        <v>60</v>
      </c>
      <c r="AX7" t="s">
        <v>770</v>
      </c>
      <c r="AY7" t="s">
        <v>771</v>
      </c>
      <c r="AZ7" t="s">
        <v>18</v>
      </c>
      <c r="BA7" t="s">
        <v>772</v>
      </c>
      <c r="BB7" t="str">
        <f>"23709"</f>
        <v>23709</v>
      </c>
      <c r="BC7" t="str">
        <f>"23709"</f>
        <v>23709</v>
      </c>
      <c r="BD7" t="str">
        <f>"905910200003000000000"</f>
        <v>905910200003000000000</v>
      </c>
      <c r="BE7">
        <v>48177</v>
      </c>
      <c r="BG7">
        <v>400</v>
      </c>
      <c r="BH7">
        <v>2001</v>
      </c>
      <c r="BN7">
        <v>29.4695235143659</v>
      </c>
      <c r="BO7">
        <v>-97.501103913868604</v>
      </c>
      <c r="BP7" t="s">
        <v>748</v>
      </c>
      <c r="BX7" t="s">
        <v>22</v>
      </c>
      <c r="CA7" t="str">
        <f>"3"</f>
        <v>3</v>
      </c>
      <c r="CB7" t="s">
        <v>749</v>
      </c>
      <c r="CD7">
        <v>0</v>
      </c>
      <c r="CO7">
        <v>0</v>
      </c>
      <c r="EA7" s="1">
        <v>1</v>
      </c>
      <c r="EC7" t="s">
        <v>23</v>
      </c>
      <c r="ED7" t="s">
        <v>24</v>
      </c>
      <c r="EE7" t="s">
        <v>25</v>
      </c>
      <c r="EG7">
        <v>21780</v>
      </c>
      <c r="EH7">
        <v>0.5</v>
      </c>
      <c r="EI7">
        <f t="shared" si="0"/>
        <v>11500</v>
      </c>
      <c r="EJ7">
        <f t="shared" si="1"/>
        <v>5750</v>
      </c>
      <c r="EW7" t="s">
        <v>270</v>
      </c>
      <c r="EX7" t="s">
        <v>683</v>
      </c>
      <c r="EY7" t="s">
        <v>684</v>
      </c>
      <c r="EZ7" s="2">
        <v>40515</v>
      </c>
      <c r="FA7" t="s">
        <v>143</v>
      </c>
      <c r="FB7" t="str">
        <f>"TRUE"</f>
        <v>TRUE</v>
      </c>
      <c r="FC7">
        <v>2019</v>
      </c>
      <c r="FD7">
        <v>2016</v>
      </c>
      <c r="FE7" t="s">
        <v>30</v>
      </c>
      <c r="FF7" t="s">
        <v>31</v>
      </c>
      <c r="FG7" t="s">
        <v>31</v>
      </c>
      <c r="FH7" t="s">
        <v>31</v>
      </c>
      <c r="FI7" t="s">
        <v>31</v>
      </c>
      <c r="FJ7" t="s">
        <v>31</v>
      </c>
      <c r="FK7" t="s">
        <v>31</v>
      </c>
      <c r="FL7" t="s">
        <v>31</v>
      </c>
      <c r="FM7" t="s">
        <v>31</v>
      </c>
      <c r="FN7" t="s">
        <v>31</v>
      </c>
      <c r="FO7" t="s">
        <v>31</v>
      </c>
      <c r="FP7" t="s">
        <v>31</v>
      </c>
      <c r="FQ7" t="s">
        <v>31</v>
      </c>
      <c r="FR7" t="s">
        <v>31</v>
      </c>
      <c r="FS7" s="3">
        <v>15000</v>
      </c>
      <c r="FT7" s="3">
        <v>15000</v>
      </c>
      <c r="FW7" s="3">
        <v>15000</v>
      </c>
      <c r="FX7" s="3">
        <v>15000</v>
      </c>
      <c r="GE7" s="3">
        <v>306.17</v>
      </c>
      <c r="GG7" s="3">
        <v>15000</v>
      </c>
      <c r="GI7" t="s">
        <v>32</v>
      </c>
      <c r="GL7" t="s">
        <v>273</v>
      </c>
      <c r="GM7" t="s">
        <v>34</v>
      </c>
      <c r="GN7" t="s">
        <v>35</v>
      </c>
      <c r="GO7" s="2">
        <v>42082</v>
      </c>
      <c r="GP7" s="2">
        <v>42104</v>
      </c>
      <c r="GQ7" s="3">
        <v>0</v>
      </c>
      <c r="GR7" t="s">
        <v>586</v>
      </c>
      <c r="GS7" t="str">
        <f>""</f>
        <v/>
      </c>
      <c r="GT7" t="str">
        <f>"280635"</f>
        <v>280635</v>
      </c>
      <c r="GV7" s="2">
        <v>38683</v>
      </c>
      <c r="GW7" s="3">
        <v>0</v>
      </c>
      <c r="GY7" t="s">
        <v>36</v>
      </c>
      <c r="GZ7" t="s">
        <v>37</v>
      </c>
      <c r="HF7" t="str">
        <f>""</f>
        <v/>
      </c>
      <c r="HK7" t="str">
        <f>""</f>
        <v/>
      </c>
      <c r="HN7" t="s">
        <v>38</v>
      </c>
      <c r="HP7" t="str">
        <f>"0009340127"</f>
        <v>0009340127</v>
      </c>
      <c r="HZ7" t="str">
        <f>""</f>
        <v/>
      </c>
      <c r="IA7" t="str">
        <f>HYPERLINK("https://web.datatree.com/?/property?propertyId=128798286")</f>
        <v>https://web.datatree.com/?/property?propertyId=128798286</v>
      </c>
    </row>
    <row r="8" spans="1:235" x14ac:dyDescent="0.3">
      <c r="A8" t="s">
        <v>773</v>
      </c>
      <c r="B8" t="s">
        <v>774</v>
      </c>
      <c r="C8" t="s">
        <v>775</v>
      </c>
      <c r="D8" t="s">
        <v>776</v>
      </c>
      <c r="E8" t="s">
        <v>3</v>
      </c>
      <c r="F8">
        <v>5</v>
      </c>
      <c r="O8" t="s">
        <v>777</v>
      </c>
      <c r="P8" t="s">
        <v>773</v>
      </c>
      <c r="T8" t="s">
        <v>55</v>
      </c>
      <c r="Z8" t="s">
        <v>739</v>
      </c>
      <c r="AA8" t="s">
        <v>740</v>
      </c>
      <c r="AC8" t="s">
        <v>2</v>
      </c>
      <c r="AE8" t="s">
        <v>8</v>
      </c>
      <c r="AF8" t="str">
        <f>"78629"</f>
        <v>78629</v>
      </c>
      <c r="AG8" t="str">
        <f>"78629"</f>
        <v>78629</v>
      </c>
      <c r="AH8" t="s">
        <v>2</v>
      </c>
      <c r="AJ8" t="s">
        <v>741</v>
      </c>
      <c r="AK8" t="s">
        <v>742</v>
      </c>
      <c r="AM8">
        <v>1206</v>
      </c>
      <c r="AP8" t="s">
        <v>778</v>
      </c>
      <c r="AQ8" t="s">
        <v>703</v>
      </c>
      <c r="AS8" t="s">
        <v>779</v>
      </c>
      <c r="AT8" t="s">
        <v>779</v>
      </c>
      <c r="AU8" t="s">
        <v>8</v>
      </c>
      <c r="AV8" t="str">
        <f>"77984-6214"</f>
        <v>77984-6214</v>
      </c>
      <c r="AW8" t="s">
        <v>780</v>
      </c>
      <c r="AX8" t="s">
        <v>781</v>
      </c>
      <c r="AY8" t="s">
        <v>782</v>
      </c>
      <c r="AZ8" t="s">
        <v>18</v>
      </c>
      <c r="BA8" t="s">
        <v>783</v>
      </c>
      <c r="BB8" t="str">
        <f>"23710"</f>
        <v>23710</v>
      </c>
      <c r="BC8" t="str">
        <f>"23710"</f>
        <v>23710</v>
      </c>
      <c r="BD8" t="str">
        <f>"90591-02000-04000-000000"</f>
        <v>90591-02000-04000-000000</v>
      </c>
      <c r="BE8">
        <v>48177</v>
      </c>
      <c r="BG8">
        <v>400</v>
      </c>
      <c r="BH8">
        <v>2001</v>
      </c>
      <c r="BN8">
        <v>29.4698261483951</v>
      </c>
      <c r="BO8">
        <v>-97.500723636974897</v>
      </c>
      <c r="CA8" t="str">
        <f>""</f>
        <v/>
      </c>
      <c r="CD8">
        <v>0</v>
      </c>
      <c r="CO8">
        <v>0</v>
      </c>
      <c r="CP8">
        <v>0</v>
      </c>
      <c r="EA8" s="1">
        <v>1</v>
      </c>
      <c r="EC8" t="s">
        <v>23</v>
      </c>
      <c r="EE8" t="s">
        <v>25</v>
      </c>
      <c r="EG8">
        <v>21780</v>
      </c>
      <c r="EH8">
        <v>0.5</v>
      </c>
      <c r="EI8">
        <f t="shared" si="0"/>
        <v>11500</v>
      </c>
      <c r="EJ8">
        <f t="shared" si="1"/>
        <v>5750</v>
      </c>
      <c r="EW8" t="s">
        <v>270</v>
      </c>
      <c r="EX8" t="s">
        <v>683</v>
      </c>
      <c r="EY8" t="s">
        <v>684</v>
      </c>
      <c r="EZ8" s="2">
        <v>40515</v>
      </c>
      <c r="FA8" t="s">
        <v>143</v>
      </c>
      <c r="FB8" t="str">
        <f>"TRUE"</f>
        <v>TRUE</v>
      </c>
      <c r="FC8">
        <v>2019</v>
      </c>
      <c r="FD8">
        <v>2016</v>
      </c>
      <c r="FE8" t="s">
        <v>30</v>
      </c>
      <c r="FF8" t="s">
        <v>31</v>
      </c>
      <c r="FG8" t="s">
        <v>31</v>
      </c>
      <c r="FH8" t="s">
        <v>31</v>
      </c>
      <c r="FI8" t="s">
        <v>31</v>
      </c>
      <c r="FJ8" t="s">
        <v>31</v>
      </c>
      <c r="FK8" t="s">
        <v>31</v>
      </c>
      <c r="FL8" t="s">
        <v>31</v>
      </c>
      <c r="FM8" t="s">
        <v>31</v>
      </c>
      <c r="FN8" t="s">
        <v>31</v>
      </c>
      <c r="FO8" t="s">
        <v>31</v>
      </c>
      <c r="FP8" t="s">
        <v>31</v>
      </c>
      <c r="FQ8" t="s">
        <v>31</v>
      </c>
      <c r="FR8" t="s">
        <v>31</v>
      </c>
      <c r="FS8" s="3">
        <v>15000</v>
      </c>
      <c r="FT8" s="3">
        <v>15000</v>
      </c>
      <c r="FW8" s="3">
        <v>15000</v>
      </c>
      <c r="FX8" s="3">
        <v>15000</v>
      </c>
      <c r="GG8" s="3">
        <v>15000</v>
      </c>
      <c r="GI8" t="s">
        <v>32</v>
      </c>
      <c r="GL8" t="s">
        <v>273</v>
      </c>
      <c r="GM8" t="s">
        <v>34</v>
      </c>
      <c r="GN8" t="s">
        <v>35</v>
      </c>
      <c r="GS8" t="str">
        <f>""</f>
        <v/>
      </c>
      <c r="GT8" t="str">
        <f>""</f>
        <v/>
      </c>
      <c r="GV8" s="2">
        <v>38683</v>
      </c>
      <c r="GW8" s="3">
        <v>0</v>
      </c>
      <c r="GY8" t="s">
        <v>36</v>
      </c>
      <c r="GZ8" t="s">
        <v>37</v>
      </c>
      <c r="HF8" t="str">
        <f>""</f>
        <v/>
      </c>
      <c r="HK8" t="str">
        <f>""</f>
        <v/>
      </c>
      <c r="HN8" t="s">
        <v>38</v>
      </c>
      <c r="HP8" t="str">
        <f>"0009340127"</f>
        <v>0009340127</v>
      </c>
      <c r="HZ8" t="str">
        <f>""</f>
        <v/>
      </c>
      <c r="IA8" t="str">
        <f>HYPERLINK("https://web.datatree.com/?/property?propertyId=128798288")</f>
        <v>https://web.datatree.com/?/property?propertyId=128798288</v>
      </c>
    </row>
    <row r="9" spans="1:235" x14ac:dyDescent="0.3">
      <c r="A9" t="s">
        <v>784</v>
      </c>
      <c r="B9" t="s">
        <v>785</v>
      </c>
      <c r="C9" t="s">
        <v>785</v>
      </c>
      <c r="D9" t="s">
        <v>786</v>
      </c>
      <c r="E9" t="s">
        <v>3</v>
      </c>
      <c r="F9">
        <v>21</v>
      </c>
      <c r="G9" t="s">
        <v>787</v>
      </c>
      <c r="H9" t="s">
        <v>788</v>
      </c>
      <c r="I9" t="s">
        <v>788</v>
      </c>
      <c r="J9" t="s">
        <v>786</v>
      </c>
      <c r="K9" t="s">
        <v>3</v>
      </c>
      <c r="L9">
        <v>17</v>
      </c>
      <c r="O9" t="s">
        <v>789</v>
      </c>
      <c r="P9" t="s">
        <v>790</v>
      </c>
      <c r="T9" t="s">
        <v>55</v>
      </c>
      <c r="Z9" t="s">
        <v>739</v>
      </c>
      <c r="AA9" t="s">
        <v>740</v>
      </c>
      <c r="AC9" t="s">
        <v>2</v>
      </c>
      <c r="AE9" t="s">
        <v>8</v>
      </c>
      <c r="AF9" t="str">
        <f>"78629"</f>
        <v>78629</v>
      </c>
      <c r="AG9" t="str">
        <f>"78629"</f>
        <v>78629</v>
      </c>
      <c r="AH9" t="s">
        <v>2</v>
      </c>
      <c r="AJ9" t="s">
        <v>741</v>
      </c>
      <c r="AK9" t="s">
        <v>742</v>
      </c>
      <c r="AM9">
        <v>1085</v>
      </c>
      <c r="AO9" t="s">
        <v>52</v>
      </c>
      <c r="AP9" t="s">
        <v>791</v>
      </c>
      <c r="AS9" t="s">
        <v>2</v>
      </c>
      <c r="AU9" t="s">
        <v>8</v>
      </c>
      <c r="AV9" t="str">
        <f>"78629-6656"</f>
        <v>78629-6656</v>
      </c>
      <c r="AW9" t="s">
        <v>60</v>
      </c>
      <c r="AX9" t="s">
        <v>792</v>
      </c>
      <c r="AY9" t="s">
        <v>793</v>
      </c>
      <c r="AZ9" t="s">
        <v>18</v>
      </c>
      <c r="BA9" t="s">
        <v>794</v>
      </c>
      <c r="BB9" t="str">
        <f>"23712"</f>
        <v>23712</v>
      </c>
      <c r="BC9" t="str">
        <f>"23712"</f>
        <v>23712</v>
      </c>
      <c r="BD9" t="str">
        <f>"90591-02000-06000-000000"</f>
        <v>90591-02000-06000-000000</v>
      </c>
      <c r="BE9">
        <v>48177</v>
      </c>
      <c r="BG9">
        <v>400</v>
      </c>
      <c r="BH9">
        <v>2001</v>
      </c>
      <c r="BN9">
        <v>29.470064677377501</v>
      </c>
      <c r="BO9">
        <v>-97.500099041179894</v>
      </c>
      <c r="CA9" t="str">
        <f>""</f>
        <v/>
      </c>
      <c r="CD9">
        <v>0</v>
      </c>
      <c r="CO9">
        <v>0</v>
      </c>
      <c r="CP9">
        <v>0</v>
      </c>
      <c r="EA9" s="1">
        <v>1</v>
      </c>
      <c r="EC9" t="s">
        <v>23</v>
      </c>
      <c r="EE9" t="s">
        <v>25</v>
      </c>
      <c r="EG9">
        <v>21780</v>
      </c>
      <c r="EH9">
        <v>0.5</v>
      </c>
      <c r="EI9">
        <f t="shared" si="0"/>
        <v>11500</v>
      </c>
      <c r="EJ9">
        <f t="shared" si="1"/>
        <v>5750</v>
      </c>
      <c r="EW9" t="s">
        <v>270</v>
      </c>
      <c r="EX9" t="s">
        <v>683</v>
      </c>
      <c r="EY9" t="s">
        <v>684</v>
      </c>
      <c r="EZ9" s="2">
        <v>40515</v>
      </c>
      <c r="FA9" t="s">
        <v>143</v>
      </c>
      <c r="FB9" t="str">
        <f>"TRUE"</f>
        <v>TRUE</v>
      </c>
      <c r="FC9">
        <v>2019</v>
      </c>
      <c r="FD9">
        <v>2016</v>
      </c>
      <c r="FE9" t="s">
        <v>30</v>
      </c>
      <c r="FF9" t="s">
        <v>31</v>
      </c>
      <c r="FG9" t="s">
        <v>31</v>
      </c>
      <c r="FH9" t="s">
        <v>31</v>
      </c>
      <c r="FI9" t="s">
        <v>31</v>
      </c>
      <c r="FJ9" t="s">
        <v>31</v>
      </c>
      <c r="FK9" t="s">
        <v>31</v>
      </c>
      <c r="FL9" t="s">
        <v>31</v>
      </c>
      <c r="FM9" t="s">
        <v>31</v>
      </c>
      <c r="FN9" t="s">
        <v>31</v>
      </c>
      <c r="FO9" t="s">
        <v>31</v>
      </c>
      <c r="FP9" t="s">
        <v>31</v>
      </c>
      <c r="FQ9" t="s">
        <v>31</v>
      </c>
      <c r="FR9" t="s">
        <v>31</v>
      </c>
      <c r="FS9" s="3">
        <v>15000</v>
      </c>
      <c r="FT9" s="3">
        <v>15000</v>
      </c>
      <c r="FW9" s="3">
        <v>15000</v>
      </c>
      <c r="FX9" s="3">
        <v>15000</v>
      </c>
      <c r="GG9" s="3">
        <v>15000</v>
      </c>
      <c r="GI9" t="s">
        <v>32</v>
      </c>
      <c r="GL9" t="s">
        <v>273</v>
      </c>
      <c r="GM9" t="s">
        <v>34</v>
      </c>
      <c r="GN9" t="s">
        <v>35</v>
      </c>
      <c r="GO9" s="2">
        <v>43325</v>
      </c>
      <c r="GP9" s="2">
        <v>43326</v>
      </c>
      <c r="GQ9" s="3">
        <v>0</v>
      </c>
      <c r="GR9" t="s">
        <v>586</v>
      </c>
      <c r="GS9" t="str">
        <f>""</f>
        <v/>
      </c>
      <c r="GT9" t="str">
        <f>"295421"</f>
        <v>295421</v>
      </c>
      <c r="GV9" s="2">
        <v>38683</v>
      </c>
      <c r="GW9" s="3">
        <v>0</v>
      </c>
      <c r="GY9" t="s">
        <v>36</v>
      </c>
      <c r="GZ9" t="s">
        <v>37</v>
      </c>
      <c r="HF9" t="str">
        <f>""</f>
        <v/>
      </c>
      <c r="HK9" t="str">
        <f>""</f>
        <v/>
      </c>
      <c r="HN9" t="s">
        <v>38</v>
      </c>
      <c r="HP9" t="str">
        <f>"0009340127"</f>
        <v>0009340127</v>
      </c>
      <c r="HZ9" t="str">
        <f>""</f>
        <v/>
      </c>
      <c r="IA9" t="str">
        <f>HYPERLINK("https://web.datatree.com/?/property?propertyId=128798290")</f>
        <v>https://web.datatree.com/?/property?propertyId=128798290</v>
      </c>
    </row>
    <row r="10" spans="1:235" x14ac:dyDescent="0.3">
      <c r="A10" t="s">
        <v>842</v>
      </c>
      <c r="B10" t="s">
        <v>843</v>
      </c>
      <c r="C10" t="s">
        <v>844</v>
      </c>
      <c r="D10" t="s">
        <v>845</v>
      </c>
      <c r="E10" t="s">
        <v>3</v>
      </c>
      <c r="F10">
        <v>2</v>
      </c>
      <c r="G10" t="s">
        <v>846</v>
      </c>
      <c r="H10" t="s">
        <v>847</v>
      </c>
      <c r="I10" t="s">
        <v>847</v>
      </c>
      <c r="J10" t="s">
        <v>845</v>
      </c>
      <c r="K10" t="s">
        <v>3</v>
      </c>
      <c r="L10">
        <v>2</v>
      </c>
      <c r="O10" t="s">
        <v>848</v>
      </c>
      <c r="P10" t="s">
        <v>849</v>
      </c>
      <c r="S10" t="s">
        <v>370</v>
      </c>
      <c r="T10" t="s">
        <v>55</v>
      </c>
      <c r="Z10" t="s">
        <v>739</v>
      </c>
      <c r="AA10" t="s">
        <v>740</v>
      </c>
      <c r="AC10" t="s">
        <v>2</v>
      </c>
      <c r="AE10" t="s">
        <v>8</v>
      </c>
      <c r="AF10" t="str">
        <f>"78629"</f>
        <v>78629</v>
      </c>
      <c r="AG10" t="str">
        <f>"78629"</f>
        <v>78629</v>
      </c>
      <c r="AH10" t="s">
        <v>2</v>
      </c>
      <c r="AJ10" t="s">
        <v>741</v>
      </c>
      <c r="AK10" t="s">
        <v>742</v>
      </c>
      <c r="AM10">
        <v>658</v>
      </c>
      <c r="AP10" t="s">
        <v>850</v>
      </c>
      <c r="AQ10" t="s">
        <v>77</v>
      </c>
      <c r="AS10" t="s">
        <v>231</v>
      </c>
      <c r="AU10" t="s">
        <v>8</v>
      </c>
      <c r="AV10" t="str">
        <f>"78155-3127"</f>
        <v>78155-3127</v>
      </c>
      <c r="AW10" t="s">
        <v>851</v>
      </c>
      <c r="AX10" t="s">
        <v>852</v>
      </c>
      <c r="AY10" t="s">
        <v>853</v>
      </c>
      <c r="AZ10" t="s">
        <v>18</v>
      </c>
      <c r="BA10" t="s">
        <v>854</v>
      </c>
      <c r="BB10" t="str">
        <f>"23693"</f>
        <v>23693</v>
      </c>
      <c r="BC10" t="str">
        <f>"23693"</f>
        <v>23693</v>
      </c>
      <c r="BD10" t="str">
        <f>"905910100001000000000"</f>
        <v>905910100001000000000</v>
      </c>
      <c r="BE10">
        <v>48177</v>
      </c>
      <c r="BG10">
        <v>400</v>
      </c>
      <c r="BH10">
        <v>2001</v>
      </c>
      <c r="BN10">
        <v>29.468408880204201</v>
      </c>
      <c r="BO10">
        <v>-97.500533816682506</v>
      </c>
      <c r="BP10" t="s">
        <v>748</v>
      </c>
      <c r="BX10" t="s">
        <v>22</v>
      </c>
      <c r="CA10" t="str">
        <f>"1"</f>
        <v>1</v>
      </c>
      <c r="CB10" t="s">
        <v>5</v>
      </c>
      <c r="CD10">
        <v>0</v>
      </c>
      <c r="CO10">
        <v>0</v>
      </c>
      <c r="DA10" t="s">
        <v>131</v>
      </c>
      <c r="EA10" s="1">
        <v>1</v>
      </c>
      <c r="EC10" t="s">
        <v>23</v>
      </c>
      <c r="ED10" t="s">
        <v>24</v>
      </c>
      <c r="EE10" t="s">
        <v>25</v>
      </c>
      <c r="EG10">
        <v>21780</v>
      </c>
      <c r="EH10">
        <v>0.5</v>
      </c>
      <c r="EI10">
        <f t="shared" si="0"/>
        <v>11500</v>
      </c>
      <c r="EJ10">
        <f t="shared" si="1"/>
        <v>5750</v>
      </c>
      <c r="ER10">
        <v>1</v>
      </c>
      <c r="EW10" t="s">
        <v>270</v>
      </c>
      <c r="EX10" t="s">
        <v>683</v>
      </c>
      <c r="EY10" t="s">
        <v>684</v>
      </c>
      <c r="EZ10" s="2">
        <v>40515</v>
      </c>
      <c r="FA10" t="s">
        <v>143</v>
      </c>
      <c r="FB10" t="str">
        <f>"TRUE"</f>
        <v>TRUE</v>
      </c>
      <c r="FC10">
        <v>2019</v>
      </c>
      <c r="FD10">
        <v>2016</v>
      </c>
      <c r="FE10" t="s">
        <v>30</v>
      </c>
      <c r="FF10" t="s">
        <v>31</v>
      </c>
      <c r="FG10" t="s">
        <v>31</v>
      </c>
      <c r="FH10" t="s">
        <v>31</v>
      </c>
      <c r="FI10" t="s">
        <v>31</v>
      </c>
      <c r="FJ10" t="s">
        <v>31</v>
      </c>
      <c r="FK10" t="s">
        <v>31</v>
      </c>
      <c r="FL10" t="s">
        <v>31</v>
      </c>
      <c r="FM10" t="s">
        <v>31</v>
      </c>
      <c r="FN10" t="s">
        <v>31</v>
      </c>
      <c r="FO10" t="s">
        <v>31</v>
      </c>
      <c r="FP10" t="s">
        <v>31</v>
      </c>
      <c r="FQ10" t="s">
        <v>31</v>
      </c>
      <c r="FR10" t="s">
        <v>31</v>
      </c>
      <c r="FS10" s="3">
        <v>29690</v>
      </c>
      <c r="FT10" s="3">
        <v>15000</v>
      </c>
      <c r="FU10" s="3">
        <v>14690</v>
      </c>
      <c r="FV10">
        <v>49.48</v>
      </c>
      <c r="FW10" s="3">
        <v>29690</v>
      </c>
      <c r="FX10" s="3">
        <v>15000</v>
      </c>
      <c r="FY10" s="3">
        <v>14690</v>
      </c>
      <c r="FZ10">
        <v>49.48</v>
      </c>
      <c r="GE10" s="3">
        <v>438.84</v>
      </c>
      <c r="GG10" s="3">
        <v>29690</v>
      </c>
      <c r="GI10" t="s">
        <v>32</v>
      </c>
      <c r="GL10" t="s">
        <v>273</v>
      </c>
      <c r="GM10" t="s">
        <v>34</v>
      </c>
      <c r="GN10" t="s">
        <v>35</v>
      </c>
      <c r="GS10" t="str">
        <f>""</f>
        <v/>
      </c>
      <c r="GT10" t="str">
        <f>""</f>
        <v/>
      </c>
      <c r="GV10" s="2">
        <v>38940</v>
      </c>
      <c r="GW10" s="3">
        <v>0</v>
      </c>
      <c r="GY10" t="s">
        <v>36</v>
      </c>
      <c r="GZ10" t="s">
        <v>37</v>
      </c>
      <c r="HF10" t="str">
        <f>""</f>
        <v/>
      </c>
      <c r="HK10" t="str">
        <f>""</f>
        <v/>
      </c>
      <c r="HN10" t="s">
        <v>38</v>
      </c>
      <c r="HP10" t="str">
        <f>"0009480572"</f>
        <v>0009480572</v>
      </c>
      <c r="HZ10" t="str">
        <f>""</f>
        <v/>
      </c>
      <c r="IA10" t="str">
        <f>HYPERLINK("https://web.datatree.com/?/property?propertyId=128798269")</f>
        <v>https://web.datatree.com/?/property?propertyId=128798269</v>
      </c>
    </row>
    <row r="11" spans="1:235" x14ac:dyDescent="0.3">
      <c r="A11" t="s">
        <v>866</v>
      </c>
      <c r="B11" t="s">
        <v>867</v>
      </c>
      <c r="C11" t="s">
        <v>867</v>
      </c>
      <c r="D11" t="s">
        <v>211</v>
      </c>
      <c r="E11" t="s">
        <v>3</v>
      </c>
      <c r="F11">
        <v>10</v>
      </c>
      <c r="G11" t="s">
        <v>868</v>
      </c>
      <c r="H11" t="s">
        <v>869</v>
      </c>
      <c r="I11" t="s">
        <v>869</v>
      </c>
      <c r="J11" t="s">
        <v>211</v>
      </c>
      <c r="K11" t="s">
        <v>3</v>
      </c>
      <c r="L11">
        <v>7</v>
      </c>
      <c r="O11" t="s">
        <v>870</v>
      </c>
      <c r="P11" t="s">
        <v>871</v>
      </c>
      <c r="T11" t="s">
        <v>55</v>
      </c>
      <c r="Z11" t="s">
        <v>739</v>
      </c>
      <c r="AA11" t="s">
        <v>740</v>
      </c>
      <c r="AC11" t="s">
        <v>2</v>
      </c>
      <c r="AE11" t="s">
        <v>8</v>
      </c>
      <c r="AF11" t="str">
        <f>"78629"</f>
        <v>78629</v>
      </c>
      <c r="AG11" t="str">
        <f>"78629"</f>
        <v>78629</v>
      </c>
      <c r="AH11" t="s">
        <v>2</v>
      </c>
      <c r="AJ11" t="s">
        <v>741</v>
      </c>
      <c r="AK11" t="s">
        <v>742</v>
      </c>
      <c r="AM11">
        <v>217</v>
      </c>
      <c r="AP11" t="s">
        <v>872</v>
      </c>
      <c r="AQ11" t="s">
        <v>7</v>
      </c>
      <c r="AS11" t="s">
        <v>2</v>
      </c>
      <c r="AT11" t="s">
        <v>2</v>
      </c>
      <c r="AU11" t="s">
        <v>8</v>
      </c>
      <c r="AV11" t="str">
        <f>"78629-3401"</f>
        <v>78629-3401</v>
      </c>
      <c r="AW11" t="s">
        <v>281</v>
      </c>
      <c r="AX11" t="s">
        <v>873</v>
      </c>
      <c r="AY11" t="s">
        <v>874</v>
      </c>
      <c r="AZ11" t="s">
        <v>18</v>
      </c>
      <c r="BA11" t="s">
        <v>875</v>
      </c>
      <c r="BB11" t="str">
        <f>"23695"</f>
        <v>23695</v>
      </c>
      <c r="BC11" t="str">
        <f>"23695"</f>
        <v>23695</v>
      </c>
      <c r="BD11" t="str">
        <f>"905910100003000000000"</f>
        <v>905910100003000000000</v>
      </c>
      <c r="BE11">
        <v>48177</v>
      </c>
      <c r="BG11">
        <v>400</v>
      </c>
      <c r="BH11">
        <v>2001</v>
      </c>
      <c r="BN11">
        <v>29.468896192503401</v>
      </c>
      <c r="BO11">
        <v>-97.500756160629095</v>
      </c>
      <c r="BP11" t="s">
        <v>748</v>
      </c>
      <c r="BX11" t="s">
        <v>22</v>
      </c>
      <c r="CA11" t="str">
        <f>"3"</f>
        <v>3</v>
      </c>
      <c r="CB11" t="s">
        <v>5</v>
      </c>
      <c r="CD11">
        <v>0</v>
      </c>
      <c r="CO11">
        <v>0</v>
      </c>
      <c r="DJ11" t="s">
        <v>865</v>
      </c>
      <c r="DK11">
        <v>360</v>
      </c>
      <c r="EA11" s="1">
        <v>1</v>
      </c>
      <c r="EC11" t="s">
        <v>23</v>
      </c>
      <c r="ED11" t="s">
        <v>24</v>
      </c>
      <c r="EE11" t="s">
        <v>25</v>
      </c>
      <c r="EG11">
        <v>21780</v>
      </c>
      <c r="EH11">
        <v>0.5</v>
      </c>
      <c r="EI11">
        <f t="shared" si="0"/>
        <v>11500</v>
      </c>
      <c r="EJ11">
        <f t="shared" si="1"/>
        <v>5750</v>
      </c>
      <c r="ER11">
        <v>1</v>
      </c>
      <c r="EW11" t="s">
        <v>270</v>
      </c>
      <c r="EX11" t="s">
        <v>683</v>
      </c>
      <c r="EY11" t="s">
        <v>684</v>
      </c>
      <c r="EZ11" s="2">
        <v>40515</v>
      </c>
      <c r="FA11" t="s">
        <v>143</v>
      </c>
      <c r="FB11" t="str">
        <f>"TRUE"</f>
        <v>TRUE</v>
      </c>
      <c r="FC11">
        <v>2019</v>
      </c>
      <c r="FD11">
        <v>2016</v>
      </c>
      <c r="FE11" t="s">
        <v>30</v>
      </c>
      <c r="FF11" t="s">
        <v>31</v>
      </c>
      <c r="FG11" t="s">
        <v>31</v>
      </c>
      <c r="FH11" t="s">
        <v>31</v>
      </c>
      <c r="FI11" t="s">
        <v>31</v>
      </c>
      <c r="FJ11" t="s">
        <v>31</v>
      </c>
      <c r="FK11" t="s">
        <v>31</v>
      </c>
      <c r="FL11" t="s">
        <v>31</v>
      </c>
      <c r="FM11" t="s">
        <v>31</v>
      </c>
      <c r="FN11" t="s">
        <v>31</v>
      </c>
      <c r="FO11" t="s">
        <v>31</v>
      </c>
      <c r="FP11" t="s">
        <v>31</v>
      </c>
      <c r="FQ11" t="s">
        <v>31</v>
      </c>
      <c r="FR11" t="s">
        <v>31</v>
      </c>
      <c r="FS11" s="3">
        <v>16370</v>
      </c>
      <c r="FT11" s="3">
        <v>15000</v>
      </c>
      <c r="FU11" s="3">
        <v>1370</v>
      </c>
      <c r="FV11">
        <v>8.3699999999999992</v>
      </c>
      <c r="FW11" s="3">
        <v>16370</v>
      </c>
      <c r="FX11" s="3">
        <v>15000</v>
      </c>
      <c r="FY11" s="3">
        <v>1370</v>
      </c>
      <c r="FZ11">
        <v>8.3699999999999992</v>
      </c>
      <c r="GE11" s="3">
        <v>327.19</v>
      </c>
      <c r="GG11" s="3">
        <v>16370</v>
      </c>
      <c r="GI11" t="s">
        <v>32</v>
      </c>
      <c r="GL11" t="s">
        <v>273</v>
      </c>
      <c r="GM11" t="s">
        <v>34</v>
      </c>
      <c r="GN11" t="s">
        <v>35</v>
      </c>
      <c r="GS11" t="str">
        <f>""</f>
        <v/>
      </c>
      <c r="GT11" t="str">
        <f>""</f>
        <v/>
      </c>
      <c r="GV11" s="2">
        <v>38749</v>
      </c>
      <c r="GW11" s="3">
        <v>0</v>
      </c>
      <c r="GY11" t="s">
        <v>36</v>
      </c>
      <c r="GZ11" t="s">
        <v>37</v>
      </c>
      <c r="HF11" t="str">
        <f>""</f>
        <v/>
      </c>
      <c r="HK11" t="str">
        <f>""</f>
        <v/>
      </c>
      <c r="HN11" t="s">
        <v>38</v>
      </c>
      <c r="HP11" t="str">
        <f>"0009370931"</f>
        <v>0009370931</v>
      </c>
      <c r="HZ11" t="str">
        <f>""</f>
        <v/>
      </c>
      <c r="IA11" t="str">
        <f>HYPERLINK("https://web.datatree.com/?/property?propertyId=128798271")</f>
        <v>https://web.datatree.com/?/property?propertyId=128798271</v>
      </c>
    </row>
    <row r="12" spans="1:235" x14ac:dyDescent="0.3">
      <c r="A12" t="s">
        <v>1289</v>
      </c>
      <c r="B12" t="s">
        <v>1290</v>
      </c>
      <c r="C12" t="s">
        <v>1291</v>
      </c>
      <c r="D12" t="s">
        <v>1292</v>
      </c>
      <c r="E12" t="s">
        <v>3</v>
      </c>
      <c r="F12">
        <v>1</v>
      </c>
      <c r="O12" t="s">
        <v>1293</v>
      </c>
      <c r="P12" t="s">
        <v>1289</v>
      </c>
      <c r="T12" t="s">
        <v>55</v>
      </c>
      <c r="Z12" t="s">
        <v>739</v>
      </c>
      <c r="AA12" t="s">
        <v>740</v>
      </c>
      <c r="AC12" t="s">
        <v>2</v>
      </c>
      <c r="AE12" t="s">
        <v>8</v>
      </c>
      <c r="AF12" t="str">
        <f>"78629"</f>
        <v>78629</v>
      </c>
      <c r="AG12" t="str">
        <f>"78629"</f>
        <v>78629</v>
      </c>
      <c r="AH12" t="s">
        <v>2</v>
      </c>
      <c r="AJ12" t="s">
        <v>741</v>
      </c>
      <c r="AK12" t="s">
        <v>742</v>
      </c>
      <c r="AM12">
        <v>55</v>
      </c>
      <c r="AP12" t="s">
        <v>1294</v>
      </c>
      <c r="AQ12" t="s">
        <v>77</v>
      </c>
      <c r="AS12" t="s">
        <v>1295</v>
      </c>
      <c r="AU12" t="s">
        <v>1296</v>
      </c>
      <c r="AV12" t="str">
        <f>"13069-4953"</f>
        <v>13069-4953</v>
      </c>
      <c r="AW12" t="s">
        <v>1297</v>
      </c>
      <c r="AX12" t="s">
        <v>1298</v>
      </c>
      <c r="AY12" t="s">
        <v>1299</v>
      </c>
      <c r="AZ12" t="s">
        <v>18</v>
      </c>
      <c r="BA12" t="s">
        <v>1300</v>
      </c>
      <c r="BB12" t="str">
        <f>"23706"</f>
        <v>23706</v>
      </c>
      <c r="BC12" t="str">
        <f>"23706"</f>
        <v>23706</v>
      </c>
      <c r="BD12" t="str">
        <f>"905910100013000000000"</f>
        <v>905910100013000000000</v>
      </c>
      <c r="BE12">
        <v>48177</v>
      </c>
      <c r="BG12">
        <v>400</v>
      </c>
      <c r="BH12">
        <v>2001</v>
      </c>
      <c r="BN12">
        <v>29.468760209680202</v>
      </c>
      <c r="BO12">
        <v>-97.500120601971901</v>
      </c>
      <c r="BP12" t="s">
        <v>748</v>
      </c>
      <c r="BX12" t="s">
        <v>22</v>
      </c>
      <c r="CA12" t="str">
        <f>"13"</f>
        <v>13</v>
      </c>
      <c r="CB12" t="s">
        <v>5</v>
      </c>
      <c r="CD12">
        <v>0</v>
      </c>
      <c r="CO12">
        <v>0</v>
      </c>
      <c r="EA12" s="1">
        <v>1</v>
      </c>
      <c r="EC12" t="s">
        <v>23</v>
      </c>
      <c r="ED12" t="s">
        <v>24</v>
      </c>
      <c r="EE12" t="s">
        <v>25</v>
      </c>
      <c r="EG12">
        <v>21780</v>
      </c>
      <c r="EH12">
        <v>0.5</v>
      </c>
      <c r="EI12">
        <f t="shared" si="0"/>
        <v>11500</v>
      </c>
      <c r="EJ12">
        <f t="shared" si="1"/>
        <v>5750</v>
      </c>
      <c r="EW12" t="s">
        <v>270</v>
      </c>
      <c r="EX12" t="s">
        <v>683</v>
      </c>
      <c r="EY12" t="s">
        <v>684</v>
      </c>
      <c r="EZ12" s="2">
        <v>40515</v>
      </c>
      <c r="FA12" t="s">
        <v>143</v>
      </c>
      <c r="FB12" t="str">
        <f>"TRUE"</f>
        <v>TRUE</v>
      </c>
      <c r="FC12">
        <v>2019</v>
      </c>
      <c r="FD12">
        <v>2016</v>
      </c>
      <c r="FE12" t="s">
        <v>30</v>
      </c>
      <c r="FF12" t="s">
        <v>31</v>
      </c>
      <c r="FG12" t="s">
        <v>31</v>
      </c>
      <c r="FH12" t="s">
        <v>31</v>
      </c>
      <c r="FI12" t="s">
        <v>31</v>
      </c>
      <c r="FJ12" t="s">
        <v>31</v>
      </c>
      <c r="FK12" t="s">
        <v>31</v>
      </c>
      <c r="FL12" t="s">
        <v>31</v>
      </c>
      <c r="FM12" t="s">
        <v>31</v>
      </c>
      <c r="FN12" t="s">
        <v>31</v>
      </c>
      <c r="FO12" t="s">
        <v>31</v>
      </c>
      <c r="FP12" t="s">
        <v>31</v>
      </c>
      <c r="FQ12" t="s">
        <v>31</v>
      </c>
      <c r="FR12" t="s">
        <v>31</v>
      </c>
      <c r="FS12" s="3">
        <v>21160</v>
      </c>
      <c r="FT12" s="3">
        <v>15000</v>
      </c>
      <c r="FU12" s="3">
        <v>6160</v>
      </c>
      <c r="FV12">
        <v>29.11</v>
      </c>
      <c r="FW12" s="3">
        <v>21160</v>
      </c>
      <c r="FX12" s="3">
        <v>15000</v>
      </c>
      <c r="FY12" s="3">
        <v>6160</v>
      </c>
      <c r="FZ12">
        <v>29.11</v>
      </c>
      <c r="GE12" s="3">
        <v>306.17</v>
      </c>
      <c r="GG12" s="3">
        <v>21160</v>
      </c>
      <c r="GI12" t="s">
        <v>32</v>
      </c>
      <c r="GL12" t="s">
        <v>273</v>
      </c>
      <c r="GM12" t="s">
        <v>34</v>
      </c>
      <c r="GN12" t="s">
        <v>35</v>
      </c>
      <c r="GS12" t="str">
        <f>""</f>
        <v/>
      </c>
      <c r="GT12" t="str">
        <f>""</f>
        <v/>
      </c>
      <c r="GV12" s="2">
        <v>39619</v>
      </c>
      <c r="GW12" s="3">
        <v>0</v>
      </c>
      <c r="GY12" t="s">
        <v>36</v>
      </c>
      <c r="GZ12" t="s">
        <v>37</v>
      </c>
      <c r="HF12" t="str">
        <f>""</f>
        <v/>
      </c>
      <c r="HK12" t="str">
        <f>""</f>
        <v/>
      </c>
      <c r="HN12" t="s">
        <v>38</v>
      </c>
      <c r="HP12" t="str">
        <f>"0009840823"</f>
        <v>0009840823</v>
      </c>
      <c r="HZ12" t="str">
        <f>""</f>
        <v/>
      </c>
      <c r="IA12" t="str">
        <f>HYPERLINK("https://web.datatree.com/?/property?propertyId=128798283")</f>
        <v>https://web.datatree.com/?/property?propertyId=128798283</v>
      </c>
    </row>
    <row r="13" spans="1:235" x14ac:dyDescent="0.3">
      <c r="A13" t="s">
        <v>855</v>
      </c>
      <c r="B13" t="s">
        <v>856</v>
      </c>
      <c r="C13" t="s">
        <v>275</v>
      </c>
      <c r="D13" t="s">
        <v>857</v>
      </c>
      <c r="E13" t="s">
        <v>3</v>
      </c>
      <c r="F13">
        <v>2</v>
      </c>
      <c r="O13" t="s">
        <v>858</v>
      </c>
      <c r="P13" t="s">
        <v>855</v>
      </c>
      <c r="T13" t="s">
        <v>5</v>
      </c>
      <c r="W13">
        <v>28</v>
      </c>
      <c r="Z13" t="s">
        <v>859</v>
      </c>
      <c r="AA13" t="s">
        <v>703</v>
      </c>
      <c r="AC13" t="s">
        <v>2</v>
      </c>
      <c r="AE13" t="s">
        <v>8</v>
      </c>
      <c r="AF13" t="str">
        <f>"78629"</f>
        <v>78629</v>
      </c>
      <c r="AG13" t="str">
        <f>"78629"</f>
        <v>78629</v>
      </c>
      <c r="AH13" t="s">
        <v>2</v>
      </c>
      <c r="AJ13" t="s">
        <v>860</v>
      </c>
      <c r="AK13" t="s">
        <v>861</v>
      </c>
      <c r="AL13" t="s">
        <v>31</v>
      </c>
      <c r="AM13">
        <v>5233</v>
      </c>
      <c r="AP13" t="s">
        <v>59</v>
      </c>
      <c r="AS13" t="s">
        <v>2</v>
      </c>
      <c r="AU13" t="s">
        <v>8</v>
      </c>
      <c r="AV13" t="str">
        <f>"78629-5104"</f>
        <v>78629-5104</v>
      </c>
      <c r="AW13" t="s">
        <v>217</v>
      </c>
      <c r="AX13" t="s">
        <v>862</v>
      </c>
      <c r="AY13" t="s">
        <v>863</v>
      </c>
      <c r="AZ13" t="s">
        <v>18</v>
      </c>
      <c r="BA13" t="s">
        <v>864</v>
      </c>
      <c r="BB13" t="str">
        <f>"23694"</f>
        <v>23694</v>
      </c>
      <c r="BC13" t="str">
        <f>"23694"</f>
        <v>23694</v>
      </c>
      <c r="BD13" t="str">
        <f>"905910100002000000000"</f>
        <v>905910100002000000000</v>
      </c>
      <c r="BE13">
        <v>48177</v>
      </c>
      <c r="BG13">
        <v>400</v>
      </c>
      <c r="BH13">
        <v>2001</v>
      </c>
      <c r="BN13">
        <v>29.468638417748402</v>
      </c>
      <c r="BO13">
        <v>-97.500640440982707</v>
      </c>
      <c r="BP13" t="s">
        <v>748</v>
      </c>
      <c r="BX13" t="s">
        <v>22</v>
      </c>
      <c r="CA13" t="str">
        <f>"2"</f>
        <v>2</v>
      </c>
      <c r="CB13" t="s">
        <v>5</v>
      </c>
      <c r="CD13">
        <v>0</v>
      </c>
      <c r="CO13">
        <v>0</v>
      </c>
      <c r="DJ13" t="s">
        <v>865</v>
      </c>
      <c r="DK13">
        <v>255</v>
      </c>
      <c r="EA13" s="1">
        <v>1</v>
      </c>
      <c r="EC13" t="s">
        <v>23</v>
      </c>
      <c r="ED13" t="s">
        <v>24</v>
      </c>
      <c r="EE13" t="s">
        <v>25</v>
      </c>
      <c r="EF13" t="s">
        <v>26</v>
      </c>
      <c r="EG13">
        <v>22216</v>
      </c>
      <c r="EH13">
        <v>0.51</v>
      </c>
      <c r="EI13">
        <f t="shared" si="0"/>
        <v>11730</v>
      </c>
      <c r="EJ13">
        <f t="shared" si="1"/>
        <v>5865</v>
      </c>
      <c r="ER13">
        <v>1</v>
      </c>
      <c r="EW13" t="s">
        <v>270</v>
      </c>
      <c r="EX13" t="s">
        <v>683</v>
      </c>
      <c r="EY13" t="s">
        <v>684</v>
      </c>
      <c r="EZ13" s="2">
        <v>40515</v>
      </c>
      <c r="FA13" t="s">
        <v>143</v>
      </c>
      <c r="FB13" t="str">
        <f>"TRUE"</f>
        <v>TRUE</v>
      </c>
      <c r="FC13">
        <v>2019</v>
      </c>
      <c r="FD13">
        <v>2016</v>
      </c>
      <c r="FE13" t="s">
        <v>30</v>
      </c>
      <c r="FF13" t="s">
        <v>31</v>
      </c>
      <c r="FG13" t="s">
        <v>31</v>
      </c>
      <c r="FH13" t="s">
        <v>31</v>
      </c>
      <c r="FI13" t="s">
        <v>31</v>
      </c>
      <c r="FJ13" t="s">
        <v>31</v>
      </c>
      <c r="FK13" t="s">
        <v>31</v>
      </c>
      <c r="FL13" t="s">
        <v>31</v>
      </c>
      <c r="FM13" t="s">
        <v>31</v>
      </c>
      <c r="FN13" t="s">
        <v>31</v>
      </c>
      <c r="FO13" t="s">
        <v>31</v>
      </c>
      <c r="FP13" t="s">
        <v>31</v>
      </c>
      <c r="FQ13" t="s">
        <v>31</v>
      </c>
      <c r="FR13" t="s">
        <v>31</v>
      </c>
      <c r="FS13" s="3">
        <v>24210</v>
      </c>
      <c r="FT13" s="3">
        <v>15300</v>
      </c>
      <c r="FU13" s="3">
        <v>8910</v>
      </c>
      <c r="FV13">
        <v>36.799999999999997</v>
      </c>
      <c r="FW13" s="3">
        <v>24210</v>
      </c>
      <c r="FX13" s="3">
        <v>15300</v>
      </c>
      <c r="FY13" s="3">
        <v>8910</v>
      </c>
      <c r="FZ13">
        <v>36.799999999999997</v>
      </c>
      <c r="GE13" s="3">
        <v>327.19</v>
      </c>
      <c r="GG13" s="3">
        <v>24210</v>
      </c>
      <c r="GI13" t="s">
        <v>32</v>
      </c>
      <c r="GL13" t="s">
        <v>273</v>
      </c>
      <c r="GM13" t="s">
        <v>34</v>
      </c>
      <c r="GN13" t="s">
        <v>35</v>
      </c>
      <c r="GS13" t="str">
        <f>""</f>
        <v/>
      </c>
      <c r="GT13" t="str">
        <f>""</f>
        <v/>
      </c>
      <c r="GV13" s="2">
        <v>38744</v>
      </c>
      <c r="GW13" s="3">
        <v>0</v>
      </c>
      <c r="GY13" t="s">
        <v>36</v>
      </c>
      <c r="GZ13" t="s">
        <v>37</v>
      </c>
      <c r="HF13" t="str">
        <f>""</f>
        <v/>
      </c>
      <c r="HK13" t="str">
        <f>""</f>
        <v/>
      </c>
      <c r="HN13" t="s">
        <v>38</v>
      </c>
      <c r="HP13" t="str">
        <f>"0009370712"</f>
        <v>0009370712</v>
      </c>
      <c r="HZ13" t="str">
        <f>""</f>
        <v/>
      </c>
      <c r="IA13" t="str">
        <f>HYPERLINK("https://web.datatree.com/?/property?propertyId=128798270")</f>
        <v>https://web.datatree.com/?/property?propertyId=128798270</v>
      </c>
    </row>
    <row r="14" spans="1:235" x14ac:dyDescent="0.3">
      <c r="A14" t="s">
        <v>1020</v>
      </c>
      <c r="B14" t="s">
        <v>1021</v>
      </c>
      <c r="C14" t="s">
        <v>1022</v>
      </c>
      <c r="D14" t="s">
        <v>1023</v>
      </c>
      <c r="E14" t="s">
        <v>3</v>
      </c>
      <c r="F14">
        <v>3</v>
      </c>
      <c r="O14" t="s">
        <v>1024</v>
      </c>
      <c r="P14" t="s">
        <v>1020</v>
      </c>
      <c r="T14" t="s">
        <v>5</v>
      </c>
      <c r="V14" t="s">
        <v>109</v>
      </c>
      <c r="W14">
        <v>900</v>
      </c>
      <c r="Z14" t="s">
        <v>1025</v>
      </c>
      <c r="AA14" t="s">
        <v>7</v>
      </c>
      <c r="AC14" t="s">
        <v>106</v>
      </c>
      <c r="AE14" t="s">
        <v>8</v>
      </c>
      <c r="AF14" t="str">
        <f>"78140"</f>
        <v>78140</v>
      </c>
      <c r="AG14" t="str">
        <f>"78140-3246"</f>
        <v>78140-3246</v>
      </c>
      <c r="AH14" t="s">
        <v>2</v>
      </c>
      <c r="AI14" t="s">
        <v>111</v>
      </c>
      <c r="AJ14" t="s">
        <v>1026</v>
      </c>
      <c r="AK14" t="s">
        <v>1027</v>
      </c>
      <c r="AL14" t="s">
        <v>109</v>
      </c>
      <c r="AM14">
        <v>1000</v>
      </c>
      <c r="AP14" t="s">
        <v>1025</v>
      </c>
      <c r="AQ14" t="s">
        <v>7</v>
      </c>
      <c r="AS14" t="s">
        <v>106</v>
      </c>
      <c r="AT14" t="s">
        <v>106</v>
      </c>
      <c r="AU14" t="s">
        <v>8</v>
      </c>
      <c r="AV14" t="str">
        <f>"78140-3240"</f>
        <v>78140-3240</v>
      </c>
      <c r="AW14" t="s">
        <v>111</v>
      </c>
      <c r="AX14" t="s">
        <v>1028</v>
      </c>
      <c r="AY14" t="s">
        <v>1029</v>
      </c>
      <c r="AZ14" t="s">
        <v>18</v>
      </c>
      <c r="BA14" t="s">
        <v>1030</v>
      </c>
      <c r="BB14" t="str">
        <f>"16042"</f>
        <v>16042</v>
      </c>
      <c r="BC14" t="str">
        <f>"16042"</f>
        <v>16042</v>
      </c>
      <c r="BD14" t="str">
        <f>"173302000006700000000"</f>
        <v>173302000006700000000</v>
      </c>
      <c r="BE14">
        <v>48177</v>
      </c>
      <c r="BG14">
        <v>500</v>
      </c>
      <c r="BH14">
        <v>3032</v>
      </c>
      <c r="BI14" t="s">
        <v>20</v>
      </c>
      <c r="BN14">
        <v>29.272570701144801</v>
      </c>
      <c r="BO14">
        <v>-97.755949338274903</v>
      </c>
      <c r="BP14" t="s">
        <v>1031</v>
      </c>
      <c r="BX14" t="s">
        <v>22</v>
      </c>
      <c r="CA14" t="str">
        <f>""</f>
        <v/>
      </c>
      <c r="CD14">
        <v>0</v>
      </c>
      <c r="CO14">
        <v>0</v>
      </c>
      <c r="EA14" s="1">
        <v>1</v>
      </c>
      <c r="EC14" t="s">
        <v>23</v>
      </c>
      <c r="ED14" t="s">
        <v>24</v>
      </c>
      <c r="EE14" t="s">
        <v>25</v>
      </c>
      <c r="EG14">
        <v>22259</v>
      </c>
      <c r="EH14">
        <v>0.51</v>
      </c>
      <c r="EI14">
        <f t="shared" si="0"/>
        <v>11730</v>
      </c>
      <c r="EJ14">
        <f t="shared" si="1"/>
        <v>5865</v>
      </c>
      <c r="EK14">
        <v>159</v>
      </c>
      <c r="EL14">
        <v>140</v>
      </c>
      <c r="EW14" t="s">
        <v>26</v>
      </c>
      <c r="EX14" t="s">
        <v>116</v>
      </c>
      <c r="EY14" t="s">
        <v>117</v>
      </c>
      <c r="EZ14" s="2">
        <v>40515</v>
      </c>
      <c r="FA14" t="s">
        <v>118</v>
      </c>
      <c r="FB14" t="str">
        <f>"FALSE"</f>
        <v>FALSE</v>
      </c>
      <c r="FC14">
        <v>2019</v>
      </c>
      <c r="FD14">
        <v>2016</v>
      </c>
      <c r="FE14" t="s">
        <v>119</v>
      </c>
      <c r="FF14" t="s">
        <v>31</v>
      </c>
      <c r="FG14" t="s">
        <v>31</v>
      </c>
      <c r="FH14" t="s">
        <v>31</v>
      </c>
      <c r="FI14" t="s">
        <v>31</v>
      </c>
      <c r="FJ14" t="s">
        <v>31</v>
      </c>
      <c r="FK14" t="s">
        <v>31</v>
      </c>
      <c r="FL14" t="s">
        <v>31</v>
      </c>
      <c r="FM14" t="s">
        <v>31</v>
      </c>
      <c r="FN14" t="s">
        <v>31</v>
      </c>
      <c r="FO14" t="s">
        <v>31</v>
      </c>
      <c r="FP14" t="s">
        <v>31</v>
      </c>
      <c r="FQ14" t="s">
        <v>31</v>
      </c>
      <c r="FR14" t="s">
        <v>31</v>
      </c>
      <c r="FS14" s="3">
        <v>16710</v>
      </c>
      <c r="FT14" s="3">
        <v>15900</v>
      </c>
      <c r="FU14" s="3">
        <v>810</v>
      </c>
      <c r="FV14">
        <v>4.8499999999999996</v>
      </c>
      <c r="FW14" s="3">
        <v>16710</v>
      </c>
      <c r="FX14" s="3">
        <v>15900</v>
      </c>
      <c r="FY14" s="3">
        <v>810</v>
      </c>
      <c r="FZ14">
        <v>4.8499999999999996</v>
      </c>
      <c r="GE14" s="3">
        <v>171.77</v>
      </c>
      <c r="GG14" s="3">
        <v>16710</v>
      </c>
      <c r="GI14" t="s">
        <v>120</v>
      </c>
      <c r="GL14" t="s">
        <v>121</v>
      </c>
      <c r="GM14" t="s">
        <v>122</v>
      </c>
      <c r="GN14" t="s">
        <v>123</v>
      </c>
      <c r="GS14" t="str">
        <f>""</f>
        <v/>
      </c>
      <c r="GT14" t="str">
        <f>""</f>
        <v/>
      </c>
      <c r="HF14" t="str">
        <f>""</f>
        <v/>
      </c>
      <c r="HK14" t="str">
        <f>""</f>
        <v/>
      </c>
      <c r="HN14" t="s">
        <v>38</v>
      </c>
      <c r="HP14" t="str">
        <f>""</f>
        <v/>
      </c>
      <c r="HZ14" t="str">
        <f>""</f>
        <v/>
      </c>
      <c r="IA14" t="str">
        <f>HYPERLINK("https://web.datatree.com/?/property?propertyId=128794524")</f>
        <v>https://web.datatree.com/?/property?propertyId=128794524</v>
      </c>
    </row>
    <row r="15" spans="1:235" x14ac:dyDescent="0.3">
      <c r="A15" t="s">
        <v>913</v>
      </c>
      <c r="B15" t="s">
        <v>914</v>
      </c>
      <c r="C15" t="s">
        <v>914</v>
      </c>
      <c r="D15" t="s">
        <v>458</v>
      </c>
      <c r="E15" t="s">
        <v>3</v>
      </c>
      <c r="F15">
        <v>2</v>
      </c>
      <c r="O15" t="s">
        <v>915</v>
      </c>
      <c r="P15" t="s">
        <v>913</v>
      </c>
      <c r="T15" t="s">
        <v>55</v>
      </c>
      <c r="Z15" t="s">
        <v>739</v>
      </c>
      <c r="AA15" t="s">
        <v>740</v>
      </c>
      <c r="AC15" t="s">
        <v>2</v>
      </c>
      <c r="AE15" t="s">
        <v>8</v>
      </c>
      <c r="AF15" t="str">
        <f>"78629"</f>
        <v>78629</v>
      </c>
      <c r="AG15" t="str">
        <f>"78629"</f>
        <v>78629</v>
      </c>
      <c r="AH15" t="s">
        <v>2</v>
      </c>
      <c r="AJ15" t="s">
        <v>741</v>
      </c>
      <c r="AK15" t="s">
        <v>742</v>
      </c>
      <c r="AM15">
        <v>1749</v>
      </c>
      <c r="AP15" t="s">
        <v>916</v>
      </c>
      <c r="AS15" t="s">
        <v>779</v>
      </c>
      <c r="AU15" t="s">
        <v>8</v>
      </c>
      <c r="AV15" t="str">
        <f>"77984-6325"</f>
        <v>77984-6325</v>
      </c>
      <c r="AW15" t="s">
        <v>60</v>
      </c>
      <c r="AX15" t="s">
        <v>917</v>
      </c>
      <c r="AY15" t="s">
        <v>918</v>
      </c>
      <c r="AZ15" t="s">
        <v>18</v>
      </c>
      <c r="BA15" t="s">
        <v>919</v>
      </c>
      <c r="BB15" t="str">
        <f>"23700"</f>
        <v>23700</v>
      </c>
      <c r="BC15" t="str">
        <f>"23700"</f>
        <v>23700</v>
      </c>
      <c r="BD15" t="str">
        <f>"905910100007000000000"</f>
        <v>905910100007000000000</v>
      </c>
      <c r="BE15">
        <v>48177</v>
      </c>
      <c r="BG15">
        <v>400</v>
      </c>
      <c r="BH15">
        <v>2001</v>
      </c>
      <c r="BN15">
        <v>29.469356459814101</v>
      </c>
      <c r="BO15">
        <v>-97.499716684488604</v>
      </c>
      <c r="BP15" t="s">
        <v>748</v>
      </c>
      <c r="BX15" t="s">
        <v>22</v>
      </c>
      <c r="CA15" t="str">
        <f>"7"</f>
        <v>7</v>
      </c>
      <c r="CB15" t="s">
        <v>5</v>
      </c>
      <c r="CC15">
        <v>360</v>
      </c>
      <c r="CD15">
        <v>600</v>
      </c>
      <c r="CH15">
        <v>360</v>
      </c>
      <c r="CJ15">
        <v>2008</v>
      </c>
      <c r="CO15">
        <v>0</v>
      </c>
      <c r="CU15">
        <v>1</v>
      </c>
      <c r="DA15" t="s">
        <v>131</v>
      </c>
      <c r="DC15" t="s">
        <v>131</v>
      </c>
      <c r="EA15" s="1">
        <v>1</v>
      </c>
      <c r="EC15" t="s">
        <v>23</v>
      </c>
      <c r="ED15" t="s">
        <v>431</v>
      </c>
      <c r="EE15" t="s">
        <v>25</v>
      </c>
      <c r="EG15">
        <v>22216</v>
      </c>
      <c r="EH15">
        <v>0.51</v>
      </c>
      <c r="EI15">
        <f t="shared" si="0"/>
        <v>11730</v>
      </c>
      <c r="EJ15">
        <f t="shared" si="1"/>
        <v>5865</v>
      </c>
      <c r="ER15">
        <v>1</v>
      </c>
      <c r="EW15" t="s">
        <v>270</v>
      </c>
      <c r="EX15" t="s">
        <v>271</v>
      </c>
      <c r="EY15" t="s">
        <v>272</v>
      </c>
      <c r="EZ15" s="2">
        <v>40515</v>
      </c>
      <c r="FA15" t="s">
        <v>143</v>
      </c>
      <c r="FB15" t="str">
        <f>"TRUE"</f>
        <v>TRUE</v>
      </c>
      <c r="FC15">
        <v>2019</v>
      </c>
      <c r="FD15">
        <v>2016</v>
      </c>
      <c r="FE15" t="s">
        <v>30</v>
      </c>
      <c r="FF15" t="s">
        <v>31</v>
      </c>
      <c r="FG15" t="s">
        <v>31</v>
      </c>
      <c r="FH15" t="s">
        <v>31</v>
      </c>
      <c r="FI15" t="s">
        <v>31</v>
      </c>
      <c r="FJ15" t="s">
        <v>31</v>
      </c>
      <c r="FK15" t="s">
        <v>31</v>
      </c>
      <c r="FL15" t="s">
        <v>31</v>
      </c>
      <c r="FM15" t="s">
        <v>31</v>
      </c>
      <c r="FN15" t="s">
        <v>31</v>
      </c>
      <c r="FO15" t="s">
        <v>31</v>
      </c>
      <c r="FP15" t="s">
        <v>31</v>
      </c>
      <c r="FQ15" t="s">
        <v>31</v>
      </c>
      <c r="FR15" t="s">
        <v>31</v>
      </c>
      <c r="FS15" s="3">
        <v>21550</v>
      </c>
      <c r="FT15" s="3">
        <v>15300</v>
      </c>
      <c r="FU15" s="3">
        <v>6250</v>
      </c>
      <c r="FV15">
        <v>29</v>
      </c>
      <c r="FW15" s="3">
        <v>21550</v>
      </c>
      <c r="FX15" s="3">
        <v>15300</v>
      </c>
      <c r="FY15" s="3">
        <v>6250</v>
      </c>
      <c r="FZ15">
        <v>29</v>
      </c>
      <c r="GE15" s="3">
        <v>426.59</v>
      </c>
      <c r="GG15" s="3">
        <v>21550</v>
      </c>
      <c r="GI15" t="s">
        <v>32</v>
      </c>
      <c r="GL15" t="s">
        <v>273</v>
      </c>
      <c r="GM15" t="s">
        <v>34</v>
      </c>
      <c r="GN15" t="s">
        <v>35</v>
      </c>
      <c r="GS15" t="str">
        <f>""</f>
        <v/>
      </c>
      <c r="GT15" t="str">
        <f>""</f>
        <v/>
      </c>
      <c r="GV15" s="2">
        <v>39629</v>
      </c>
      <c r="GW15" s="3">
        <v>0</v>
      </c>
      <c r="GY15" t="s">
        <v>36</v>
      </c>
      <c r="GZ15" t="s">
        <v>37</v>
      </c>
      <c r="HA15" s="3">
        <v>0</v>
      </c>
      <c r="HF15" t="str">
        <f>""</f>
        <v/>
      </c>
      <c r="HK15" t="str">
        <f>""</f>
        <v/>
      </c>
      <c r="HN15" t="s">
        <v>38</v>
      </c>
      <c r="HP15" t="str">
        <f>"0009850085"</f>
        <v>0009850085</v>
      </c>
      <c r="HZ15" t="str">
        <f>""</f>
        <v/>
      </c>
      <c r="IA15" t="str">
        <f>HYPERLINK("https://web.datatree.com/?/property?propertyId=128798277")</f>
        <v>https://web.datatree.com/?/property?propertyId=128798277</v>
      </c>
    </row>
    <row r="16" spans="1:235" x14ac:dyDescent="0.3">
      <c r="A16" t="s">
        <v>920</v>
      </c>
      <c r="B16" t="s">
        <v>921</v>
      </c>
      <c r="C16" t="s">
        <v>527</v>
      </c>
      <c r="D16" t="s">
        <v>922</v>
      </c>
      <c r="E16" t="s">
        <v>3</v>
      </c>
      <c r="F16">
        <v>10</v>
      </c>
      <c r="G16" t="s">
        <v>923</v>
      </c>
      <c r="H16" t="s">
        <v>924</v>
      </c>
      <c r="I16" t="s">
        <v>925</v>
      </c>
      <c r="J16" t="s">
        <v>922</v>
      </c>
      <c r="K16" t="s">
        <v>3</v>
      </c>
      <c r="L16">
        <v>8</v>
      </c>
      <c r="O16" t="s">
        <v>926</v>
      </c>
      <c r="P16" t="s">
        <v>927</v>
      </c>
      <c r="T16" t="s">
        <v>55</v>
      </c>
      <c r="Z16" t="s">
        <v>739</v>
      </c>
      <c r="AA16" t="s">
        <v>740</v>
      </c>
      <c r="AC16" t="s">
        <v>2</v>
      </c>
      <c r="AE16" t="s">
        <v>8</v>
      </c>
      <c r="AF16" t="str">
        <f>"78629"</f>
        <v>78629</v>
      </c>
      <c r="AG16" t="str">
        <f>"78629"</f>
        <v>78629</v>
      </c>
      <c r="AH16" t="s">
        <v>2</v>
      </c>
      <c r="AJ16" t="s">
        <v>741</v>
      </c>
      <c r="AK16" t="s">
        <v>742</v>
      </c>
      <c r="AM16">
        <v>615</v>
      </c>
      <c r="AP16" t="s">
        <v>928</v>
      </c>
      <c r="AQ16" t="s">
        <v>929</v>
      </c>
      <c r="AS16" t="s">
        <v>231</v>
      </c>
      <c r="AU16" t="s">
        <v>8</v>
      </c>
      <c r="AV16" t="str">
        <f>"78155-1797"</f>
        <v>78155-1797</v>
      </c>
      <c r="AW16" t="s">
        <v>60</v>
      </c>
      <c r="AX16" t="s">
        <v>930</v>
      </c>
      <c r="AY16" t="s">
        <v>931</v>
      </c>
      <c r="AZ16" t="s">
        <v>18</v>
      </c>
      <c r="BA16" t="s">
        <v>932</v>
      </c>
      <c r="BB16" t="str">
        <f>"23701"</f>
        <v>23701</v>
      </c>
      <c r="BC16" t="str">
        <f>"23701"</f>
        <v>23701</v>
      </c>
      <c r="BD16" t="str">
        <f>"905910100008000000000"</f>
        <v>905910100008000000000</v>
      </c>
      <c r="BE16">
        <v>48177</v>
      </c>
      <c r="BG16">
        <v>400</v>
      </c>
      <c r="BH16">
        <v>2001</v>
      </c>
      <c r="BN16">
        <v>29.469322317364298</v>
      </c>
      <c r="BO16">
        <v>-97.499392599507203</v>
      </c>
      <c r="BP16" t="s">
        <v>748</v>
      </c>
      <c r="BX16" t="s">
        <v>22</v>
      </c>
      <c r="CA16" t="str">
        <f>"8"</f>
        <v>8</v>
      </c>
      <c r="CB16" t="s">
        <v>5</v>
      </c>
      <c r="CD16">
        <v>0</v>
      </c>
      <c r="CO16">
        <v>0</v>
      </c>
      <c r="EA16" s="1">
        <v>1</v>
      </c>
      <c r="EC16" t="s">
        <v>23</v>
      </c>
      <c r="ED16" t="s">
        <v>933</v>
      </c>
      <c r="EE16" t="s">
        <v>25</v>
      </c>
      <c r="EG16">
        <v>22216</v>
      </c>
      <c r="EH16">
        <v>0.51</v>
      </c>
      <c r="EI16">
        <f t="shared" si="0"/>
        <v>11730</v>
      </c>
      <c r="EJ16">
        <f t="shared" si="1"/>
        <v>5865</v>
      </c>
      <c r="EW16" t="s">
        <v>270</v>
      </c>
      <c r="EX16" t="s">
        <v>271</v>
      </c>
      <c r="EY16" t="s">
        <v>272</v>
      </c>
      <c r="EZ16" s="2">
        <v>40515</v>
      </c>
      <c r="FA16" t="s">
        <v>143</v>
      </c>
      <c r="FB16" t="str">
        <f>"TRUE"</f>
        <v>TRUE</v>
      </c>
      <c r="FC16">
        <v>2019</v>
      </c>
      <c r="FD16">
        <v>2016</v>
      </c>
      <c r="FE16" t="s">
        <v>30</v>
      </c>
      <c r="FF16" t="s">
        <v>31</v>
      </c>
      <c r="FG16" t="s">
        <v>31</v>
      </c>
      <c r="FH16" t="s">
        <v>31</v>
      </c>
      <c r="FI16" t="s">
        <v>31</v>
      </c>
      <c r="FJ16" t="s">
        <v>31</v>
      </c>
      <c r="FK16" t="s">
        <v>31</v>
      </c>
      <c r="FL16" t="s">
        <v>31</v>
      </c>
      <c r="FM16" t="s">
        <v>31</v>
      </c>
      <c r="FN16" t="s">
        <v>31</v>
      </c>
      <c r="FO16" t="s">
        <v>31</v>
      </c>
      <c r="FP16" t="s">
        <v>31</v>
      </c>
      <c r="FQ16" t="s">
        <v>31</v>
      </c>
      <c r="FR16" t="s">
        <v>31</v>
      </c>
      <c r="FS16" s="3">
        <v>42540</v>
      </c>
      <c r="FT16" s="3">
        <v>15300</v>
      </c>
      <c r="FU16" s="3">
        <v>27240</v>
      </c>
      <c r="FV16">
        <v>64.03</v>
      </c>
      <c r="FW16" s="3">
        <v>42540</v>
      </c>
      <c r="FX16" s="3">
        <v>15300</v>
      </c>
      <c r="FY16" s="3">
        <v>27240</v>
      </c>
      <c r="FZ16">
        <v>64.03</v>
      </c>
      <c r="GE16" s="3">
        <v>52.05</v>
      </c>
      <c r="GG16" s="3">
        <v>42540</v>
      </c>
      <c r="GI16" t="s">
        <v>32</v>
      </c>
      <c r="GL16" t="s">
        <v>273</v>
      </c>
      <c r="GM16" t="s">
        <v>34</v>
      </c>
      <c r="GN16" t="s">
        <v>35</v>
      </c>
      <c r="GS16" t="str">
        <f>""</f>
        <v/>
      </c>
      <c r="GT16" t="str">
        <f>""</f>
        <v/>
      </c>
      <c r="GV16" s="2">
        <v>38683</v>
      </c>
      <c r="GW16" s="3">
        <v>0</v>
      </c>
      <c r="GY16" t="s">
        <v>36</v>
      </c>
      <c r="GZ16" t="s">
        <v>37</v>
      </c>
      <c r="HF16" t="str">
        <f>""</f>
        <v/>
      </c>
      <c r="HK16" t="str">
        <f>""</f>
        <v/>
      </c>
      <c r="HN16" t="s">
        <v>38</v>
      </c>
      <c r="HP16" t="str">
        <f>"0009340127"</f>
        <v>0009340127</v>
      </c>
      <c r="HZ16" t="str">
        <f>""</f>
        <v/>
      </c>
      <c r="IA16" t="str">
        <f>HYPERLINK("https://web.datatree.com/?/property?propertyId=128798278")</f>
        <v>https://web.datatree.com/?/property?propertyId=128798278</v>
      </c>
    </row>
    <row r="17" spans="1:235" x14ac:dyDescent="0.3">
      <c r="A17" t="s">
        <v>662</v>
      </c>
      <c r="D17" t="s">
        <v>662</v>
      </c>
      <c r="E17" t="s">
        <v>663</v>
      </c>
      <c r="F17">
        <v>4</v>
      </c>
      <c r="O17" t="s">
        <v>664</v>
      </c>
      <c r="P17" t="s">
        <v>662</v>
      </c>
      <c r="Q17" t="s">
        <v>665</v>
      </c>
      <c r="T17" t="s">
        <v>55</v>
      </c>
      <c r="W17">
        <v>1105</v>
      </c>
      <c r="Z17" t="s">
        <v>666</v>
      </c>
      <c r="AA17" t="s">
        <v>77</v>
      </c>
      <c r="AC17" t="s">
        <v>2</v>
      </c>
      <c r="AE17" t="s">
        <v>8</v>
      </c>
      <c r="AF17" t="str">
        <f>"78629"</f>
        <v>78629</v>
      </c>
      <c r="AG17" t="str">
        <f>"78629"</f>
        <v>78629</v>
      </c>
      <c r="AH17" t="s">
        <v>2</v>
      </c>
      <c r="AJ17" t="s">
        <v>667</v>
      </c>
      <c r="AK17" t="s">
        <v>668</v>
      </c>
      <c r="AP17" t="s">
        <v>669</v>
      </c>
      <c r="AS17" t="s">
        <v>2</v>
      </c>
      <c r="AT17" t="s">
        <v>2</v>
      </c>
      <c r="AU17" t="s">
        <v>8</v>
      </c>
      <c r="AV17" t="str">
        <f>"78629"</f>
        <v>78629</v>
      </c>
      <c r="AW17" t="s">
        <v>670</v>
      </c>
      <c r="AX17" t="s">
        <v>671</v>
      </c>
      <c r="AY17" t="s">
        <v>672</v>
      </c>
      <c r="AZ17" t="s">
        <v>18</v>
      </c>
      <c r="BA17" t="s">
        <v>673</v>
      </c>
      <c r="BB17" t="str">
        <f>"17076"</f>
        <v>17076</v>
      </c>
      <c r="BC17" t="str">
        <f>"17076"</f>
        <v>17076</v>
      </c>
      <c r="BD17" t="str">
        <f>"192528500000000000000"</f>
        <v>192528500000000000000</v>
      </c>
      <c r="BE17">
        <v>48177</v>
      </c>
      <c r="BG17">
        <v>400</v>
      </c>
      <c r="BH17">
        <v>2001</v>
      </c>
      <c r="BI17" t="s">
        <v>20</v>
      </c>
      <c r="BN17">
        <v>29.5162401395371</v>
      </c>
      <c r="BO17">
        <v>-97.430355748221103</v>
      </c>
      <c r="BX17" t="s">
        <v>22</v>
      </c>
      <c r="CA17" t="str">
        <f>"3"</f>
        <v>3</v>
      </c>
      <c r="CD17">
        <v>0</v>
      </c>
      <c r="CO17">
        <v>0</v>
      </c>
      <c r="EA17" s="1">
        <v>1</v>
      </c>
      <c r="EC17" t="s">
        <v>23</v>
      </c>
      <c r="ED17" t="s">
        <v>24</v>
      </c>
      <c r="EE17" t="s">
        <v>25</v>
      </c>
      <c r="EG17">
        <v>23087</v>
      </c>
      <c r="EH17">
        <v>0.53</v>
      </c>
      <c r="EI17">
        <f t="shared" si="0"/>
        <v>12190</v>
      </c>
      <c r="EJ17">
        <f t="shared" si="1"/>
        <v>6095</v>
      </c>
      <c r="EW17" t="s">
        <v>26</v>
      </c>
      <c r="EX17" t="s">
        <v>64</v>
      </c>
      <c r="EY17" t="s">
        <v>65</v>
      </c>
      <c r="EZ17" s="2">
        <v>40515</v>
      </c>
      <c r="FA17" t="s">
        <v>29</v>
      </c>
      <c r="FB17" t="str">
        <f>"FALSE"</f>
        <v>FALSE</v>
      </c>
      <c r="FC17">
        <v>2019</v>
      </c>
      <c r="FD17">
        <v>2016</v>
      </c>
      <c r="FE17" t="s">
        <v>30</v>
      </c>
      <c r="FF17" t="s">
        <v>31</v>
      </c>
      <c r="FG17" t="s">
        <v>31</v>
      </c>
      <c r="FH17" t="s">
        <v>31</v>
      </c>
      <c r="FI17" t="s">
        <v>31</v>
      </c>
      <c r="FJ17" t="s">
        <v>31</v>
      </c>
      <c r="FK17" t="s">
        <v>31</v>
      </c>
      <c r="FL17" t="s">
        <v>31</v>
      </c>
      <c r="FM17" t="s">
        <v>31</v>
      </c>
      <c r="FN17" t="s">
        <v>31</v>
      </c>
      <c r="FO17" t="s">
        <v>31</v>
      </c>
      <c r="FP17" t="s">
        <v>31</v>
      </c>
      <c r="FQ17" t="s">
        <v>31</v>
      </c>
      <c r="FR17" t="s">
        <v>31</v>
      </c>
      <c r="FS17" s="3">
        <v>79420</v>
      </c>
      <c r="FT17" s="3">
        <v>79420</v>
      </c>
      <c r="FW17" s="3">
        <v>79420</v>
      </c>
      <c r="FX17" s="3">
        <v>79420</v>
      </c>
      <c r="GE17" s="3">
        <v>235.11</v>
      </c>
      <c r="GG17" s="3">
        <v>79420</v>
      </c>
      <c r="GI17" t="s">
        <v>32</v>
      </c>
      <c r="GL17" t="s">
        <v>33</v>
      </c>
      <c r="GM17" t="s">
        <v>34</v>
      </c>
      <c r="GN17" t="s">
        <v>35</v>
      </c>
      <c r="GS17" t="str">
        <f>""</f>
        <v/>
      </c>
      <c r="GT17" t="str">
        <f>""</f>
        <v/>
      </c>
      <c r="HF17" t="str">
        <f>""</f>
        <v/>
      </c>
      <c r="HK17" t="str">
        <f>""</f>
        <v/>
      </c>
      <c r="HN17" t="s">
        <v>38</v>
      </c>
      <c r="HP17" t="str">
        <f>""</f>
        <v/>
      </c>
      <c r="HZ17" t="str">
        <f>""</f>
        <v/>
      </c>
      <c r="IA17" t="str">
        <f>HYPERLINK("https://web.datatree.com/?/property?propertyId=128795530")</f>
        <v>https://web.datatree.com/?/property?propertyId=128795530</v>
      </c>
    </row>
    <row r="18" spans="1:235" x14ac:dyDescent="0.3">
      <c r="A18" t="s">
        <v>1451</v>
      </c>
      <c r="B18" t="s">
        <v>1452</v>
      </c>
      <c r="C18" t="s">
        <v>1453</v>
      </c>
      <c r="D18" t="s">
        <v>1454</v>
      </c>
      <c r="E18" t="s">
        <v>3</v>
      </c>
      <c r="F18">
        <v>2</v>
      </c>
      <c r="G18" t="s">
        <v>1455</v>
      </c>
      <c r="H18" t="s">
        <v>1456</v>
      </c>
      <c r="I18" t="s">
        <v>1457</v>
      </c>
      <c r="J18" t="s">
        <v>1458</v>
      </c>
      <c r="K18" t="s">
        <v>3</v>
      </c>
      <c r="L18">
        <v>2</v>
      </c>
      <c r="O18" t="s">
        <v>1459</v>
      </c>
      <c r="P18" t="s">
        <v>1460</v>
      </c>
      <c r="T18" t="s">
        <v>5</v>
      </c>
      <c r="V18" t="s">
        <v>148</v>
      </c>
      <c r="W18">
        <v>606</v>
      </c>
      <c r="Z18" t="s">
        <v>1445</v>
      </c>
      <c r="AA18" t="s">
        <v>7</v>
      </c>
      <c r="AC18" t="s">
        <v>106</v>
      </c>
      <c r="AE18" t="s">
        <v>8</v>
      </c>
      <c r="AF18" t="str">
        <f>"78140"</f>
        <v>78140</v>
      </c>
      <c r="AG18" t="str">
        <f>"78140-2568"</f>
        <v>78140-2568</v>
      </c>
      <c r="AH18" t="s">
        <v>2</v>
      </c>
      <c r="AI18" t="s">
        <v>111</v>
      </c>
      <c r="AJ18" t="s">
        <v>1461</v>
      </c>
      <c r="AK18" t="s">
        <v>1462</v>
      </c>
      <c r="AL18" t="s">
        <v>52</v>
      </c>
      <c r="AM18">
        <v>408</v>
      </c>
      <c r="AP18" t="s">
        <v>127</v>
      </c>
      <c r="AQ18" t="s">
        <v>105</v>
      </c>
      <c r="AS18" t="s">
        <v>106</v>
      </c>
      <c r="AT18" t="s">
        <v>106</v>
      </c>
      <c r="AU18" t="s">
        <v>8</v>
      </c>
      <c r="AV18" t="str">
        <f>"78140-2890"</f>
        <v>78140-2890</v>
      </c>
      <c r="AW18" t="s">
        <v>111</v>
      </c>
      <c r="AX18" t="s">
        <v>1463</v>
      </c>
      <c r="AY18" t="s">
        <v>1464</v>
      </c>
      <c r="AZ18" t="s">
        <v>18</v>
      </c>
      <c r="BA18" t="s">
        <v>1465</v>
      </c>
      <c r="BB18" t="str">
        <f>"14990"</f>
        <v>14990</v>
      </c>
      <c r="BC18" t="str">
        <f>"14990"</f>
        <v>14990</v>
      </c>
      <c r="BD18" t="str">
        <f>"170200700000100000000"</f>
        <v>170200700000100000000</v>
      </c>
      <c r="BE18">
        <v>48177</v>
      </c>
      <c r="BG18">
        <v>500</v>
      </c>
      <c r="BH18">
        <v>3060</v>
      </c>
      <c r="BI18" t="s">
        <v>20</v>
      </c>
      <c r="BN18">
        <v>29.269763999999999</v>
      </c>
      <c r="BO18">
        <v>-97.769645999999995</v>
      </c>
      <c r="BP18" t="s">
        <v>1450</v>
      </c>
      <c r="BX18" t="s">
        <v>22</v>
      </c>
      <c r="CA18" t="str">
        <f>"1"</f>
        <v>1</v>
      </c>
      <c r="CD18">
        <v>0</v>
      </c>
      <c r="CO18">
        <v>0</v>
      </c>
      <c r="EA18" s="1">
        <v>1</v>
      </c>
      <c r="EC18" t="s">
        <v>23</v>
      </c>
      <c r="ED18" t="s">
        <v>24</v>
      </c>
      <c r="EE18" t="s">
        <v>25</v>
      </c>
      <c r="EG18">
        <v>23740</v>
      </c>
      <c r="EH18">
        <v>0.54</v>
      </c>
      <c r="EI18">
        <f t="shared" si="0"/>
        <v>12420</v>
      </c>
      <c r="EJ18">
        <f t="shared" si="1"/>
        <v>6210</v>
      </c>
      <c r="EK18">
        <v>100</v>
      </c>
      <c r="EL18">
        <v>237.4</v>
      </c>
      <c r="EW18" t="s">
        <v>26</v>
      </c>
      <c r="EX18" t="s">
        <v>116</v>
      </c>
      <c r="EY18" t="s">
        <v>117</v>
      </c>
      <c r="EZ18" s="2">
        <v>40515</v>
      </c>
      <c r="FA18" t="s">
        <v>118</v>
      </c>
      <c r="FB18" t="str">
        <f>"FALSE"</f>
        <v>FALSE</v>
      </c>
      <c r="FC18">
        <v>2019</v>
      </c>
      <c r="FD18">
        <v>2016</v>
      </c>
      <c r="FE18" t="s">
        <v>119</v>
      </c>
      <c r="FF18" t="s">
        <v>31</v>
      </c>
      <c r="FG18" t="s">
        <v>31</v>
      </c>
      <c r="FH18" t="s">
        <v>31</v>
      </c>
      <c r="FI18" t="s">
        <v>31</v>
      </c>
      <c r="FJ18" t="s">
        <v>31</v>
      </c>
      <c r="FK18" t="s">
        <v>31</v>
      </c>
      <c r="FL18" t="s">
        <v>31</v>
      </c>
      <c r="FM18" t="s">
        <v>31</v>
      </c>
      <c r="FN18" t="s">
        <v>31</v>
      </c>
      <c r="FO18" t="s">
        <v>31</v>
      </c>
      <c r="FP18" t="s">
        <v>31</v>
      </c>
      <c r="FQ18" t="s">
        <v>31</v>
      </c>
      <c r="FR18" t="s">
        <v>31</v>
      </c>
      <c r="FS18" s="3">
        <v>10600</v>
      </c>
      <c r="FT18" s="3">
        <v>10600</v>
      </c>
      <c r="FW18" s="3">
        <v>10600</v>
      </c>
      <c r="FX18" s="3">
        <v>10600</v>
      </c>
      <c r="GE18" s="3">
        <v>68.709999999999994</v>
      </c>
      <c r="GG18" s="3">
        <v>10600</v>
      </c>
      <c r="GI18" t="s">
        <v>120</v>
      </c>
      <c r="GL18" t="s">
        <v>121</v>
      </c>
      <c r="GM18" t="s">
        <v>122</v>
      </c>
      <c r="GN18" t="s">
        <v>123</v>
      </c>
      <c r="GS18" t="str">
        <f>""</f>
        <v/>
      </c>
      <c r="GT18" t="str">
        <f>""</f>
        <v/>
      </c>
      <c r="GV18" s="2">
        <v>39268</v>
      </c>
      <c r="GW18" s="3">
        <v>0</v>
      </c>
      <c r="GY18" t="s">
        <v>36</v>
      </c>
      <c r="GZ18" t="s">
        <v>37</v>
      </c>
      <c r="HF18" t="str">
        <f>""</f>
        <v/>
      </c>
      <c r="HK18" t="str">
        <f>""</f>
        <v/>
      </c>
      <c r="HN18" t="s">
        <v>38</v>
      </c>
      <c r="HP18" t="str">
        <f>"0009660047"</f>
        <v>0009660047</v>
      </c>
      <c r="HZ18" t="str">
        <f>""</f>
        <v/>
      </c>
      <c r="IA18" t="str">
        <f>HYPERLINK("https://web.datatree.com/?/property?propertyId=128793531")</f>
        <v>https://web.datatree.com/?/property?propertyId=128793531</v>
      </c>
    </row>
    <row r="19" spans="1:235" x14ac:dyDescent="0.3">
      <c r="A19" t="s">
        <v>1439</v>
      </c>
      <c r="B19" t="s">
        <v>527</v>
      </c>
      <c r="C19" t="s">
        <v>527</v>
      </c>
      <c r="D19" t="s">
        <v>1440</v>
      </c>
      <c r="E19" t="s">
        <v>3</v>
      </c>
      <c r="F19">
        <v>2</v>
      </c>
      <c r="G19" t="s">
        <v>1441</v>
      </c>
      <c r="H19" t="s">
        <v>1442</v>
      </c>
      <c r="I19" t="s">
        <v>247</v>
      </c>
      <c r="J19" t="s">
        <v>1440</v>
      </c>
      <c r="K19" t="s">
        <v>3</v>
      </c>
      <c r="L19">
        <v>1</v>
      </c>
      <c r="O19" t="s">
        <v>1443</v>
      </c>
      <c r="P19" t="s">
        <v>1444</v>
      </c>
      <c r="Q19" t="s">
        <v>907</v>
      </c>
      <c r="T19" t="s">
        <v>137</v>
      </c>
      <c r="V19" t="s">
        <v>148</v>
      </c>
      <c r="W19">
        <v>608</v>
      </c>
      <c r="Z19" t="s">
        <v>1445</v>
      </c>
      <c r="AA19" t="s">
        <v>7</v>
      </c>
      <c r="AC19" t="s">
        <v>106</v>
      </c>
      <c r="AE19" t="s">
        <v>8</v>
      </c>
      <c r="AF19" t="str">
        <f>"78140"</f>
        <v>78140</v>
      </c>
      <c r="AG19" t="str">
        <f>"78140-2568"</f>
        <v>78140-2568</v>
      </c>
      <c r="AH19" t="s">
        <v>2</v>
      </c>
      <c r="AI19" t="s">
        <v>111</v>
      </c>
      <c r="AJ19" t="s">
        <v>1446</v>
      </c>
      <c r="AK19" t="s">
        <v>1447</v>
      </c>
      <c r="AL19" t="s">
        <v>148</v>
      </c>
      <c r="AM19">
        <v>608</v>
      </c>
      <c r="AP19" t="s">
        <v>1445</v>
      </c>
      <c r="AQ19" t="s">
        <v>7</v>
      </c>
      <c r="AS19" t="s">
        <v>106</v>
      </c>
      <c r="AU19" t="s">
        <v>8</v>
      </c>
      <c r="AV19" t="str">
        <f>"78140-2568"</f>
        <v>78140-2568</v>
      </c>
      <c r="AW19" t="s">
        <v>111</v>
      </c>
      <c r="AX19" t="s">
        <v>1446</v>
      </c>
      <c r="AY19" t="s">
        <v>1448</v>
      </c>
      <c r="BA19" t="s">
        <v>1449</v>
      </c>
      <c r="BB19" t="str">
        <f>"14991"</f>
        <v>14991</v>
      </c>
      <c r="BC19" t="str">
        <f>"14991"</f>
        <v>14991</v>
      </c>
      <c r="BD19" t="str">
        <f>"170201000000200000000"</f>
        <v>170201000000200000000</v>
      </c>
      <c r="BE19">
        <v>48177</v>
      </c>
      <c r="BG19">
        <v>500</v>
      </c>
      <c r="BH19">
        <v>3060</v>
      </c>
      <c r="BI19" t="s">
        <v>20</v>
      </c>
      <c r="BN19">
        <v>29.269895999999999</v>
      </c>
      <c r="BO19">
        <v>-97.769920999999997</v>
      </c>
      <c r="BP19" t="s">
        <v>1450</v>
      </c>
      <c r="BX19" t="s">
        <v>22</v>
      </c>
      <c r="CA19" t="str">
        <f>"2"</f>
        <v>2</v>
      </c>
      <c r="CD19">
        <v>0</v>
      </c>
      <c r="CO19">
        <v>0</v>
      </c>
      <c r="EA19" s="1">
        <v>1</v>
      </c>
      <c r="EC19" t="s">
        <v>23</v>
      </c>
      <c r="ED19" t="s">
        <v>24</v>
      </c>
      <c r="EE19" t="s">
        <v>25</v>
      </c>
      <c r="EG19">
        <v>23501</v>
      </c>
      <c r="EH19">
        <v>0.54</v>
      </c>
      <c r="EI19">
        <f t="shared" si="0"/>
        <v>12420</v>
      </c>
      <c r="EJ19">
        <f t="shared" si="1"/>
        <v>6210</v>
      </c>
      <c r="EK19">
        <v>100</v>
      </c>
      <c r="EL19">
        <v>235</v>
      </c>
      <c r="EW19" t="s">
        <v>26</v>
      </c>
      <c r="EX19" t="s">
        <v>116</v>
      </c>
      <c r="EY19" t="s">
        <v>117</v>
      </c>
      <c r="EZ19" s="2">
        <v>40515</v>
      </c>
      <c r="FA19" t="s">
        <v>118</v>
      </c>
      <c r="FB19" t="str">
        <f>"FALSE"</f>
        <v>FALSE</v>
      </c>
      <c r="FC19">
        <v>2019</v>
      </c>
      <c r="FD19">
        <v>2016</v>
      </c>
      <c r="FE19" t="s">
        <v>119</v>
      </c>
      <c r="FF19" t="s">
        <v>31</v>
      </c>
      <c r="FG19" t="s">
        <v>31</v>
      </c>
      <c r="FH19" t="s">
        <v>31</v>
      </c>
      <c r="FI19" t="s">
        <v>31</v>
      </c>
      <c r="FJ19" t="s">
        <v>31</v>
      </c>
      <c r="FK19" t="s">
        <v>31</v>
      </c>
      <c r="FL19" t="s">
        <v>31</v>
      </c>
      <c r="FM19" t="s">
        <v>31</v>
      </c>
      <c r="FN19" t="s">
        <v>31</v>
      </c>
      <c r="FO19" t="s">
        <v>31</v>
      </c>
      <c r="FP19" t="s">
        <v>31</v>
      </c>
      <c r="FQ19" t="s">
        <v>31</v>
      </c>
      <c r="FR19" t="s">
        <v>31</v>
      </c>
      <c r="FS19" s="3">
        <v>11800</v>
      </c>
      <c r="FT19" s="3">
        <v>11800</v>
      </c>
      <c r="FW19" s="3">
        <v>11800</v>
      </c>
      <c r="FX19" s="3">
        <v>11800</v>
      </c>
      <c r="GE19" s="3">
        <v>76.489999999999995</v>
      </c>
      <c r="GG19" s="3">
        <v>11800</v>
      </c>
      <c r="GI19" t="s">
        <v>120</v>
      </c>
      <c r="GL19" t="s">
        <v>121</v>
      </c>
      <c r="GM19" t="s">
        <v>122</v>
      </c>
      <c r="GN19" t="s">
        <v>123</v>
      </c>
      <c r="GS19" t="str">
        <f>""</f>
        <v/>
      </c>
      <c r="GT19" t="str">
        <f>""</f>
        <v/>
      </c>
      <c r="GV19" s="2">
        <v>40767</v>
      </c>
      <c r="GW19" s="3">
        <v>0</v>
      </c>
      <c r="GY19" t="s">
        <v>36</v>
      </c>
      <c r="GZ19" t="s">
        <v>37</v>
      </c>
      <c r="HF19" t="str">
        <f>""</f>
        <v/>
      </c>
      <c r="HK19" t="str">
        <f>""</f>
        <v/>
      </c>
      <c r="HN19" t="s">
        <v>38</v>
      </c>
      <c r="HP19" t="str">
        <f>"0010610718"</f>
        <v>0010610718</v>
      </c>
      <c r="HZ19" t="str">
        <f>""</f>
        <v/>
      </c>
      <c r="IA19" t="str">
        <f>HYPERLINK("https://web.datatree.com/?/property?propertyId=128793532")</f>
        <v>https://web.datatree.com/?/property?propertyId=128793532</v>
      </c>
    </row>
    <row r="20" spans="1:235" x14ac:dyDescent="0.3">
      <c r="A20" t="s">
        <v>1007</v>
      </c>
      <c r="D20" t="s">
        <v>1007</v>
      </c>
      <c r="E20" t="s">
        <v>84</v>
      </c>
      <c r="F20">
        <v>10154</v>
      </c>
      <c r="G20" t="s">
        <v>1008</v>
      </c>
      <c r="K20" t="s">
        <v>84</v>
      </c>
      <c r="O20" t="s">
        <v>1007</v>
      </c>
      <c r="P20" t="s">
        <v>1009</v>
      </c>
      <c r="R20" t="s">
        <v>85</v>
      </c>
      <c r="T20" t="s">
        <v>55</v>
      </c>
      <c r="Z20" t="s">
        <v>1010</v>
      </c>
      <c r="AC20" t="s">
        <v>2</v>
      </c>
      <c r="AE20" t="s">
        <v>8</v>
      </c>
      <c r="AF20" t="str">
        <f>"78629"</f>
        <v>78629</v>
      </c>
      <c r="AG20" t="str">
        <f>"78629"</f>
        <v>78629</v>
      </c>
      <c r="AH20" t="s">
        <v>2</v>
      </c>
      <c r="AJ20" t="s">
        <v>1011</v>
      </c>
      <c r="AK20" t="s">
        <v>1012</v>
      </c>
      <c r="AM20">
        <v>1400</v>
      </c>
      <c r="AP20" t="s">
        <v>1013</v>
      </c>
      <c r="AQ20" t="s">
        <v>7</v>
      </c>
      <c r="AR20">
        <v>1640</v>
      </c>
      <c r="AS20" t="s">
        <v>1014</v>
      </c>
      <c r="AT20" t="s">
        <v>1014</v>
      </c>
      <c r="AU20" t="s">
        <v>1015</v>
      </c>
      <c r="AV20" t="str">
        <f>"68179-1001"</f>
        <v>68179-1001</v>
      </c>
      <c r="AW20" t="s">
        <v>1016</v>
      </c>
      <c r="AX20" t="s">
        <v>1017</v>
      </c>
      <c r="AY20" t="s">
        <v>1018</v>
      </c>
      <c r="AZ20" t="s">
        <v>18</v>
      </c>
      <c r="BA20" t="s">
        <v>1019</v>
      </c>
      <c r="BB20" t="str">
        <f>"12279"</f>
        <v>12279</v>
      </c>
      <c r="BC20" t="str">
        <f>"12279"</f>
        <v>12279</v>
      </c>
      <c r="BD20" t="str">
        <f>"162015102000000000000"</f>
        <v>162015102000000000000</v>
      </c>
      <c r="BE20">
        <v>48177</v>
      </c>
      <c r="BG20">
        <v>400</v>
      </c>
      <c r="BH20">
        <v>2001</v>
      </c>
      <c r="BN20">
        <v>29.5057780993296</v>
      </c>
      <c r="BO20">
        <v>-97.451350829548403</v>
      </c>
      <c r="BX20" t="s">
        <v>22</v>
      </c>
      <c r="CA20" t="str">
        <f>""</f>
        <v/>
      </c>
      <c r="CB20">
        <v>2</v>
      </c>
      <c r="CD20">
        <v>0</v>
      </c>
      <c r="CO20">
        <v>0</v>
      </c>
      <c r="EA20" s="1">
        <v>1</v>
      </c>
      <c r="EC20" t="s">
        <v>23</v>
      </c>
      <c r="ED20" t="s">
        <v>24</v>
      </c>
      <c r="EE20" t="s">
        <v>25</v>
      </c>
      <c r="EG20">
        <v>23531</v>
      </c>
      <c r="EH20">
        <v>0.54</v>
      </c>
      <c r="EI20">
        <f t="shared" si="0"/>
        <v>12420</v>
      </c>
      <c r="EJ20">
        <f t="shared" si="1"/>
        <v>6210</v>
      </c>
      <c r="EK20">
        <v>333.3</v>
      </c>
      <c r="EL20">
        <v>70.599999999999994</v>
      </c>
      <c r="EW20" t="s">
        <v>26</v>
      </c>
      <c r="EX20" t="s">
        <v>27</v>
      </c>
      <c r="EY20" t="s">
        <v>28</v>
      </c>
      <c r="EZ20" s="2">
        <v>40515</v>
      </c>
      <c r="FA20" t="s">
        <v>29</v>
      </c>
      <c r="FB20" t="str">
        <f>"FALSE"</f>
        <v>FALSE</v>
      </c>
      <c r="FC20">
        <v>2019</v>
      </c>
      <c r="FD20">
        <v>2016</v>
      </c>
      <c r="FE20" t="s">
        <v>30</v>
      </c>
      <c r="FF20" t="s">
        <v>31</v>
      </c>
      <c r="FG20" t="s">
        <v>31</v>
      </c>
      <c r="FH20" t="s">
        <v>31</v>
      </c>
      <c r="FI20" t="s">
        <v>31</v>
      </c>
      <c r="FJ20" t="s">
        <v>31</v>
      </c>
      <c r="FK20" t="s">
        <v>31</v>
      </c>
      <c r="FL20" t="s">
        <v>31</v>
      </c>
      <c r="FM20" t="s">
        <v>31</v>
      </c>
      <c r="FN20" t="s">
        <v>31</v>
      </c>
      <c r="FO20" t="s">
        <v>31</v>
      </c>
      <c r="FP20" t="s">
        <v>31</v>
      </c>
      <c r="FQ20" t="s">
        <v>31</v>
      </c>
      <c r="FR20" t="s">
        <v>31</v>
      </c>
      <c r="FS20" s="3">
        <v>47660</v>
      </c>
      <c r="FT20" s="3">
        <v>47660</v>
      </c>
      <c r="FW20" s="3">
        <v>47660</v>
      </c>
      <c r="FX20" s="3">
        <v>47660</v>
      </c>
      <c r="GE20" s="3">
        <v>1057.0999999999999</v>
      </c>
      <c r="GG20" s="3">
        <v>47660</v>
      </c>
      <c r="GI20" t="s">
        <v>32</v>
      </c>
      <c r="GL20" t="s">
        <v>33</v>
      </c>
      <c r="GM20" t="s">
        <v>34</v>
      </c>
      <c r="GN20" t="s">
        <v>35</v>
      </c>
      <c r="GS20" t="str">
        <f>""</f>
        <v/>
      </c>
      <c r="GT20" t="str">
        <f>""</f>
        <v/>
      </c>
      <c r="HF20" t="str">
        <f>""</f>
        <v/>
      </c>
      <c r="HK20" t="str">
        <f>""</f>
        <v/>
      </c>
      <c r="HN20" t="s">
        <v>38</v>
      </c>
      <c r="HP20" t="str">
        <f>""</f>
        <v/>
      </c>
      <c r="HZ20" t="str">
        <f>""</f>
        <v/>
      </c>
      <c r="IA20" t="str">
        <f>HYPERLINK("https://web.datatree.com/?/property?propertyId=128791237")</f>
        <v>https://web.datatree.com/?/property?propertyId=128791237</v>
      </c>
    </row>
    <row r="21" spans="1:235" x14ac:dyDescent="0.3">
      <c r="A21" t="s">
        <v>934</v>
      </c>
      <c r="B21" t="s">
        <v>935</v>
      </c>
      <c r="C21" t="s">
        <v>936</v>
      </c>
      <c r="D21" t="s">
        <v>937</v>
      </c>
      <c r="E21" t="s">
        <v>3</v>
      </c>
      <c r="F21">
        <v>2</v>
      </c>
      <c r="G21" t="s">
        <v>938</v>
      </c>
      <c r="H21" t="s">
        <v>939</v>
      </c>
      <c r="I21" t="s">
        <v>939</v>
      </c>
      <c r="J21" t="s">
        <v>937</v>
      </c>
      <c r="K21" t="s">
        <v>3</v>
      </c>
      <c r="L21">
        <v>2</v>
      </c>
      <c r="O21" t="s">
        <v>940</v>
      </c>
      <c r="P21" t="s">
        <v>941</v>
      </c>
      <c r="T21" t="s">
        <v>55</v>
      </c>
      <c r="Z21" t="s">
        <v>739</v>
      </c>
      <c r="AA21" t="s">
        <v>740</v>
      </c>
      <c r="AC21" t="s">
        <v>2</v>
      </c>
      <c r="AE21" t="s">
        <v>8</v>
      </c>
      <c r="AF21" t="str">
        <f>"78629"</f>
        <v>78629</v>
      </c>
      <c r="AG21" t="str">
        <f>"78629"</f>
        <v>78629</v>
      </c>
      <c r="AH21" t="s">
        <v>2</v>
      </c>
      <c r="AJ21" t="s">
        <v>741</v>
      </c>
      <c r="AK21" t="s">
        <v>742</v>
      </c>
      <c r="AP21" t="s">
        <v>942</v>
      </c>
      <c r="AS21" t="s">
        <v>2</v>
      </c>
      <c r="AT21" t="s">
        <v>2</v>
      </c>
      <c r="AU21" t="s">
        <v>8</v>
      </c>
      <c r="AV21" t="str">
        <f>"78629-1463"</f>
        <v>78629-1463</v>
      </c>
      <c r="AW21" t="s">
        <v>943</v>
      </c>
      <c r="AX21" t="s">
        <v>944</v>
      </c>
      <c r="AY21" t="s">
        <v>945</v>
      </c>
      <c r="AZ21" t="s">
        <v>18</v>
      </c>
      <c r="BA21" t="s">
        <v>946</v>
      </c>
      <c r="BB21" t="str">
        <f>"23704"</f>
        <v>23704</v>
      </c>
      <c r="BC21" t="str">
        <f>"23704"</f>
        <v>23704</v>
      </c>
      <c r="BD21" t="str">
        <f>"905910100011000000000"</f>
        <v>905910100011000000000</v>
      </c>
      <c r="BE21">
        <v>48177</v>
      </c>
      <c r="BG21">
        <v>400</v>
      </c>
      <c r="BH21">
        <v>2001</v>
      </c>
      <c r="BN21">
        <v>29.468767486837301</v>
      </c>
      <c r="BO21">
        <v>-97.499286067394607</v>
      </c>
      <c r="BP21" t="s">
        <v>748</v>
      </c>
      <c r="BX21" t="s">
        <v>22</v>
      </c>
      <c r="CA21" t="str">
        <f>"11"</f>
        <v>11</v>
      </c>
      <c r="CB21" t="s">
        <v>5</v>
      </c>
      <c r="CD21">
        <v>0</v>
      </c>
      <c r="CO21">
        <v>0</v>
      </c>
      <c r="EA21" s="1">
        <v>1</v>
      </c>
      <c r="EC21" t="s">
        <v>23</v>
      </c>
      <c r="ED21" t="s">
        <v>24</v>
      </c>
      <c r="EE21" t="s">
        <v>25</v>
      </c>
      <c r="EG21">
        <v>24829</v>
      </c>
      <c r="EH21">
        <v>0.56999999999999995</v>
      </c>
      <c r="EI21">
        <f t="shared" si="0"/>
        <v>13109.999999999998</v>
      </c>
      <c r="EJ21">
        <f t="shared" si="1"/>
        <v>6554.9999999999991</v>
      </c>
      <c r="EW21" t="s">
        <v>270</v>
      </c>
      <c r="EX21" t="s">
        <v>271</v>
      </c>
      <c r="EY21" t="s">
        <v>272</v>
      </c>
      <c r="EZ21" s="2">
        <v>40515</v>
      </c>
      <c r="FA21" t="s">
        <v>143</v>
      </c>
      <c r="FB21" t="str">
        <f>"TRUE"</f>
        <v>TRUE</v>
      </c>
      <c r="FC21">
        <v>2019</v>
      </c>
      <c r="FD21">
        <v>2016</v>
      </c>
      <c r="FE21" t="s">
        <v>30</v>
      </c>
      <c r="FF21" t="s">
        <v>31</v>
      </c>
      <c r="FG21" t="s">
        <v>31</v>
      </c>
      <c r="FH21" t="s">
        <v>31</v>
      </c>
      <c r="FI21" t="s">
        <v>31</v>
      </c>
      <c r="FJ21" t="s">
        <v>31</v>
      </c>
      <c r="FK21" t="s">
        <v>31</v>
      </c>
      <c r="FL21" t="s">
        <v>31</v>
      </c>
      <c r="FM21" t="s">
        <v>31</v>
      </c>
      <c r="FN21" t="s">
        <v>31</v>
      </c>
      <c r="FO21" t="s">
        <v>31</v>
      </c>
      <c r="FP21" t="s">
        <v>31</v>
      </c>
      <c r="FQ21" t="s">
        <v>31</v>
      </c>
      <c r="FR21" t="s">
        <v>31</v>
      </c>
      <c r="FS21" s="3">
        <v>17100</v>
      </c>
      <c r="FT21" s="3">
        <v>17100</v>
      </c>
      <c r="FW21" s="3">
        <v>17100</v>
      </c>
      <c r="FX21" s="3">
        <v>17100</v>
      </c>
      <c r="GE21" s="3">
        <v>349.03</v>
      </c>
      <c r="GG21" s="3">
        <v>17100</v>
      </c>
      <c r="GI21" t="s">
        <v>32</v>
      </c>
      <c r="GL21" t="s">
        <v>273</v>
      </c>
      <c r="GM21" t="s">
        <v>34</v>
      </c>
      <c r="GN21" t="s">
        <v>35</v>
      </c>
      <c r="GO21" s="2">
        <v>43326</v>
      </c>
      <c r="GP21" s="2">
        <v>43341</v>
      </c>
      <c r="GQ21" s="3">
        <v>0</v>
      </c>
      <c r="GR21" t="s">
        <v>586</v>
      </c>
      <c r="GS21" t="str">
        <f>""</f>
        <v/>
      </c>
      <c r="GT21" t="str">
        <f>"295557"</f>
        <v>295557</v>
      </c>
      <c r="GV21" s="2">
        <v>38750</v>
      </c>
      <c r="GW21" s="3">
        <v>0</v>
      </c>
      <c r="GY21" t="s">
        <v>36</v>
      </c>
      <c r="GZ21" t="s">
        <v>37</v>
      </c>
      <c r="HF21" t="str">
        <f>""</f>
        <v/>
      </c>
      <c r="HK21" t="str">
        <f>""</f>
        <v/>
      </c>
      <c r="HN21" t="s">
        <v>38</v>
      </c>
      <c r="HP21" t="str">
        <f>"0009380193"</f>
        <v>0009380193</v>
      </c>
      <c r="HZ21" t="str">
        <f>""</f>
        <v/>
      </c>
      <c r="IA21" t="str">
        <f>HYPERLINK("https://web.datatree.com/?/property?propertyId=128798281")</f>
        <v>https://web.datatree.com/?/property?propertyId=128798281</v>
      </c>
    </row>
    <row r="22" spans="1:235" x14ac:dyDescent="0.3">
      <c r="A22" t="s">
        <v>1429</v>
      </c>
      <c r="D22" t="s">
        <v>1429</v>
      </c>
      <c r="E22" t="s">
        <v>663</v>
      </c>
      <c r="F22">
        <v>5</v>
      </c>
      <c r="O22" t="s">
        <v>1430</v>
      </c>
      <c r="P22" t="s">
        <v>1429</v>
      </c>
      <c r="R22" t="s">
        <v>1431</v>
      </c>
      <c r="T22" t="s">
        <v>5</v>
      </c>
      <c r="V22" t="s">
        <v>31</v>
      </c>
      <c r="W22">
        <v>100</v>
      </c>
      <c r="Z22" t="s">
        <v>1432</v>
      </c>
      <c r="AA22" t="s">
        <v>73</v>
      </c>
      <c r="AC22" t="s">
        <v>106</v>
      </c>
      <c r="AE22" t="s">
        <v>8</v>
      </c>
      <c r="AF22" t="str">
        <f>"78140"</f>
        <v>78140</v>
      </c>
      <c r="AG22" t="str">
        <f>"78140-2536"</f>
        <v>78140-2536</v>
      </c>
      <c r="AH22" t="s">
        <v>2</v>
      </c>
      <c r="AI22" t="s">
        <v>111</v>
      </c>
      <c r="AJ22" t="s">
        <v>1433</v>
      </c>
      <c r="AK22" t="s">
        <v>1434</v>
      </c>
      <c r="AM22">
        <v>9911</v>
      </c>
      <c r="AP22" t="s">
        <v>1435</v>
      </c>
      <c r="AS22" t="s">
        <v>106</v>
      </c>
      <c r="AU22" t="s">
        <v>8</v>
      </c>
      <c r="AV22" t="str">
        <f>"78140-4094"</f>
        <v>78140-4094</v>
      </c>
      <c r="AW22" t="s">
        <v>152</v>
      </c>
      <c r="AX22" t="s">
        <v>1436</v>
      </c>
      <c r="AY22" t="s">
        <v>1437</v>
      </c>
      <c r="AZ22" t="s">
        <v>18</v>
      </c>
      <c r="BA22" t="s">
        <v>1438</v>
      </c>
      <c r="BB22" t="str">
        <f>"15542"</f>
        <v>15542</v>
      </c>
      <c r="BC22" t="str">
        <f>"15542"</f>
        <v>15542</v>
      </c>
      <c r="BD22" t="str">
        <f>"171243167003600000000"</f>
        <v>171243167003600000000</v>
      </c>
      <c r="BE22">
        <v>48177</v>
      </c>
      <c r="BG22">
        <v>500</v>
      </c>
      <c r="BH22">
        <v>3097</v>
      </c>
      <c r="BI22" t="s">
        <v>20</v>
      </c>
      <c r="BN22">
        <v>29.274260799826799</v>
      </c>
      <c r="BO22">
        <v>-97.764537115722604</v>
      </c>
      <c r="BX22" t="s">
        <v>22</v>
      </c>
      <c r="CA22" t="str">
        <f>"3/4/5"</f>
        <v>3/4/5</v>
      </c>
      <c r="CB22">
        <v>67</v>
      </c>
      <c r="CD22">
        <v>0</v>
      </c>
      <c r="CO22">
        <v>0</v>
      </c>
      <c r="EA22" s="1">
        <v>1</v>
      </c>
      <c r="EC22" t="s">
        <v>23</v>
      </c>
      <c r="ED22" t="s">
        <v>24</v>
      </c>
      <c r="EE22" t="s">
        <v>25</v>
      </c>
      <c r="EG22">
        <v>25278</v>
      </c>
      <c r="EH22">
        <v>0.57999999999999996</v>
      </c>
      <c r="EI22">
        <f t="shared" si="0"/>
        <v>13339.999999999998</v>
      </c>
      <c r="EJ22">
        <f t="shared" si="1"/>
        <v>6669.9999999999991</v>
      </c>
      <c r="EK22">
        <v>130</v>
      </c>
      <c r="EW22" t="s">
        <v>26</v>
      </c>
      <c r="EX22" t="s">
        <v>116</v>
      </c>
      <c r="EY22" t="s">
        <v>117</v>
      </c>
      <c r="EZ22" s="2">
        <v>40515</v>
      </c>
      <c r="FA22" t="s">
        <v>118</v>
      </c>
      <c r="FB22" t="str">
        <f>"FALSE"</f>
        <v>FALSE</v>
      </c>
      <c r="FC22">
        <v>2019</v>
      </c>
      <c r="FD22">
        <v>2016</v>
      </c>
      <c r="FE22" t="s">
        <v>119</v>
      </c>
      <c r="FF22" t="s">
        <v>31</v>
      </c>
      <c r="FG22" t="s">
        <v>31</v>
      </c>
      <c r="FH22" t="s">
        <v>31</v>
      </c>
      <c r="FI22" t="s">
        <v>31</v>
      </c>
      <c r="FJ22" t="s">
        <v>31</v>
      </c>
      <c r="FK22" t="s">
        <v>31</v>
      </c>
      <c r="FL22" t="s">
        <v>31</v>
      </c>
      <c r="FM22" t="s">
        <v>31</v>
      </c>
      <c r="FN22" t="s">
        <v>31</v>
      </c>
      <c r="FO22" t="s">
        <v>31</v>
      </c>
      <c r="FP22" t="s">
        <v>31</v>
      </c>
      <c r="FQ22" t="s">
        <v>31</v>
      </c>
      <c r="FR22" t="s">
        <v>31</v>
      </c>
      <c r="FS22" s="3">
        <v>12000</v>
      </c>
      <c r="FT22" s="3">
        <v>12000</v>
      </c>
      <c r="FW22" s="3">
        <v>12000</v>
      </c>
      <c r="FX22" s="3">
        <v>12000</v>
      </c>
      <c r="GE22" s="3">
        <v>44.94</v>
      </c>
      <c r="GG22" s="3">
        <v>12000</v>
      </c>
      <c r="GI22" t="s">
        <v>120</v>
      </c>
      <c r="GL22" t="s">
        <v>121</v>
      </c>
      <c r="GM22" t="s">
        <v>122</v>
      </c>
      <c r="GN22" t="s">
        <v>123</v>
      </c>
      <c r="GS22" t="str">
        <f>""</f>
        <v/>
      </c>
      <c r="GT22" t="str">
        <f>""</f>
        <v/>
      </c>
      <c r="GV22" s="2">
        <v>37714</v>
      </c>
      <c r="GW22" s="3">
        <v>0</v>
      </c>
      <c r="GY22" t="s">
        <v>36</v>
      </c>
      <c r="GZ22" t="s">
        <v>37</v>
      </c>
      <c r="HF22" t="str">
        <f>""</f>
        <v/>
      </c>
      <c r="HK22" t="str">
        <f>""</f>
        <v/>
      </c>
      <c r="HN22" t="s">
        <v>38</v>
      </c>
      <c r="HP22" t="str">
        <f>"0008820858"</f>
        <v>0008820858</v>
      </c>
      <c r="HZ22" t="str">
        <f>""</f>
        <v/>
      </c>
      <c r="IA22" t="str">
        <f>HYPERLINK("https://web.datatree.com/?/property?propertyId=128794105")</f>
        <v>https://web.datatree.com/?/property?propertyId=128794105</v>
      </c>
    </row>
    <row r="23" spans="1:235" x14ac:dyDescent="0.3">
      <c r="A23" t="s">
        <v>947</v>
      </c>
      <c r="B23" t="s">
        <v>948</v>
      </c>
      <c r="C23" t="s">
        <v>948</v>
      </c>
      <c r="D23" t="s">
        <v>949</v>
      </c>
      <c r="E23" t="s">
        <v>3</v>
      </c>
      <c r="F23">
        <v>1</v>
      </c>
      <c r="O23" t="s">
        <v>950</v>
      </c>
      <c r="P23" t="s">
        <v>947</v>
      </c>
      <c r="T23" t="s">
        <v>5</v>
      </c>
      <c r="W23">
        <v>408</v>
      </c>
      <c r="Z23" t="s">
        <v>951</v>
      </c>
      <c r="AA23" t="s">
        <v>73</v>
      </c>
      <c r="AC23" t="s">
        <v>2</v>
      </c>
      <c r="AE23" t="s">
        <v>8</v>
      </c>
      <c r="AF23" t="str">
        <f>"78629"</f>
        <v>78629</v>
      </c>
      <c r="AG23" t="str">
        <f>"78629-6079"</f>
        <v>78629-6079</v>
      </c>
      <c r="AH23" t="s">
        <v>2</v>
      </c>
      <c r="AI23" t="s">
        <v>330</v>
      </c>
      <c r="AJ23" t="s">
        <v>952</v>
      </c>
      <c r="AK23" t="s">
        <v>953</v>
      </c>
      <c r="AM23">
        <v>1467</v>
      </c>
      <c r="AP23" t="s">
        <v>954</v>
      </c>
      <c r="AS23" t="s">
        <v>779</v>
      </c>
      <c r="AU23" t="s">
        <v>8</v>
      </c>
      <c r="AV23" t="str">
        <f>"77984-6478"</f>
        <v>77984-6478</v>
      </c>
      <c r="AW23" t="s">
        <v>60</v>
      </c>
      <c r="AX23" t="s">
        <v>955</v>
      </c>
      <c r="AY23" t="s">
        <v>956</v>
      </c>
      <c r="AZ23" t="s">
        <v>18</v>
      </c>
      <c r="BA23" t="s">
        <v>957</v>
      </c>
      <c r="BB23" t="str">
        <f>"23705"</f>
        <v>23705</v>
      </c>
      <c r="BC23" t="str">
        <f>"23705"</f>
        <v>23705</v>
      </c>
      <c r="BD23" t="str">
        <f>"905910100012000000000"</f>
        <v>905910100012000000000</v>
      </c>
      <c r="BE23">
        <v>48177</v>
      </c>
      <c r="BG23">
        <v>400</v>
      </c>
      <c r="BH23">
        <v>2001</v>
      </c>
      <c r="BN23">
        <v>29.468830920761999</v>
      </c>
      <c r="BO23">
        <v>-97.499722784241001</v>
      </c>
      <c r="BP23" t="s">
        <v>748</v>
      </c>
      <c r="BX23" t="s">
        <v>22</v>
      </c>
      <c r="CA23" t="str">
        <f>"12"</f>
        <v>12</v>
      </c>
      <c r="CB23" t="s">
        <v>5</v>
      </c>
      <c r="CD23">
        <v>0</v>
      </c>
      <c r="CO23">
        <v>0</v>
      </c>
      <c r="EA23" s="1">
        <v>1</v>
      </c>
      <c r="EC23" t="s">
        <v>23</v>
      </c>
      <c r="ED23" t="s">
        <v>24</v>
      </c>
      <c r="EE23" t="s">
        <v>25</v>
      </c>
      <c r="EG23">
        <v>25700</v>
      </c>
      <c r="EH23">
        <v>0.59</v>
      </c>
      <c r="EI23">
        <f t="shared" si="0"/>
        <v>13570</v>
      </c>
      <c r="EJ23">
        <f t="shared" si="1"/>
        <v>6785</v>
      </c>
      <c r="EW23" t="s">
        <v>270</v>
      </c>
      <c r="EX23" t="s">
        <v>271</v>
      </c>
      <c r="EY23" t="s">
        <v>272</v>
      </c>
      <c r="EZ23" s="2">
        <v>40515</v>
      </c>
      <c r="FA23" t="s">
        <v>143</v>
      </c>
      <c r="FB23" t="str">
        <f>"TRUE"</f>
        <v>TRUE</v>
      </c>
      <c r="FC23">
        <v>2019</v>
      </c>
      <c r="FD23">
        <v>2016</v>
      </c>
      <c r="FE23" t="s">
        <v>30</v>
      </c>
      <c r="FF23" t="s">
        <v>31</v>
      </c>
      <c r="FG23" t="s">
        <v>31</v>
      </c>
      <c r="FH23" t="s">
        <v>31</v>
      </c>
      <c r="FI23" t="s">
        <v>31</v>
      </c>
      <c r="FJ23" t="s">
        <v>31</v>
      </c>
      <c r="FK23" t="s">
        <v>31</v>
      </c>
      <c r="FL23" t="s">
        <v>31</v>
      </c>
      <c r="FM23" t="s">
        <v>31</v>
      </c>
      <c r="FN23" t="s">
        <v>31</v>
      </c>
      <c r="FO23" t="s">
        <v>31</v>
      </c>
      <c r="FP23" t="s">
        <v>31</v>
      </c>
      <c r="FQ23" t="s">
        <v>31</v>
      </c>
      <c r="FR23" t="s">
        <v>31</v>
      </c>
      <c r="FS23" s="3">
        <v>22000</v>
      </c>
      <c r="FT23" s="3">
        <v>17700</v>
      </c>
      <c r="FU23" s="3">
        <v>4300</v>
      </c>
      <c r="FV23">
        <v>19.55</v>
      </c>
      <c r="FW23" s="3">
        <v>22000</v>
      </c>
      <c r="FX23" s="3">
        <v>17700</v>
      </c>
      <c r="FY23" s="3">
        <v>4300</v>
      </c>
      <c r="FZ23">
        <v>19.55</v>
      </c>
      <c r="GE23" s="3">
        <v>361.27</v>
      </c>
      <c r="GG23" s="3">
        <v>22000</v>
      </c>
      <c r="GI23" t="s">
        <v>32</v>
      </c>
      <c r="GL23" t="s">
        <v>273</v>
      </c>
      <c r="GM23" t="s">
        <v>34</v>
      </c>
      <c r="GN23" t="s">
        <v>35</v>
      </c>
      <c r="GS23" t="str">
        <f>""</f>
        <v/>
      </c>
      <c r="GT23" t="str">
        <f>""</f>
        <v/>
      </c>
      <c r="GV23" s="2">
        <v>39771</v>
      </c>
      <c r="GW23" s="3">
        <v>0</v>
      </c>
      <c r="GY23" t="s">
        <v>36</v>
      </c>
      <c r="GZ23" t="s">
        <v>37</v>
      </c>
      <c r="HF23" t="str">
        <f>""</f>
        <v/>
      </c>
      <c r="HK23" t="str">
        <f>""</f>
        <v/>
      </c>
      <c r="HN23" t="s">
        <v>38</v>
      </c>
      <c r="HP23" t="str">
        <f>"0009920936"</f>
        <v>0009920936</v>
      </c>
      <c r="HZ23" t="str">
        <f>""</f>
        <v/>
      </c>
      <c r="IA23" t="str">
        <f>HYPERLINK("https://web.datatree.com/?/property?propertyId=128798282")</f>
        <v>https://web.datatree.com/?/property?propertyId=128798282</v>
      </c>
    </row>
    <row r="24" spans="1:235" x14ac:dyDescent="0.3">
      <c r="A24" t="s">
        <v>1186</v>
      </c>
      <c r="B24" t="s">
        <v>1187</v>
      </c>
      <c r="C24" t="s">
        <v>1188</v>
      </c>
      <c r="D24" t="s">
        <v>1189</v>
      </c>
      <c r="E24" t="s">
        <v>3</v>
      </c>
      <c r="F24">
        <v>1</v>
      </c>
      <c r="G24" t="s">
        <v>1190</v>
      </c>
      <c r="H24" t="s">
        <v>1191</v>
      </c>
      <c r="I24" t="s">
        <v>1192</v>
      </c>
      <c r="J24" t="s">
        <v>1189</v>
      </c>
      <c r="K24" t="s">
        <v>3</v>
      </c>
      <c r="L24">
        <v>1</v>
      </c>
      <c r="O24" t="s">
        <v>1193</v>
      </c>
      <c r="P24" t="s">
        <v>1194</v>
      </c>
      <c r="T24" t="s">
        <v>137</v>
      </c>
      <c r="W24">
        <v>1611</v>
      </c>
      <c r="Z24" t="s">
        <v>627</v>
      </c>
      <c r="AA24" t="s">
        <v>7</v>
      </c>
      <c r="AC24" t="s">
        <v>2</v>
      </c>
      <c r="AE24" t="s">
        <v>8</v>
      </c>
      <c r="AF24" t="str">
        <f>"78629"</f>
        <v>78629</v>
      </c>
      <c r="AG24" t="str">
        <f>"78629-4318"</f>
        <v>78629-4318</v>
      </c>
      <c r="AH24" t="s">
        <v>2</v>
      </c>
      <c r="AI24" t="s">
        <v>9</v>
      </c>
      <c r="AJ24" t="s">
        <v>1195</v>
      </c>
      <c r="AK24" t="s">
        <v>1196</v>
      </c>
      <c r="AM24">
        <v>1611</v>
      </c>
      <c r="AP24" t="s">
        <v>627</v>
      </c>
      <c r="AQ24" t="s">
        <v>7</v>
      </c>
      <c r="AS24" t="s">
        <v>2</v>
      </c>
      <c r="AU24" t="s">
        <v>8</v>
      </c>
      <c r="AV24" t="str">
        <f>"78629-4318"</f>
        <v>78629-4318</v>
      </c>
      <c r="AW24" t="s">
        <v>9</v>
      </c>
      <c r="AX24" t="s">
        <v>1195</v>
      </c>
      <c r="AY24" t="s">
        <v>1197</v>
      </c>
      <c r="BA24" t="s">
        <v>1198</v>
      </c>
      <c r="BB24" t="str">
        <f>"13734"</f>
        <v>13734</v>
      </c>
      <c r="BC24" t="str">
        <f>"13734"</f>
        <v>13734</v>
      </c>
      <c r="BD24" t="str">
        <f>"165913006005600000000"</f>
        <v>165913006005600000000</v>
      </c>
      <c r="BE24">
        <v>48177</v>
      </c>
      <c r="BG24">
        <v>300</v>
      </c>
      <c r="BH24">
        <v>3039</v>
      </c>
      <c r="BI24" t="s">
        <v>20</v>
      </c>
      <c r="BN24">
        <v>29.500254803370201</v>
      </c>
      <c r="BO24">
        <v>-97.434816277254498</v>
      </c>
      <c r="BP24" t="s">
        <v>1199</v>
      </c>
      <c r="BV24" t="s">
        <v>632</v>
      </c>
      <c r="BX24" t="s">
        <v>22</v>
      </c>
      <c r="CA24" t="str">
        <f>"5|6"</f>
        <v>5|6</v>
      </c>
      <c r="CB24" t="s">
        <v>68</v>
      </c>
      <c r="CD24">
        <v>0</v>
      </c>
      <c r="CO24">
        <v>0</v>
      </c>
      <c r="EA24" s="1">
        <v>1</v>
      </c>
      <c r="EC24" t="s">
        <v>23</v>
      </c>
      <c r="ED24" t="s">
        <v>24</v>
      </c>
      <c r="EE24" t="s">
        <v>25</v>
      </c>
      <c r="EG24">
        <v>26323</v>
      </c>
      <c r="EH24">
        <v>0.6</v>
      </c>
      <c r="EI24">
        <f t="shared" si="0"/>
        <v>13800</v>
      </c>
      <c r="EJ24">
        <f t="shared" si="1"/>
        <v>6900</v>
      </c>
      <c r="EK24">
        <v>195</v>
      </c>
      <c r="EL24">
        <v>135</v>
      </c>
      <c r="EW24" t="s">
        <v>270</v>
      </c>
      <c r="EX24" t="s">
        <v>64</v>
      </c>
      <c r="EY24" t="s">
        <v>65</v>
      </c>
      <c r="EZ24" s="2">
        <v>40515</v>
      </c>
      <c r="FA24" t="s">
        <v>29</v>
      </c>
      <c r="FB24" t="str">
        <f>"TRUE"</f>
        <v>TRUE</v>
      </c>
      <c r="FC24">
        <v>2019</v>
      </c>
      <c r="FD24">
        <v>2016</v>
      </c>
      <c r="FE24" t="s">
        <v>30</v>
      </c>
      <c r="FF24" t="s">
        <v>31</v>
      </c>
      <c r="FG24" t="s">
        <v>31</v>
      </c>
      <c r="FH24" t="s">
        <v>31</v>
      </c>
      <c r="FI24" t="s">
        <v>31</v>
      </c>
      <c r="FJ24" t="s">
        <v>31</v>
      </c>
      <c r="FK24" t="s">
        <v>31</v>
      </c>
      <c r="FL24" t="s">
        <v>31</v>
      </c>
      <c r="FM24" t="s">
        <v>31</v>
      </c>
      <c r="FN24" t="s">
        <v>31</v>
      </c>
      <c r="FO24" t="s">
        <v>31</v>
      </c>
      <c r="FP24" t="s">
        <v>31</v>
      </c>
      <c r="FQ24" t="s">
        <v>31</v>
      </c>
      <c r="FR24" t="s">
        <v>31</v>
      </c>
      <c r="FS24" s="3">
        <v>21450</v>
      </c>
      <c r="FT24" s="3">
        <v>21450</v>
      </c>
      <c r="FW24" s="3">
        <v>21450</v>
      </c>
      <c r="FX24" s="3">
        <v>21450</v>
      </c>
      <c r="GE24" s="3">
        <v>475.76</v>
      </c>
      <c r="GG24" s="3">
        <v>21450</v>
      </c>
      <c r="GI24" t="s">
        <v>32</v>
      </c>
      <c r="GL24" t="s">
        <v>273</v>
      </c>
      <c r="GM24" t="s">
        <v>34</v>
      </c>
      <c r="GN24" t="s">
        <v>35</v>
      </c>
      <c r="GS24" t="str">
        <f>""</f>
        <v/>
      </c>
      <c r="GT24" t="str">
        <f>""</f>
        <v/>
      </c>
      <c r="GV24" s="2">
        <v>40107</v>
      </c>
      <c r="GW24" s="3">
        <v>0</v>
      </c>
      <c r="GY24" t="s">
        <v>36</v>
      </c>
      <c r="GZ24" t="s">
        <v>37</v>
      </c>
      <c r="HF24" t="str">
        <f>""</f>
        <v/>
      </c>
      <c r="HK24" t="str">
        <f>""</f>
        <v/>
      </c>
      <c r="HN24" t="s">
        <v>38</v>
      </c>
      <c r="HP24" t="str">
        <f>"0010120367"</f>
        <v>0010120367</v>
      </c>
      <c r="HZ24" t="str">
        <f>""</f>
        <v/>
      </c>
      <c r="IA24" t="str">
        <f>HYPERLINK("https://web.datatree.com/?/property?propertyId=128792722")</f>
        <v>https://web.datatree.com/?/property?propertyId=128792722</v>
      </c>
    </row>
    <row r="25" spans="1:235" x14ac:dyDescent="0.3">
      <c r="A25" t="s">
        <v>1416</v>
      </c>
      <c r="B25" t="s">
        <v>1417</v>
      </c>
      <c r="C25" t="s">
        <v>1418</v>
      </c>
      <c r="D25" t="s">
        <v>1419</v>
      </c>
      <c r="E25" t="s">
        <v>3</v>
      </c>
      <c r="F25">
        <v>4</v>
      </c>
      <c r="O25" t="s">
        <v>1420</v>
      </c>
      <c r="P25" t="s">
        <v>1416</v>
      </c>
      <c r="Q25" t="s">
        <v>1421</v>
      </c>
      <c r="T25" t="s">
        <v>5</v>
      </c>
      <c r="V25" t="s">
        <v>31</v>
      </c>
      <c r="W25">
        <v>408</v>
      </c>
      <c r="Z25" t="s">
        <v>106</v>
      </c>
      <c r="AA25" t="s">
        <v>105</v>
      </c>
      <c r="AC25" t="s">
        <v>106</v>
      </c>
      <c r="AE25" t="s">
        <v>8</v>
      </c>
      <c r="AF25" t="str">
        <f>"78140"</f>
        <v>78140</v>
      </c>
      <c r="AG25" t="str">
        <f>"78140-2789"</f>
        <v>78140-2789</v>
      </c>
      <c r="AH25" t="s">
        <v>2</v>
      </c>
      <c r="AI25" t="s">
        <v>111</v>
      </c>
      <c r="AJ25" t="s">
        <v>1422</v>
      </c>
      <c r="AK25" t="s">
        <v>1423</v>
      </c>
      <c r="AM25">
        <v>968</v>
      </c>
      <c r="AP25" t="s">
        <v>1424</v>
      </c>
      <c r="AQ25" t="s">
        <v>1425</v>
      </c>
      <c r="AS25" t="s">
        <v>656</v>
      </c>
      <c r="AU25" t="s">
        <v>8</v>
      </c>
      <c r="AV25" t="str">
        <f>"78130-8298"</f>
        <v>78130-8298</v>
      </c>
      <c r="AW25" t="s">
        <v>330</v>
      </c>
      <c r="AX25" t="s">
        <v>1426</v>
      </c>
      <c r="AY25" t="s">
        <v>1427</v>
      </c>
      <c r="AZ25" t="s">
        <v>18</v>
      </c>
      <c r="BA25" t="s">
        <v>1428</v>
      </c>
      <c r="BB25" t="str">
        <f>"15550"</f>
        <v>15550</v>
      </c>
      <c r="BC25" t="str">
        <f>"15550"</f>
        <v>15550</v>
      </c>
      <c r="BD25" t="str">
        <f>"171246552091200000000"</f>
        <v>171246552091200000000</v>
      </c>
      <c r="BE25">
        <v>48177</v>
      </c>
      <c r="BG25">
        <v>500</v>
      </c>
      <c r="BH25">
        <v>3057</v>
      </c>
      <c r="BI25" t="s">
        <v>20</v>
      </c>
      <c r="BN25">
        <v>29.270814000000001</v>
      </c>
      <c r="BO25">
        <v>-97.765986999999996</v>
      </c>
      <c r="BX25" t="s">
        <v>22</v>
      </c>
      <c r="CA25" t="str">
        <f>"9/10/11"</f>
        <v>9/10/11</v>
      </c>
      <c r="CB25">
        <v>52</v>
      </c>
      <c r="CD25">
        <v>0</v>
      </c>
      <c r="CO25">
        <v>0</v>
      </c>
      <c r="EA25" s="1">
        <v>1</v>
      </c>
      <c r="EC25" t="s">
        <v>23</v>
      </c>
      <c r="ED25" t="s">
        <v>24</v>
      </c>
      <c r="EE25" t="s">
        <v>25</v>
      </c>
      <c r="EF25" t="s">
        <v>469</v>
      </c>
      <c r="EG25">
        <v>28000</v>
      </c>
      <c r="EH25">
        <v>0.64</v>
      </c>
      <c r="EI25">
        <f t="shared" si="0"/>
        <v>14720</v>
      </c>
      <c r="EJ25">
        <f t="shared" si="1"/>
        <v>7360</v>
      </c>
      <c r="EK25">
        <v>200</v>
      </c>
      <c r="EL25">
        <v>140</v>
      </c>
      <c r="EW25" t="s">
        <v>26</v>
      </c>
      <c r="EX25" t="s">
        <v>116</v>
      </c>
      <c r="EY25" t="s">
        <v>117</v>
      </c>
      <c r="EZ25" s="2">
        <v>40515</v>
      </c>
      <c r="FA25" t="s">
        <v>118</v>
      </c>
      <c r="FB25" t="str">
        <f>"FALSE"</f>
        <v>FALSE</v>
      </c>
      <c r="FC25">
        <v>2019</v>
      </c>
      <c r="FD25">
        <v>2016</v>
      </c>
      <c r="FE25" t="s">
        <v>119</v>
      </c>
      <c r="FF25" t="s">
        <v>31</v>
      </c>
      <c r="FG25" t="s">
        <v>31</v>
      </c>
      <c r="FH25" t="s">
        <v>31</v>
      </c>
      <c r="FI25" t="s">
        <v>31</v>
      </c>
      <c r="FJ25" t="s">
        <v>31</v>
      </c>
      <c r="FK25" t="s">
        <v>31</v>
      </c>
      <c r="FL25" t="s">
        <v>31</v>
      </c>
      <c r="FM25" t="s">
        <v>31</v>
      </c>
      <c r="FN25" t="s">
        <v>31</v>
      </c>
      <c r="FO25" t="s">
        <v>31</v>
      </c>
      <c r="FP25" t="s">
        <v>31</v>
      </c>
      <c r="FQ25" t="s">
        <v>31</v>
      </c>
      <c r="FR25" t="s">
        <v>31</v>
      </c>
      <c r="FS25" s="3">
        <v>20000</v>
      </c>
      <c r="FT25" s="3">
        <v>20000</v>
      </c>
      <c r="FW25" s="3">
        <v>20000</v>
      </c>
      <c r="FX25" s="3">
        <v>20000</v>
      </c>
      <c r="GE25" s="3">
        <v>169.39</v>
      </c>
      <c r="GG25" s="3">
        <v>20000</v>
      </c>
      <c r="GI25" t="s">
        <v>120</v>
      </c>
      <c r="GL25" t="s">
        <v>121</v>
      </c>
      <c r="GM25" t="s">
        <v>122</v>
      </c>
      <c r="GN25" t="s">
        <v>123</v>
      </c>
      <c r="GS25" t="str">
        <f>""</f>
        <v/>
      </c>
      <c r="GT25" t="str">
        <f>""</f>
        <v/>
      </c>
      <c r="GV25" s="2">
        <v>39491</v>
      </c>
      <c r="GW25" s="3">
        <v>0</v>
      </c>
      <c r="GY25" t="s">
        <v>36</v>
      </c>
      <c r="GZ25" t="s">
        <v>37</v>
      </c>
      <c r="HF25" t="str">
        <f>""</f>
        <v/>
      </c>
      <c r="HK25" t="str">
        <f>""</f>
        <v/>
      </c>
      <c r="HN25" t="s">
        <v>38</v>
      </c>
      <c r="HP25" t="str">
        <f>"0009770362"</f>
        <v>0009770362</v>
      </c>
      <c r="HZ25" t="str">
        <f>""</f>
        <v/>
      </c>
      <c r="IA25" t="str">
        <f>HYPERLINK("https://web.datatree.com/?/property?propertyId=128794114")</f>
        <v>https://web.datatree.com/?/property?propertyId=128794114</v>
      </c>
    </row>
    <row r="26" spans="1:235" x14ac:dyDescent="0.3">
      <c r="A26" t="s">
        <v>1357</v>
      </c>
      <c r="B26" t="s">
        <v>1358</v>
      </c>
      <c r="C26" t="s">
        <v>1358</v>
      </c>
      <c r="D26" t="s">
        <v>1359</v>
      </c>
      <c r="E26" t="s">
        <v>3</v>
      </c>
      <c r="F26">
        <v>1</v>
      </c>
      <c r="O26" t="s">
        <v>1360</v>
      </c>
      <c r="P26" t="s">
        <v>1357</v>
      </c>
      <c r="Q26" t="s">
        <v>1361</v>
      </c>
      <c r="T26" t="s">
        <v>137</v>
      </c>
      <c r="V26" t="s">
        <v>109</v>
      </c>
      <c r="W26">
        <v>703</v>
      </c>
      <c r="Z26" t="s">
        <v>566</v>
      </c>
      <c r="AA26" t="s">
        <v>105</v>
      </c>
      <c r="AC26" t="s">
        <v>106</v>
      </c>
      <c r="AE26" t="s">
        <v>8</v>
      </c>
      <c r="AF26" t="str">
        <f>"78140"</f>
        <v>78140</v>
      </c>
      <c r="AG26" t="str">
        <f>"78140-3037"</f>
        <v>78140-3037</v>
      </c>
      <c r="AH26" t="s">
        <v>2</v>
      </c>
      <c r="AI26" t="s">
        <v>111</v>
      </c>
      <c r="AJ26" t="s">
        <v>1362</v>
      </c>
      <c r="AK26" t="s">
        <v>1363</v>
      </c>
      <c r="AL26" t="s">
        <v>109</v>
      </c>
      <c r="AM26">
        <v>703</v>
      </c>
      <c r="AP26" t="s">
        <v>566</v>
      </c>
      <c r="AQ26" t="s">
        <v>105</v>
      </c>
      <c r="AS26" t="s">
        <v>106</v>
      </c>
      <c r="AU26" t="s">
        <v>8</v>
      </c>
      <c r="AV26" t="str">
        <f>"78140-3037"</f>
        <v>78140-3037</v>
      </c>
      <c r="AW26" t="s">
        <v>111</v>
      </c>
      <c r="AX26" t="s">
        <v>1362</v>
      </c>
      <c r="AY26" t="s">
        <v>1364</v>
      </c>
      <c r="BA26" t="s">
        <v>1365</v>
      </c>
      <c r="BB26" t="str">
        <f>"15908"</f>
        <v>15908</v>
      </c>
      <c r="BC26" t="str">
        <f>"15908"</f>
        <v>15908</v>
      </c>
      <c r="BD26" t="str">
        <f>"172203560242700000000"</f>
        <v>172203560242700000000</v>
      </c>
      <c r="BE26">
        <v>48177</v>
      </c>
      <c r="BG26">
        <v>500</v>
      </c>
      <c r="BH26">
        <v>2064</v>
      </c>
      <c r="BI26" t="s">
        <v>20</v>
      </c>
      <c r="BN26">
        <v>29.2673778146358</v>
      </c>
      <c r="BO26">
        <v>-97.756943711753905</v>
      </c>
      <c r="BP26" t="s">
        <v>1366</v>
      </c>
      <c r="BX26" t="s">
        <v>22</v>
      </c>
      <c r="CA26" t="str">
        <f>"24|25"</f>
        <v>24|25</v>
      </c>
      <c r="CD26">
        <v>0</v>
      </c>
      <c r="CO26">
        <v>0</v>
      </c>
      <c r="EA26" s="1">
        <v>1</v>
      </c>
      <c r="EC26" t="s">
        <v>23</v>
      </c>
      <c r="ED26" t="s">
        <v>24</v>
      </c>
      <c r="EE26" t="s">
        <v>25</v>
      </c>
      <c r="EG26">
        <v>27726</v>
      </c>
      <c r="EH26">
        <v>0.64</v>
      </c>
      <c r="EI26">
        <f t="shared" si="0"/>
        <v>14720</v>
      </c>
      <c r="EJ26">
        <f t="shared" si="1"/>
        <v>7360</v>
      </c>
      <c r="EK26">
        <v>104</v>
      </c>
      <c r="EL26">
        <v>266.60000000000002</v>
      </c>
      <c r="EW26" t="s">
        <v>26</v>
      </c>
      <c r="EX26" t="s">
        <v>116</v>
      </c>
      <c r="EY26" t="s">
        <v>117</v>
      </c>
      <c r="EZ26" s="2">
        <v>40515</v>
      </c>
      <c r="FA26" t="s">
        <v>118</v>
      </c>
      <c r="FB26" t="str">
        <f>"FALSE"</f>
        <v>FALSE</v>
      </c>
      <c r="FC26">
        <v>2019</v>
      </c>
      <c r="FD26">
        <v>2016</v>
      </c>
      <c r="FE26" t="s">
        <v>119</v>
      </c>
      <c r="FF26" t="s">
        <v>31</v>
      </c>
      <c r="FG26" t="s">
        <v>31</v>
      </c>
      <c r="FH26" t="s">
        <v>31</v>
      </c>
      <c r="FI26" t="s">
        <v>31</v>
      </c>
      <c r="FJ26" t="s">
        <v>31</v>
      </c>
      <c r="FK26" t="s">
        <v>31</v>
      </c>
      <c r="FL26" t="s">
        <v>31</v>
      </c>
      <c r="FM26" t="s">
        <v>31</v>
      </c>
      <c r="FN26" t="s">
        <v>31</v>
      </c>
      <c r="FO26" t="s">
        <v>31</v>
      </c>
      <c r="FP26" t="s">
        <v>31</v>
      </c>
      <c r="FQ26" t="s">
        <v>31</v>
      </c>
      <c r="FR26" t="s">
        <v>31</v>
      </c>
      <c r="FS26" s="3">
        <v>41870</v>
      </c>
      <c r="FT26" s="3">
        <v>11020</v>
      </c>
      <c r="FU26" s="3">
        <v>30850</v>
      </c>
      <c r="FV26">
        <v>73.680000000000007</v>
      </c>
      <c r="FW26" s="3">
        <v>41870</v>
      </c>
      <c r="FX26" s="3">
        <v>11020</v>
      </c>
      <c r="FY26" s="3">
        <v>30850</v>
      </c>
      <c r="FZ26">
        <v>73.680000000000007</v>
      </c>
      <c r="GE26" s="3">
        <v>95.28</v>
      </c>
      <c r="GG26" s="3">
        <v>41870</v>
      </c>
      <c r="GI26" t="s">
        <v>120</v>
      </c>
      <c r="GL26" t="s">
        <v>121</v>
      </c>
      <c r="GM26" t="s">
        <v>122</v>
      </c>
      <c r="GN26" t="s">
        <v>123</v>
      </c>
      <c r="GS26" t="str">
        <f>""</f>
        <v/>
      </c>
      <c r="GT26" t="str">
        <f>""</f>
        <v/>
      </c>
      <c r="GU26" s="2">
        <v>42499</v>
      </c>
      <c r="GV26" s="2">
        <v>42501</v>
      </c>
      <c r="GW26" s="3">
        <v>57187.5</v>
      </c>
      <c r="GX26" t="s">
        <v>892</v>
      </c>
      <c r="GY26" t="s">
        <v>893</v>
      </c>
      <c r="GZ26" t="s">
        <v>1367</v>
      </c>
      <c r="HB26" s="3">
        <v>45750</v>
      </c>
      <c r="HF26" t="str">
        <f>"285597"</f>
        <v>285597</v>
      </c>
      <c r="HK26" t="str">
        <f>""</f>
        <v/>
      </c>
      <c r="HL26" t="s">
        <v>1368</v>
      </c>
      <c r="HM26" t="s">
        <v>1369</v>
      </c>
      <c r="HN26" t="s">
        <v>38</v>
      </c>
      <c r="HP26" t="str">
        <f>"285596"</f>
        <v>285596</v>
      </c>
      <c r="HQ26" s="2">
        <v>42499</v>
      </c>
      <c r="HR26" s="2">
        <v>42501</v>
      </c>
      <c r="HS26" s="3">
        <v>57187.5</v>
      </c>
      <c r="HT26" t="s">
        <v>893</v>
      </c>
      <c r="HU26" t="s">
        <v>1368</v>
      </c>
      <c r="HV26" s="3">
        <v>45750</v>
      </c>
      <c r="HZ26" t="str">
        <f>"1226.956"</f>
        <v>1226.956</v>
      </c>
      <c r="IA26" t="str">
        <f>HYPERLINK("https://web.datatree.com/?/property?propertyId=128794484")</f>
        <v>https://web.datatree.com/?/property?propertyId=128794484</v>
      </c>
    </row>
    <row r="27" spans="1:235" x14ac:dyDescent="0.3">
      <c r="A27" t="s">
        <v>421</v>
      </c>
      <c r="D27" t="s">
        <v>421</v>
      </c>
      <c r="E27" t="s">
        <v>3</v>
      </c>
      <c r="F27">
        <v>2</v>
      </c>
      <c r="O27" t="s">
        <v>422</v>
      </c>
      <c r="P27" t="s">
        <v>421</v>
      </c>
      <c r="R27" t="s">
        <v>41</v>
      </c>
      <c r="T27" t="s">
        <v>5</v>
      </c>
      <c r="W27">
        <v>1938</v>
      </c>
      <c r="Z27" t="s">
        <v>423</v>
      </c>
      <c r="AC27" t="s">
        <v>2</v>
      </c>
      <c r="AE27" t="s">
        <v>8</v>
      </c>
      <c r="AF27" t="str">
        <f>"78629"</f>
        <v>78629</v>
      </c>
      <c r="AG27" t="str">
        <f>"78629-2052"</f>
        <v>78629-2052</v>
      </c>
      <c r="AH27" t="s">
        <v>2</v>
      </c>
      <c r="AI27" t="s">
        <v>80</v>
      </c>
      <c r="AJ27" t="s">
        <v>424</v>
      </c>
      <c r="AK27" t="s">
        <v>425</v>
      </c>
      <c r="AM27">
        <v>219</v>
      </c>
      <c r="AP27" t="s">
        <v>426</v>
      </c>
      <c r="AQ27" t="s">
        <v>7</v>
      </c>
      <c r="AS27" t="s">
        <v>2</v>
      </c>
      <c r="AT27" t="s">
        <v>2</v>
      </c>
      <c r="AU27" t="s">
        <v>8</v>
      </c>
      <c r="AV27" t="str">
        <f>"78629-2708"</f>
        <v>78629-2708</v>
      </c>
      <c r="AW27" t="s">
        <v>152</v>
      </c>
      <c r="AX27" t="s">
        <v>427</v>
      </c>
      <c r="AY27" t="s">
        <v>428</v>
      </c>
      <c r="AZ27" t="s">
        <v>18</v>
      </c>
      <c r="BA27" t="s">
        <v>429</v>
      </c>
      <c r="BB27" t="str">
        <f>"12976"</f>
        <v>12976</v>
      </c>
      <c r="BC27" t="str">
        <f>"12976"</f>
        <v>12976</v>
      </c>
      <c r="BD27" t="str">
        <f>"163904000090000000000"</f>
        <v>163904000090000000000</v>
      </c>
      <c r="BE27">
        <v>48177</v>
      </c>
      <c r="BG27">
        <v>400</v>
      </c>
      <c r="BH27">
        <v>1002</v>
      </c>
      <c r="BN27">
        <v>29.5167118345157</v>
      </c>
      <c r="BO27">
        <v>-97.465127246794594</v>
      </c>
      <c r="BX27" t="s">
        <v>22</v>
      </c>
      <c r="CA27" t="str">
        <f>"9"</f>
        <v>9</v>
      </c>
      <c r="CC27">
        <v>912</v>
      </c>
      <c r="CD27">
        <v>952</v>
      </c>
      <c r="CH27">
        <v>912</v>
      </c>
      <c r="CJ27">
        <v>1940</v>
      </c>
      <c r="CO27">
        <v>0</v>
      </c>
      <c r="DL27" t="s">
        <v>289</v>
      </c>
      <c r="DM27">
        <v>40</v>
      </c>
      <c r="DP27" t="s">
        <v>430</v>
      </c>
      <c r="EA27" s="1">
        <v>1</v>
      </c>
      <c r="EC27" t="s">
        <v>23</v>
      </c>
      <c r="ED27" t="s">
        <v>431</v>
      </c>
      <c r="EE27" t="s">
        <v>25</v>
      </c>
      <c r="EG27">
        <v>28488</v>
      </c>
      <c r="EH27">
        <v>0.65</v>
      </c>
      <c r="EI27">
        <f t="shared" si="0"/>
        <v>14950</v>
      </c>
      <c r="EJ27">
        <f t="shared" si="1"/>
        <v>7475</v>
      </c>
      <c r="EK27">
        <v>122.2</v>
      </c>
      <c r="EL27">
        <v>233</v>
      </c>
      <c r="ER27">
        <v>1</v>
      </c>
      <c r="EW27" t="s">
        <v>26</v>
      </c>
      <c r="EX27" t="s">
        <v>27</v>
      </c>
      <c r="EY27" t="s">
        <v>28</v>
      </c>
      <c r="EZ27" s="2">
        <v>40515</v>
      </c>
      <c r="FA27" t="s">
        <v>29</v>
      </c>
      <c r="FB27" t="str">
        <f>"FALSE"</f>
        <v>FALSE</v>
      </c>
      <c r="FC27">
        <v>2019</v>
      </c>
      <c r="FD27">
        <v>2016</v>
      </c>
      <c r="FE27" t="s">
        <v>30</v>
      </c>
      <c r="FF27" t="s">
        <v>31</v>
      </c>
      <c r="FG27" t="s">
        <v>31</v>
      </c>
      <c r="FH27" t="s">
        <v>31</v>
      </c>
      <c r="FI27" t="s">
        <v>31</v>
      </c>
      <c r="FJ27" t="s">
        <v>31</v>
      </c>
      <c r="FK27" t="s">
        <v>31</v>
      </c>
      <c r="FL27" t="s">
        <v>31</v>
      </c>
      <c r="FM27" t="s">
        <v>31</v>
      </c>
      <c r="FN27" t="s">
        <v>31</v>
      </c>
      <c r="FO27" t="s">
        <v>31</v>
      </c>
      <c r="FP27" t="s">
        <v>31</v>
      </c>
      <c r="FQ27" t="s">
        <v>31</v>
      </c>
      <c r="FR27" t="s">
        <v>31</v>
      </c>
      <c r="FS27" s="3">
        <v>14720</v>
      </c>
      <c r="FT27" s="3">
        <v>14720</v>
      </c>
      <c r="FW27" s="3">
        <v>14720</v>
      </c>
      <c r="FX27" s="3">
        <v>14720</v>
      </c>
      <c r="GE27" s="3">
        <v>579.79</v>
      </c>
      <c r="GG27" s="3">
        <v>14720</v>
      </c>
      <c r="GI27" t="s">
        <v>32</v>
      </c>
      <c r="GL27" t="s">
        <v>33</v>
      </c>
      <c r="GM27" t="s">
        <v>34</v>
      </c>
      <c r="GN27" t="s">
        <v>35</v>
      </c>
      <c r="GS27" t="str">
        <f>""</f>
        <v/>
      </c>
      <c r="GT27" t="str">
        <f>""</f>
        <v/>
      </c>
      <c r="HF27" t="str">
        <f>""</f>
        <v/>
      </c>
      <c r="HK27" t="str">
        <f>""</f>
        <v/>
      </c>
      <c r="HN27" t="s">
        <v>38</v>
      </c>
      <c r="HP27" t="str">
        <f>""</f>
        <v/>
      </c>
      <c r="HZ27" t="str">
        <f>""</f>
        <v/>
      </c>
      <c r="IA27" t="str">
        <f>HYPERLINK("https://web.datatree.com/?/property?propertyId=128791936")</f>
        <v>https://web.datatree.com/?/property?propertyId=128791936</v>
      </c>
    </row>
    <row r="28" spans="1:235" x14ac:dyDescent="0.3">
      <c r="A28" t="s">
        <v>735</v>
      </c>
      <c r="B28" t="s">
        <v>736</v>
      </c>
      <c r="C28" t="s">
        <v>736</v>
      </c>
      <c r="D28" t="s">
        <v>737</v>
      </c>
      <c r="E28" t="s">
        <v>3</v>
      </c>
      <c r="F28">
        <v>1</v>
      </c>
      <c r="O28" t="s">
        <v>738</v>
      </c>
      <c r="P28" t="s">
        <v>735</v>
      </c>
      <c r="T28" t="s">
        <v>55</v>
      </c>
      <c r="Z28" t="s">
        <v>739</v>
      </c>
      <c r="AA28" t="s">
        <v>740</v>
      </c>
      <c r="AC28" t="s">
        <v>2</v>
      </c>
      <c r="AE28" t="s">
        <v>8</v>
      </c>
      <c r="AF28" t="str">
        <f>"78629"</f>
        <v>78629</v>
      </c>
      <c r="AG28" t="str">
        <f>"78629"</f>
        <v>78629</v>
      </c>
      <c r="AH28" t="s">
        <v>2</v>
      </c>
      <c r="AJ28" t="s">
        <v>741</v>
      </c>
      <c r="AK28" t="s">
        <v>742</v>
      </c>
      <c r="AM28">
        <v>8809</v>
      </c>
      <c r="AP28" t="s">
        <v>743</v>
      </c>
      <c r="AQ28" t="s">
        <v>703</v>
      </c>
      <c r="AS28" t="s">
        <v>90</v>
      </c>
      <c r="AU28" t="s">
        <v>8</v>
      </c>
      <c r="AV28" t="str">
        <f>"78737-1146"</f>
        <v>78737-1146</v>
      </c>
      <c r="AW28" t="s">
        <v>744</v>
      </c>
      <c r="AX28" t="s">
        <v>745</v>
      </c>
      <c r="AY28" t="s">
        <v>746</v>
      </c>
      <c r="AZ28" t="s">
        <v>18</v>
      </c>
      <c r="BA28" t="s">
        <v>747</v>
      </c>
      <c r="BB28" t="str">
        <f>"23707"</f>
        <v>23707</v>
      </c>
      <c r="BC28" t="str">
        <f>"23707"</f>
        <v>23707</v>
      </c>
      <c r="BD28" t="str">
        <f>"905910200001000000000"</f>
        <v>905910200001000000000</v>
      </c>
      <c r="BE28">
        <v>48177</v>
      </c>
      <c r="BG28">
        <v>400</v>
      </c>
      <c r="BH28">
        <v>2001</v>
      </c>
      <c r="BN28">
        <v>29.470145385447399</v>
      </c>
      <c r="BO28">
        <v>-97.501393360069102</v>
      </c>
      <c r="BP28" t="s">
        <v>748</v>
      </c>
      <c r="BX28" t="s">
        <v>22</v>
      </c>
      <c r="CA28" t="str">
        <f>"1"</f>
        <v>1</v>
      </c>
      <c r="CB28" t="s">
        <v>749</v>
      </c>
      <c r="CD28">
        <v>0</v>
      </c>
      <c r="CO28">
        <v>0</v>
      </c>
      <c r="EA28" s="1">
        <v>1</v>
      </c>
      <c r="EC28" t="s">
        <v>23</v>
      </c>
      <c r="ED28" t="s">
        <v>24</v>
      </c>
      <c r="EE28" t="s">
        <v>25</v>
      </c>
      <c r="EG28">
        <v>28750</v>
      </c>
      <c r="EH28">
        <v>0.66</v>
      </c>
      <c r="EI28">
        <f t="shared" si="0"/>
        <v>15180</v>
      </c>
      <c r="EJ28">
        <f t="shared" si="1"/>
        <v>7590</v>
      </c>
      <c r="EW28" t="s">
        <v>270</v>
      </c>
      <c r="EX28" t="s">
        <v>683</v>
      </c>
      <c r="EY28" t="s">
        <v>684</v>
      </c>
      <c r="EZ28" s="2">
        <v>40515</v>
      </c>
      <c r="FA28" t="s">
        <v>143</v>
      </c>
      <c r="FB28" t="str">
        <f>"TRUE"</f>
        <v>TRUE</v>
      </c>
      <c r="FC28">
        <v>2019</v>
      </c>
      <c r="FD28">
        <v>2016</v>
      </c>
      <c r="FE28" t="s">
        <v>30</v>
      </c>
      <c r="FF28" t="s">
        <v>31</v>
      </c>
      <c r="FG28" t="s">
        <v>31</v>
      </c>
      <c r="FH28" t="s">
        <v>31</v>
      </c>
      <c r="FI28" t="s">
        <v>31</v>
      </c>
      <c r="FJ28" t="s">
        <v>31</v>
      </c>
      <c r="FK28" t="s">
        <v>31</v>
      </c>
      <c r="FL28" t="s">
        <v>31</v>
      </c>
      <c r="FM28" t="s">
        <v>31</v>
      </c>
      <c r="FN28" t="s">
        <v>31</v>
      </c>
      <c r="FO28" t="s">
        <v>31</v>
      </c>
      <c r="FP28" t="s">
        <v>31</v>
      </c>
      <c r="FQ28" t="s">
        <v>31</v>
      </c>
      <c r="FR28" t="s">
        <v>31</v>
      </c>
      <c r="FS28" s="3">
        <v>27490</v>
      </c>
      <c r="FT28" s="3">
        <v>19800</v>
      </c>
      <c r="FU28" s="3">
        <v>7690</v>
      </c>
      <c r="FV28">
        <v>27.97</v>
      </c>
      <c r="FW28" s="3">
        <v>27490</v>
      </c>
      <c r="FX28" s="3">
        <v>19800</v>
      </c>
      <c r="FY28" s="3">
        <v>7690</v>
      </c>
      <c r="FZ28">
        <v>27.97</v>
      </c>
      <c r="GE28" s="3">
        <v>404.14</v>
      </c>
      <c r="GG28" s="3">
        <v>27490</v>
      </c>
      <c r="GI28" t="s">
        <v>32</v>
      </c>
      <c r="GL28" t="s">
        <v>273</v>
      </c>
      <c r="GM28" t="s">
        <v>34</v>
      </c>
      <c r="GN28" t="s">
        <v>35</v>
      </c>
      <c r="GO28" s="2">
        <v>41407</v>
      </c>
      <c r="GP28" s="2">
        <v>41408</v>
      </c>
      <c r="GQ28" s="3">
        <v>0</v>
      </c>
      <c r="GR28" t="s">
        <v>586</v>
      </c>
      <c r="GS28" t="str">
        <f>""</f>
        <v/>
      </c>
      <c r="GT28" t="str">
        <f>"266171"</f>
        <v>266171</v>
      </c>
      <c r="GV28" s="2">
        <v>38683</v>
      </c>
      <c r="GW28" s="3">
        <v>0</v>
      </c>
      <c r="GY28" t="s">
        <v>36</v>
      </c>
      <c r="GZ28" t="s">
        <v>37</v>
      </c>
      <c r="HF28" t="str">
        <f>""</f>
        <v/>
      </c>
      <c r="HK28" t="str">
        <f>""</f>
        <v/>
      </c>
      <c r="HN28" t="s">
        <v>38</v>
      </c>
      <c r="HP28" t="str">
        <f>"0009340127"</f>
        <v>0009340127</v>
      </c>
      <c r="HZ28" t="str">
        <f>""</f>
        <v/>
      </c>
      <c r="IA28" t="str">
        <f>HYPERLINK("https://web.datatree.com/?/property?propertyId=128798284")</f>
        <v>https://web.datatree.com/?/property?propertyId=128798284</v>
      </c>
    </row>
    <row r="29" spans="1:235" x14ac:dyDescent="0.3">
      <c r="A29" t="s">
        <v>2208</v>
      </c>
      <c r="D29" t="s">
        <v>2208</v>
      </c>
      <c r="E29" t="s">
        <v>84</v>
      </c>
      <c r="F29">
        <v>6</v>
      </c>
      <c r="O29" t="s">
        <v>2208</v>
      </c>
      <c r="P29" t="s">
        <v>2208</v>
      </c>
      <c r="R29" t="s">
        <v>85</v>
      </c>
      <c r="T29" t="s">
        <v>55</v>
      </c>
      <c r="Z29" t="s">
        <v>2209</v>
      </c>
      <c r="AA29" t="s">
        <v>73</v>
      </c>
      <c r="AC29" t="s">
        <v>2</v>
      </c>
      <c r="AE29" t="s">
        <v>8</v>
      </c>
      <c r="AF29" t="str">
        <f>"78629"</f>
        <v>78629</v>
      </c>
      <c r="AG29" t="str">
        <f>"78629"</f>
        <v>78629</v>
      </c>
      <c r="AH29" t="s">
        <v>2</v>
      </c>
      <c r="AJ29" t="s">
        <v>2210</v>
      </c>
      <c r="AK29" t="s">
        <v>2211</v>
      </c>
      <c r="AM29">
        <v>417</v>
      </c>
      <c r="AP29" t="s">
        <v>1485</v>
      </c>
      <c r="AQ29" t="s">
        <v>7</v>
      </c>
      <c r="AS29" t="s">
        <v>2</v>
      </c>
      <c r="AT29" t="s">
        <v>2</v>
      </c>
      <c r="AU29" t="s">
        <v>8</v>
      </c>
      <c r="AV29" t="str">
        <f>"78629-3541"</f>
        <v>78629-3541</v>
      </c>
      <c r="AW29" t="s">
        <v>281</v>
      </c>
      <c r="AX29" t="s">
        <v>2212</v>
      </c>
      <c r="AY29" t="s">
        <v>2213</v>
      </c>
      <c r="AZ29" t="s">
        <v>18</v>
      </c>
      <c r="BA29" t="s">
        <v>2214</v>
      </c>
      <c r="BB29" t="str">
        <f>"28644"</f>
        <v>28644</v>
      </c>
      <c r="BC29" t="str">
        <f>"28644"</f>
        <v>28644</v>
      </c>
      <c r="BD29" t="str">
        <f>"16711-00001-18210-000000"</f>
        <v>16711-00001-18210-000000</v>
      </c>
      <c r="BE29">
        <v>48177</v>
      </c>
      <c r="BG29">
        <v>400</v>
      </c>
      <c r="BH29">
        <v>2001</v>
      </c>
      <c r="BN29">
        <v>29.457293068594598</v>
      </c>
      <c r="BO29">
        <v>-97.531233407960002</v>
      </c>
      <c r="CA29" t="str">
        <f>""</f>
        <v/>
      </c>
      <c r="CD29">
        <v>0</v>
      </c>
      <c r="CO29">
        <v>0</v>
      </c>
      <c r="CP29">
        <v>0</v>
      </c>
      <c r="EA29" s="1">
        <v>1</v>
      </c>
      <c r="EC29" t="s">
        <v>23</v>
      </c>
      <c r="EE29" t="s">
        <v>25</v>
      </c>
      <c r="EG29">
        <v>29320</v>
      </c>
      <c r="EH29">
        <v>0.67</v>
      </c>
      <c r="EI29">
        <f t="shared" si="0"/>
        <v>15410.000000000002</v>
      </c>
      <c r="EJ29">
        <f t="shared" si="1"/>
        <v>7705.0000000000009</v>
      </c>
      <c r="FB29" t="str">
        <f>"UNKNOWN"</f>
        <v>UNKNOWN</v>
      </c>
      <c r="FC29">
        <v>2019</v>
      </c>
      <c r="FD29">
        <v>2016</v>
      </c>
      <c r="FE29" t="s">
        <v>30</v>
      </c>
      <c r="FF29" t="s">
        <v>31</v>
      </c>
      <c r="FG29" t="s">
        <v>31</v>
      </c>
      <c r="FH29" t="s">
        <v>31</v>
      </c>
      <c r="FI29" t="s">
        <v>31</v>
      </c>
      <c r="FJ29" t="s">
        <v>31</v>
      </c>
      <c r="FK29" t="s">
        <v>31</v>
      </c>
      <c r="FL29" t="s">
        <v>31</v>
      </c>
      <c r="FM29" t="s">
        <v>31</v>
      </c>
      <c r="FN29" t="s">
        <v>31</v>
      </c>
      <c r="FO29" t="s">
        <v>31</v>
      </c>
      <c r="FP29" t="s">
        <v>31</v>
      </c>
      <c r="FQ29" t="s">
        <v>31</v>
      </c>
      <c r="FR29" t="s">
        <v>31</v>
      </c>
      <c r="FS29" s="3">
        <v>55650</v>
      </c>
      <c r="FT29" s="3">
        <v>55650</v>
      </c>
      <c r="FW29" s="3">
        <v>55650</v>
      </c>
      <c r="FX29" s="3">
        <v>55650</v>
      </c>
      <c r="GG29" s="3">
        <v>55650</v>
      </c>
      <c r="GI29" t="s">
        <v>32</v>
      </c>
      <c r="GL29" t="s">
        <v>273</v>
      </c>
      <c r="GM29" t="s">
        <v>34</v>
      </c>
      <c r="GN29" t="s">
        <v>35</v>
      </c>
      <c r="GS29" t="str">
        <f>""</f>
        <v/>
      </c>
      <c r="GT29" t="str">
        <f>""</f>
        <v/>
      </c>
      <c r="HF29" t="str">
        <f>""</f>
        <v/>
      </c>
      <c r="HK29" t="str">
        <f>""</f>
        <v/>
      </c>
      <c r="HN29" t="s">
        <v>38</v>
      </c>
      <c r="HP29" t="str">
        <f>""</f>
        <v/>
      </c>
      <c r="HZ29" t="str">
        <f>""</f>
        <v/>
      </c>
      <c r="IA29" t="str">
        <f>HYPERLINK("https://web.datatree.com/?/property?propertyId=226040677")</f>
        <v>https://web.datatree.com/?/property?propertyId=226040677</v>
      </c>
    </row>
    <row r="30" spans="1:235" x14ac:dyDescent="0.3">
      <c r="A30" t="s">
        <v>1117</v>
      </c>
      <c r="B30" t="s">
        <v>1118</v>
      </c>
      <c r="C30" t="s">
        <v>1118</v>
      </c>
      <c r="D30" t="s">
        <v>1119</v>
      </c>
      <c r="E30" t="s">
        <v>3</v>
      </c>
      <c r="F30">
        <v>2</v>
      </c>
      <c r="O30" t="s">
        <v>1120</v>
      </c>
      <c r="P30" t="s">
        <v>1117</v>
      </c>
      <c r="T30" t="s">
        <v>55</v>
      </c>
      <c r="V30" t="s">
        <v>31</v>
      </c>
      <c r="W30">
        <v>594</v>
      </c>
      <c r="Z30" t="s">
        <v>182</v>
      </c>
      <c r="AC30" t="s">
        <v>106</v>
      </c>
      <c r="AE30" t="s">
        <v>8</v>
      </c>
      <c r="AF30" t="str">
        <f>"78140"</f>
        <v>78140</v>
      </c>
      <c r="AG30" t="str">
        <f>"78140-2612"</f>
        <v>78140-2612</v>
      </c>
      <c r="AH30" t="s">
        <v>2</v>
      </c>
      <c r="AI30" t="s">
        <v>185</v>
      </c>
      <c r="AJ30" t="s">
        <v>1121</v>
      </c>
      <c r="AK30" t="s">
        <v>1122</v>
      </c>
      <c r="AP30" t="s">
        <v>1123</v>
      </c>
      <c r="AS30" t="s">
        <v>106</v>
      </c>
      <c r="AT30" t="s">
        <v>106</v>
      </c>
      <c r="AU30" t="s">
        <v>8</v>
      </c>
      <c r="AV30" t="str">
        <f>"78140"</f>
        <v>78140</v>
      </c>
      <c r="AW30" t="s">
        <v>834</v>
      </c>
      <c r="AX30" t="s">
        <v>1124</v>
      </c>
      <c r="AY30" t="s">
        <v>1125</v>
      </c>
      <c r="AZ30" t="s">
        <v>18</v>
      </c>
      <c r="BA30" t="s">
        <v>1126</v>
      </c>
      <c r="BB30" t="str">
        <f>"15160"</f>
        <v>15160</v>
      </c>
      <c r="BC30" t="str">
        <f>"15160"</f>
        <v>15160</v>
      </c>
      <c r="BD30" t="str">
        <f>"171002600000000000000"</f>
        <v>171002600000000000000</v>
      </c>
      <c r="BE30">
        <v>48177</v>
      </c>
      <c r="BG30">
        <v>500</v>
      </c>
      <c r="BH30">
        <v>3007</v>
      </c>
      <c r="BI30" t="s">
        <v>20</v>
      </c>
      <c r="BN30">
        <v>29.279626725635101</v>
      </c>
      <c r="BO30">
        <v>-97.765726521358303</v>
      </c>
      <c r="BP30" t="s">
        <v>1127</v>
      </c>
      <c r="BX30" t="s">
        <v>22</v>
      </c>
      <c r="CA30" t="str">
        <f>""</f>
        <v/>
      </c>
      <c r="CC30">
        <v>624</v>
      </c>
      <c r="CD30">
        <v>720</v>
      </c>
      <c r="CH30">
        <v>624</v>
      </c>
      <c r="CJ30">
        <v>1971</v>
      </c>
      <c r="CO30">
        <v>0</v>
      </c>
      <c r="DJ30" t="s">
        <v>1128</v>
      </c>
      <c r="DK30">
        <v>96</v>
      </c>
      <c r="DP30" t="s">
        <v>290</v>
      </c>
      <c r="EA30" s="1">
        <v>1</v>
      </c>
      <c r="EC30" t="s">
        <v>23</v>
      </c>
      <c r="ED30" t="s">
        <v>1129</v>
      </c>
      <c r="EE30" t="s">
        <v>25</v>
      </c>
      <c r="EG30">
        <v>29599</v>
      </c>
      <c r="EH30">
        <v>0.68</v>
      </c>
      <c r="EI30">
        <f t="shared" si="0"/>
        <v>15640.000000000002</v>
      </c>
      <c r="EJ30">
        <f t="shared" si="1"/>
        <v>7820.0000000000009</v>
      </c>
      <c r="EK30">
        <v>100</v>
      </c>
      <c r="EL30">
        <v>296</v>
      </c>
      <c r="ER30">
        <v>1</v>
      </c>
      <c r="EW30" t="s">
        <v>26</v>
      </c>
      <c r="EX30" t="s">
        <v>116</v>
      </c>
      <c r="EY30" t="s">
        <v>117</v>
      </c>
      <c r="EZ30" s="2">
        <v>40515</v>
      </c>
      <c r="FA30" t="s">
        <v>143</v>
      </c>
      <c r="FB30" t="str">
        <f>"FALSE"</f>
        <v>FALSE</v>
      </c>
      <c r="FC30">
        <v>2019</v>
      </c>
      <c r="FD30">
        <v>2016</v>
      </c>
      <c r="FE30" t="s">
        <v>119</v>
      </c>
      <c r="FF30" t="s">
        <v>31</v>
      </c>
      <c r="FG30" t="s">
        <v>31</v>
      </c>
      <c r="FH30" t="s">
        <v>31</v>
      </c>
      <c r="FI30" t="s">
        <v>31</v>
      </c>
      <c r="FJ30" t="s">
        <v>31</v>
      </c>
      <c r="FK30" t="s">
        <v>31</v>
      </c>
      <c r="FL30" t="s">
        <v>31</v>
      </c>
      <c r="FM30" t="s">
        <v>31</v>
      </c>
      <c r="FN30" t="s">
        <v>31</v>
      </c>
      <c r="FO30" t="s">
        <v>31</v>
      </c>
      <c r="FP30" t="s">
        <v>31</v>
      </c>
      <c r="FQ30" t="s">
        <v>31</v>
      </c>
      <c r="FR30" t="s">
        <v>31</v>
      </c>
      <c r="FS30" s="3">
        <v>11000</v>
      </c>
      <c r="FT30" s="3">
        <v>11000</v>
      </c>
      <c r="FW30" s="3">
        <v>11000</v>
      </c>
      <c r="FX30" s="3">
        <v>11000</v>
      </c>
      <c r="GE30" s="3">
        <v>106.52</v>
      </c>
      <c r="GG30" s="3">
        <v>11000</v>
      </c>
      <c r="GI30" t="s">
        <v>120</v>
      </c>
      <c r="GL30" t="s">
        <v>121</v>
      </c>
      <c r="GM30" t="s">
        <v>122</v>
      </c>
      <c r="GN30" t="s">
        <v>123</v>
      </c>
      <c r="GS30" t="str">
        <f>""</f>
        <v/>
      </c>
      <c r="GT30" t="str">
        <f>""</f>
        <v/>
      </c>
      <c r="HF30" t="str">
        <f>""</f>
        <v/>
      </c>
      <c r="HK30" t="str">
        <f>""</f>
        <v/>
      </c>
      <c r="HN30" t="s">
        <v>38</v>
      </c>
      <c r="HP30" t="str">
        <f>""</f>
        <v/>
      </c>
      <c r="HZ30" t="str">
        <f>""</f>
        <v/>
      </c>
      <c r="IA30" t="str">
        <f>HYPERLINK("https://web.datatree.com/?/property?propertyId=128793716")</f>
        <v>https://web.datatree.com/?/property?propertyId=128793716</v>
      </c>
    </row>
    <row r="31" spans="1:235" x14ac:dyDescent="0.3">
      <c r="A31" t="s">
        <v>1466</v>
      </c>
      <c r="B31" t="s">
        <v>1467</v>
      </c>
      <c r="C31" t="s">
        <v>675</v>
      </c>
      <c r="D31" t="s">
        <v>1468</v>
      </c>
      <c r="E31" t="s">
        <v>3</v>
      </c>
      <c r="F31">
        <v>2</v>
      </c>
      <c r="O31" t="s">
        <v>1469</v>
      </c>
      <c r="P31" t="s">
        <v>1466</v>
      </c>
      <c r="T31" t="s">
        <v>137</v>
      </c>
      <c r="W31">
        <v>1017</v>
      </c>
      <c r="Z31" t="s">
        <v>1470</v>
      </c>
      <c r="AA31" t="s">
        <v>7</v>
      </c>
      <c r="AC31" t="s">
        <v>2</v>
      </c>
      <c r="AE31" t="s">
        <v>8</v>
      </c>
      <c r="AF31" t="str">
        <f>"78629"</f>
        <v>78629</v>
      </c>
      <c r="AG31" t="str">
        <f>"78629-3420"</f>
        <v>78629-3420</v>
      </c>
      <c r="AH31" t="s">
        <v>2</v>
      </c>
      <c r="AI31" t="s">
        <v>281</v>
      </c>
      <c r="AJ31" t="s">
        <v>1471</v>
      </c>
      <c r="AK31" t="s">
        <v>1472</v>
      </c>
      <c r="AP31" t="s">
        <v>1473</v>
      </c>
      <c r="AS31" t="s">
        <v>2</v>
      </c>
      <c r="AT31" t="s">
        <v>2</v>
      </c>
      <c r="AU31" t="s">
        <v>8</v>
      </c>
      <c r="AV31" t="str">
        <f>"78629"</f>
        <v>78629</v>
      </c>
      <c r="AW31" t="s">
        <v>452</v>
      </c>
      <c r="AX31" t="s">
        <v>1474</v>
      </c>
      <c r="AY31" t="s">
        <v>1475</v>
      </c>
      <c r="AZ31" t="s">
        <v>18</v>
      </c>
      <c r="BA31" t="s">
        <v>1476</v>
      </c>
      <c r="BB31" t="str">
        <f>"14913"</f>
        <v>14913</v>
      </c>
      <c r="BC31" t="str">
        <f>"14913"</f>
        <v>14913</v>
      </c>
      <c r="BD31" t="str">
        <f>"168023000002100000000"</f>
        <v>168023000002100000000</v>
      </c>
      <c r="BE31">
        <v>48177</v>
      </c>
      <c r="BG31">
        <v>200</v>
      </c>
      <c r="BH31">
        <v>3152</v>
      </c>
      <c r="BN31">
        <v>29.505804999999999</v>
      </c>
      <c r="BO31">
        <v>-97.461224999999999</v>
      </c>
      <c r="BX31" t="s">
        <v>22</v>
      </c>
      <c r="CA31" t="str">
        <f>""</f>
        <v/>
      </c>
      <c r="CC31">
        <v>1312</v>
      </c>
      <c r="CD31">
        <v>1312</v>
      </c>
      <c r="CH31">
        <v>1312</v>
      </c>
      <c r="CJ31">
        <v>1940</v>
      </c>
      <c r="CO31">
        <v>0</v>
      </c>
      <c r="DL31" t="s">
        <v>289</v>
      </c>
      <c r="DM31">
        <v>308</v>
      </c>
      <c r="EA31" s="1">
        <v>1</v>
      </c>
      <c r="EC31" t="s">
        <v>23</v>
      </c>
      <c r="ED31" t="s">
        <v>24</v>
      </c>
      <c r="EE31" t="s">
        <v>25</v>
      </c>
      <c r="EF31" t="s">
        <v>469</v>
      </c>
      <c r="EG31">
        <v>30000</v>
      </c>
      <c r="EH31">
        <v>0.69</v>
      </c>
      <c r="EI31">
        <f t="shared" si="0"/>
        <v>15869.999999999998</v>
      </c>
      <c r="EJ31">
        <f t="shared" si="1"/>
        <v>7934.9999999999991</v>
      </c>
      <c r="EK31">
        <v>300</v>
      </c>
      <c r="EL31">
        <v>100</v>
      </c>
      <c r="ER31">
        <v>1</v>
      </c>
      <c r="EW31" t="s">
        <v>26</v>
      </c>
      <c r="EX31" t="s">
        <v>27</v>
      </c>
      <c r="EY31" t="s">
        <v>28</v>
      </c>
      <c r="EZ31" s="2">
        <v>40515</v>
      </c>
      <c r="FA31" t="s">
        <v>29</v>
      </c>
      <c r="FB31" t="str">
        <f>"FALSE"</f>
        <v>FALSE</v>
      </c>
      <c r="FC31">
        <v>2019</v>
      </c>
      <c r="FD31">
        <v>2016</v>
      </c>
      <c r="FE31" t="s">
        <v>30</v>
      </c>
      <c r="FF31" t="s">
        <v>31</v>
      </c>
      <c r="FG31" t="s">
        <v>520</v>
      </c>
      <c r="FH31" t="s">
        <v>31</v>
      </c>
      <c r="FI31" t="s">
        <v>31</v>
      </c>
      <c r="FJ31" t="s">
        <v>31</v>
      </c>
      <c r="FK31" t="s">
        <v>31</v>
      </c>
      <c r="FL31" t="s">
        <v>31</v>
      </c>
      <c r="FM31" t="s">
        <v>31</v>
      </c>
      <c r="FN31" t="s">
        <v>31</v>
      </c>
      <c r="FO31" t="s">
        <v>31</v>
      </c>
      <c r="FP31" t="s">
        <v>31</v>
      </c>
      <c r="FQ31" t="s">
        <v>31</v>
      </c>
      <c r="FR31" t="s">
        <v>31</v>
      </c>
      <c r="FS31" s="3">
        <v>19800</v>
      </c>
      <c r="FT31" s="3">
        <v>19800</v>
      </c>
      <c r="FW31" s="3">
        <v>19800</v>
      </c>
      <c r="FX31" s="3">
        <v>19800</v>
      </c>
      <c r="GE31" s="3">
        <v>439.16</v>
      </c>
      <c r="GG31" s="3">
        <v>19800</v>
      </c>
      <c r="GI31" t="s">
        <v>32</v>
      </c>
      <c r="GL31" t="s">
        <v>33</v>
      </c>
      <c r="GM31" t="s">
        <v>34</v>
      </c>
      <c r="GN31" t="s">
        <v>35</v>
      </c>
      <c r="GS31" t="str">
        <f>""</f>
        <v/>
      </c>
      <c r="GT31" t="str">
        <f>""</f>
        <v/>
      </c>
      <c r="GV31" s="2">
        <v>37285</v>
      </c>
      <c r="GW31" s="3">
        <v>0</v>
      </c>
      <c r="GY31" t="s">
        <v>36</v>
      </c>
      <c r="GZ31" t="s">
        <v>37</v>
      </c>
      <c r="HA31" s="3">
        <v>0</v>
      </c>
      <c r="HF31" t="str">
        <f>""</f>
        <v/>
      </c>
      <c r="HK31" t="str">
        <f>""</f>
        <v/>
      </c>
      <c r="HN31" t="s">
        <v>38</v>
      </c>
      <c r="HP31" t="str">
        <f>"0008610985"</f>
        <v>0008610985</v>
      </c>
      <c r="HZ31" t="str">
        <f>""</f>
        <v/>
      </c>
      <c r="IA31" t="str">
        <f>HYPERLINK("https://web.datatree.com/?/property?propertyId=128793453")</f>
        <v>https://web.datatree.com/?/property?propertyId=128793453</v>
      </c>
    </row>
    <row r="32" spans="1:235" x14ac:dyDescent="0.3">
      <c r="A32" t="s">
        <v>1155</v>
      </c>
      <c r="B32" t="s">
        <v>1156</v>
      </c>
      <c r="C32" t="s">
        <v>1157</v>
      </c>
      <c r="D32" t="s">
        <v>1158</v>
      </c>
      <c r="E32" t="s">
        <v>3</v>
      </c>
      <c r="F32">
        <v>6</v>
      </c>
      <c r="G32" t="s">
        <v>1159</v>
      </c>
      <c r="H32" t="s">
        <v>1160</v>
      </c>
      <c r="I32" t="s">
        <v>1161</v>
      </c>
      <c r="J32" t="s">
        <v>1158</v>
      </c>
      <c r="K32" t="s">
        <v>3</v>
      </c>
      <c r="L32">
        <v>4</v>
      </c>
      <c r="O32" t="s">
        <v>1162</v>
      </c>
      <c r="P32" t="s">
        <v>1163</v>
      </c>
      <c r="T32" t="s">
        <v>55</v>
      </c>
      <c r="Z32" t="s">
        <v>426</v>
      </c>
      <c r="AA32" t="s">
        <v>7</v>
      </c>
      <c r="AE32" t="s">
        <v>8</v>
      </c>
      <c r="AH32" t="s">
        <v>2</v>
      </c>
      <c r="AJ32" t="s">
        <v>1164</v>
      </c>
      <c r="AK32" t="s">
        <v>1165</v>
      </c>
      <c r="AP32" t="s">
        <v>1166</v>
      </c>
      <c r="AS32" t="s">
        <v>1167</v>
      </c>
      <c r="AT32" t="s">
        <v>1167</v>
      </c>
      <c r="AU32" t="s">
        <v>8</v>
      </c>
      <c r="AV32" t="str">
        <f>"78945"</f>
        <v>78945</v>
      </c>
      <c r="AW32" t="s">
        <v>1168</v>
      </c>
      <c r="AX32" t="s">
        <v>1169</v>
      </c>
      <c r="AY32" t="s">
        <v>1170</v>
      </c>
      <c r="AZ32" t="s">
        <v>18</v>
      </c>
      <c r="BA32" t="s">
        <v>1171</v>
      </c>
      <c r="BB32" t="str">
        <f>"11564"</f>
        <v>11564</v>
      </c>
      <c r="BC32" t="str">
        <f>"11564"</f>
        <v>11564</v>
      </c>
      <c r="BD32" t="str">
        <f>"161403500091300000000"</f>
        <v>161403500091300000000</v>
      </c>
      <c r="BE32">
        <v>48177</v>
      </c>
      <c r="BN32">
        <v>29.505333930641999</v>
      </c>
      <c r="BO32">
        <v>-97.430962295892598</v>
      </c>
      <c r="BP32" t="s">
        <v>1172</v>
      </c>
      <c r="BX32" t="s">
        <v>22</v>
      </c>
      <c r="CA32" t="str">
        <f>""</f>
        <v/>
      </c>
      <c r="CD32">
        <v>0</v>
      </c>
      <c r="CO32">
        <v>0</v>
      </c>
      <c r="EA32" s="1">
        <v>1</v>
      </c>
      <c r="EC32" t="s">
        <v>23</v>
      </c>
      <c r="ED32" t="s">
        <v>24</v>
      </c>
      <c r="EE32" t="s">
        <v>25</v>
      </c>
      <c r="EG32">
        <v>31999</v>
      </c>
      <c r="EH32">
        <v>0.74</v>
      </c>
      <c r="EI32">
        <f t="shared" si="0"/>
        <v>17020</v>
      </c>
      <c r="EJ32">
        <f t="shared" si="1"/>
        <v>8510</v>
      </c>
      <c r="EK32">
        <v>200</v>
      </c>
      <c r="EL32">
        <v>160</v>
      </c>
      <c r="EW32" t="s">
        <v>26</v>
      </c>
      <c r="EX32" t="s">
        <v>64</v>
      </c>
      <c r="EY32" t="s">
        <v>65</v>
      </c>
      <c r="EZ32" s="2">
        <v>40515</v>
      </c>
      <c r="FA32" t="s">
        <v>143</v>
      </c>
      <c r="FB32" t="str">
        <f>"FALSE"</f>
        <v>FALSE</v>
      </c>
      <c r="FC32">
        <v>2019</v>
      </c>
      <c r="FD32">
        <v>2016</v>
      </c>
      <c r="FE32" t="s">
        <v>30</v>
      </c>
      <c r="FF32" t="s">
        <v>31</v>
      </c>
      <c r="FG32" t="s">
        <v>31</v>
      </c>
      <c r="FH32" t="s">
        <v>31</v>
      </c>
      <c r="FI32" t="s">
        <v>31</v>
      </c>
      <c r="FJ32" t="s">
        <v>31</v>
      </c>
      <c r="FK32" t="s">
        <v>31</v>
      </c>
      <c r="FL32" t="s">
        <v>31</v>
      </c>
      <c r="FM32" t="s">
        <v>31</v>
      </c>
      <c r="FN32" t="s">
        <v>31</v>
      </c>
      <c r="FO32" t="s">
        <v>31</v>
      </c>
      <c r="FP32" t="s">
        <v>31</v>
      </c>
      <c r="FQ32" t="s">
        <v>31</v>
      </c>
      <c r="FR32" t="s">
        <v>31</v>
      </c>
      <c r="FS32" s="3">
        <v>12810</v>
      </c>
      <c r="FT32" s="3">
        <v>12810</v>
      </c>
      <c r="FW32" s="3">
        <v>12810</v>
      </c>
      <c r="FX32" s="3">
        <v>12810</v>
      </c>
      <c r="GE32" s="3">
        <v>261.45999999999998</v>
      </c>
      <c r="GG32" s="3">
        <v>12810</v>
      </c>
      <c r="GI32" t="s">
        <v>32</v>
      </c>
      <c r="GL32" t="s">
        <v>273</v>
      </c>
      <c r="GM32" t="s">
        <v>34</v>
      </c>
      <c r="GN32" t="s">
        <v>35</v>
      </c>
      <c r="GS32" t="str">
        <f>""</f>
        <v/>
      </c>
      <c r="GT32" t="str">
        <f>""</f>
        <v/>
      </c>
      <c r="GV32" s="2">
        <v>37263</v>
      </c>
      <c r="GW32" s="3">
        <v>0</v>
      </c>
      <c r="GY32" t="s">
        <v>36</v>
      </c>
      <c r="GZ32" t="s">
        <v>37</v>
      </c>
      <c r="HF32" t="str">
        <f>""</f>
        <v/>
      </c>
      <c r="HK32" t="str">
        <f>""</f>
        <v/>
      </c>
      <c r="HN32" t="s">
        <v>38</v>
      </c>
      <c r="HP32" t="str">
        <f>"0008650531"</f>
        <v>0008650531</v>
      </c>
      <c r="HZ32" t="str">
        <f>""</f>
        <v/>
      </c>
      <c r="IA32" t="str">
        <f>HYPERLINK("https://web.datatree.com/?/property?propertyId=128790504")</f>
        <v>https://web.datatree.com/?/property?propertyId=128790504</v>
      </c>
    </row>
    <row r="33" spans="1:235" x14ac:dyDescent="0.3">
      <c r="A33" t="s">
        <v>1103</v>
      </c>
      <c r="D33" t="s">
        <v>1103</v>
      </c>
      <c r="E33" t="s">
        <v>3</v>
      </c>
      <c r="F33">
        <v>6</v>
      </c>
      <c r="K33" t="s">
        <v>3</v>
      </c>
      <c r="O33" t="s">
        <v>1104</v>
      </c>
      <c r="P33" t="s">
        <v>1103</v>
      </c>
      <c r="R33" t="s">
        <v>41</v>
      </c>
      <c r="T33" t="s">
        <v>55</v>
      </c>
      <c r="AC33" t="s">
        <v>2</v>
      </c>
      <c r="AE33" t="s">
        <v>8</v>
      </c>
      <c r="AF33" t="str">
        <f>"78629"</f>
        <v>78629</v>
      </c>
      <c r="AG33" t="str">
        <f>"78629"</f>
        <v>78629</v>
      </c>
      <c r="AH33" t="s">
        <v>2</v>
      </c>
      <c r="AK33" t="s">
        <v>701</v>
      </c>
      <c r="AM33">
        <v>5217</v>
      </c>
      <c r="AO33" t="s">
        <v>109</v>
      </c>
      <c r="AP33" t="s">
        <v>295</v>
      </c>
      <c r="AS33" t="s">
        <v>2</v>
      </c>
      <c r="AU33" t="s">
        <v>8</v>
      </c>
      <c r="AV33" t="str">
        <f>"78629-2757"</f>
        <v>78629-2757</v>
      </c>
      <c r="AW33" t="s">
        <v>152</v>
      </c>
      <c r="AX33" t="s">
        <v>1105</v>
      </c>
      <c r="AY33" t="s">
        <v>1106</v>
      </c>
      <c r="AZ33" t="s">
        <v>18</v>
      </c>
      <c r="BA33" t="s">
        <v>1107</v>
      </c>
      <c r="BB33" t="str">
        <f>"11189"</f>
        <v>11189</v>
      </c>
      <c r="BC33" t="str">
        <f>"11189"</f>
        <v>11189</v>
      </c>
      <c r="BD33" t="str">
        <f>"160245407020000000000"</f>
        <v>160245407020000000000</v>
      </c>
      <c r="BE33">
        <v>48177</v>
      </c>
      <c r="BG33">
        <v>400</v>
      </c>
      <c r="BH33">
        <v>2001</v>
      </c>
      <c r="BN33">
        <v>29.507681214959099</v>
      </c>
      <c r="BO33">
        <v>-97.453249914828902</v>
      </c>
      <c r="BP33" t="s">
        <v>1108</v>
      </c>
      <c r="BX33" t="s">
        <v>22</v>
      </c>
      <c r="CA33" t="str">
        <f>"6"</f>
        <v>6</v>
      </c>
      <c r="CB33">
        <v>9</v>
      </c>
      <c r="CD33">
        <v>0</v>
      </c>
      <c r="CO33">
        <v>0</v>
      </c>
      <c r="EA33" s="1">
        <v>1</v>
      </c>
      <c r="EC33" t="s">
        <v>23</v>
      </c>
      <c r="ED33" t="s">
        <v>24</v>
      </c>
      <c r="EE33" t="s">
        <v>25</v>
      </c>
      <c r="EG33">
        <v>32204</v>
      </c>
      <c r="EH33">
        <v>0.74</v>
      </c>
      <c r="EI33">
        <f t="shared" si="0"/>
        <v>17020</v>
      </c>
      <c r="EJ33">
        <f t="shared" si="1"/>
        <v>8510</v>
      </c>
      <c r="EK33">
        <v>194</v>
      </c>
      <c r="EL33">
        <v>166</v>
      </c>
      <c r="EW33" t="s">
        <v>26</v>
      </c>
      <c r="EX33" t="s">
        <v>27</v>
      </c>
      <c r="EY33" t="s">
        <v>28</v>
      </c>
      <c r="EZ33" s="2">
        <v>40515</v>
      </c>
      <c r="FA33" t="s">
        <v>29</v>
      </c>
      <c r="FB33" t="str">
        <f>"FALSE"</f>
        <v>FALSE</v>
      </c>
      <c r="FC33">
        <v>2019</v>
      </c>
      <c r="FD33">
        <v>2016</v>
      </c>
      <c r="FE33" t="s">
        <v>30</v>
      </c>
      <c r="FF33" t="s">
        <v>31</v>
      </c>
      <c r="FG33" t="s">
        <v>31</v>
      </c>
      <c r="FH33" t="s">
        <v>31</v>
      </c>
      <c r="FI33" t="s">
        <v>31</v>
      </c>
      <c r="FJ33" t="s">
        <v>31</v>
      </c>
      <c r="FK33" t="s">
        <v>31</v>
      </c>
      <c r="FL33" t="s">
        <v>31</v>
      </c>
      <c r="FM33" t="s">
        <v>31</v>
      </c>
      <c r="FN33" t="s">
        <v>31</v>
      </c>
      <c r="FO33" t="s">
        <v>31</v>
      </c>
      <c r="FP33" t="s">
        <v>31</v>
      </c>
      <c r="FQ33" t="s">
        <v>31</v>
      </c>
      <c r="FR33" t="s">
        <v>31</v>
      </c>
      <c r="FS33" s="3">
        <v>31900</v>
      </c>
      <c r="FT33" s="3">
        <v>31900</v>
      </c>
      <c r="FW33" s="3">
        <v>31900</v>
      </c>
      <c r="FX33" s="3">
        <v>31900</v>
      </c>
      <c r="GE33" s="3">
        <v>707.54</v>
      </c>
      <c r="GG33" s="3">
        <v>31900</v>
      </c>
      <c r="GI33" t="s">
        <v>32</v>
      </c>
      <c r="GL33" t="s">
        <v>33</v>
      </c>
      <c r="GM33" t="s">
        <v>34</v>
      </c>
      <c r="GN33" t="s">
        <v>35</v>
      </c>
      <c r="GS33" t="str">
        <f>""</f>
        <v/>
      </c>
      <c r="GT33" t="str">
        <f>""</f>
        <v/>
      </c>
      <c r="GV33" s="2">
        <v>38989</v>
      </c>
      <c r="GW33" s="3">
        <v>0</v>
      </c>
      <c r="GY33" t="s">
        <v>36</v>
      </c>
      <c r="GZ33" t="s">
        <v>37</v>
      </c>
      <c r="HF33" t="str">
        <f>""</f>
        <v/>
      </c>
      <c r="HK33" t="str">
        <f>""</f>
        <v/>
      </c>
      <c r="HN33" t="s">
        <v>38</v>
      </c>
      <c r="HP33" t="str">
        <f>"0009510845"</f>
        <v>0009510845</v>
      </c>
      <c r="HZ33" t="str">
        <f>""</f>
        <v/>
      </c>
      <c r="IA33" t="str">
        <f>HYPERLINK("https://web.datatree.com/?/property?propertyId=128790109")</f>
        <v>https://web.datatree.com/?/property?propertyId=128790109</v>
      </c>
    </row>
    <row r="34" spans="1:235" x14ac:dyDescent="0.3">
      <c r="A34" t="s">
        <v>1650</v>
      </c>
      <c r="D34" t="s">
        <v>1650</v>
      </c>
      <c r="E34" t="s">
        <v>663</v>
      </c>
      <c r="F34">
        <v>3</v>
      </c>
      <c r="O34" t="s">
        <v>1651</v>
      </c>
      <c r="P34" t="s">
        <v>1650</v>
      </c>
      <c r="Q34" t="s">
        <v>665</v>
      </c>
      <c r="T34" t="s">
        <v>55</v>
      </c>
      <c r="W34">
        <v>2091</v>
      </c>
      <c r="Y34" t="s">
        <v>148</v>
      </c>
      <c r="Z34" t="s">
        <v>295</v>
      </c>
      <c r="AC34" t="s">
        <v>2</v>
      </c>
      <c r="AE34" t="s">
        <v>8</v>
      </c>
      <c r="AF34" t="str">
        <f>"78629"</f>
        <v>78629</v>
      </c>
      <c r="AG34" t="str">
        <f>"78629-6114"</f>
        <v>78629-6114</v>
      </c>
      <c r="AH34" t="s">
        <v>2</v>
      </c>
      <c r="AI34" t="s">
        <v>330</v>
      </c>
      <c r="AJ34" t="s">
        <v>1652</v>
      </c>
      <c r="AK34" t="s">
        <v>1653</v>
      </c>
      <c r="AP34" t="s">
        <v>1654</v>
      </c>
      <c r="AS34" t="s">
        <v>2</v>
      </c>
      <c r="AT34" t="s">
        <v>2</v>
      </c>
      <c r="AU34" t="s">
        <v>8</v>
      </c>
      <c r="AV34" t="str">
        <f>"78629"</f>
        <v>78629</v>
      </c>
      <c r="AW34" t="s">
        <v>254</v>
      </c>
      <c r="AX34" t="s">
        <v>1655</v>
      </c>
      <c r="AY34" t="s">
        <v>1656</v>
      </c>
      <c r="AZ34" t="s">
        <v>18</v>
      </c>
      <c r="BA34" t="s">
        <v>1657</v>
      </c>
      <c r="BB34" t="str">
        <f>"2778"</f>
        <v>2778</v>
      </c>
      <c r="BC34" t="str">
        <f>"2778"</f>
        <v>2778</v>
      </c>
      <c r="BD34" t="str">
        <f>"166710000000000000000"</f>
        <v>166710000000000000000</v>
      </c>
      <c r="BE34">
        <v>48177</v>
      </c>
      <c r="BG34">
        <v>100</v>
      </c>
      <c r="BH34">
        <v>1219</v>
      </c>
      <c r="BN34">
        <v>29.504628738933999</v>
      </c>
      <c r="BO34">
        <v>-97.513906169938494</v>
      </c>
      <c r="BX34" t="s">
        <v>22</v>
      </c>
      <c r="CA34" t="str">
        <f>"13"</f>
        <v>13</v>
      </c>
      <c r="CD34">
        <v>0</v>
      </c>
      <c r="CO34">
        <v>0</v>
      </c>
      <c r="EA34" s="1">
        <v>1</v>
      </c>
      <c r="EC34" t="s">
        <v>23</v>
      </c>
      <c r="ED34" t="s">
        <v>24</v>
      </c>
      <c r="EE34" t="s">
        <v>25</v>
      </c>
      <c r="EG34">
        <v>32548</v>
      </c>
      <c r="EH34">
        <v>0.75</v>
      </c>
      <c r="EI34">
        <f t="shared" si="0"/>
        <v>17250</v>
      </c>
      <c r="EJ34">
        <f t="shared" si="1"/>
        <v>8625</v>
      </c>
      <c r="EK34">
        <v>210</v>
      </c>
      <c r="EL34">
        <v>155</v>
      </c>
      <c r="EW34" t="s">
        <v>26</v>
      </c>
      <c r="EX34" t="s">
        <v>584</v>
      </c>
      <c r="EY34" t="s">
        <v>585</v>
      </c>
      <c r="EZ34" s="2">
        <v>40515</v>
      </c>
      <c r="FA34" t="s">
        <v>143</v>
      </c>
      <c r="FB34" t="str">
        <f>"FALSE"</f>
        <v>FALSE</v>
      </c>
      <c r="FC34">
        <v>2019</v>
      </c>
      <c r="FD34">
        <v>2016</v>
      </c>
      <c r="FE34" t="s">
        <v>30</v>
      </c>
      <c r="FF34" t="s">
        <v>31</v>
      </c>
      <c r="FG34" t="s">
        <v>31</v>
      </c>
      <c r="FH34" t="s">
        <v>31</v>
      </c>
      <c r="FI34" t="s">
        <v>31</v>
      </c>
      <c r="FJ34" t="s">
        <v>31</v>
      </c>
      <c r="FK34" t="s">
        <v>31</v>
      </c>
      <c r="FL34" t="s">
        <v>31</v>
      </c>
      <c r="FM34" t="s">
        <v>31</v>
      </c>
      <c r="FN34" t="s">
        <v>31</v>
      </c>
      <c r="FO34" t="s">
        <v>31</v>
      </c>
      <c r="FP34" t="s">
        <v>31</v>
      </c>
      <c r="FQ34" t="s">
        <v>31</v>
      </c>
      <c r="FR34" t="s">
        <v>31</v>
      </c>
      <c r="FS34" s="3">
        <v>10510</v>
      </c>
      <c r="FT34" s="3">
        <v>10510</v>
      </c>
      <c r="FW34" s="3">
        <v>10510</v>
      </c>
      <c r="FX34" s="3">
        <v>10510</v>
      </c>
      <c r="GE34" s="3">
        <v>214.52</v>
      </c>
      <c r="GG34" s="3">
        <v>10510</v>
      </c>
      <c r="GI34" t="s">
        <v>32</v>
      </c>
      <c r="GL34" t="s">
        <v>33</v>
      </c>
      <c r="GM34" t="s">
        <v>34</v>
      </c>
      <c r="GN34" t="s">
        <v>35</v>
      </c>
      <c r="GS34" t="str">
        <f>""</f>
        <v/>
      </c>
      <c r="GT34" t="str">
        <f>""</f>
        <v/>
      </c>
      <c r="GV34" s="2">
        <v>36404</v>
      </c>
      <c r="GW34" s="3">
        <v>0</v>
      </c>
      <c r="GY34" t="s">
        <v>36</v>
      </c>
      <c r="GZ34" t="s">
        <v>37</v>
      </c>
      <c r="HF34" t="str">
        <f>""</f>
        <v/>
      </c>
      <c r="HK34" t="str">
        <f>""</f>
        <v/>
      </c>
      <c r="HN34" t="s">
        <v>38</v>
      </c>
      <c r="HP34" t="str">
        <f>"0008230021"</f>
        <v>0008230021</v>
      </c>
      <c r="HZ34" t="str">
        <f>""</f>
        <v/>
      </c>
      <c r="IA34" t="str">
        <f>HYPERLINK("https://web.datatree.com/?/property?propertyId=128799794")</f>
        <v>https://web.datatree.com/?/property?propertyId=128799794</v>
      </c>
    </row>
    <row r="35" spans="1:235" x14ac:dyDescent="0.3">
      <c r="A35" t="s">
        <v>393</v>
      </c>
      <c r="B35" t="s">
        <v>394</v>
      </c>
      <c r="C35" t="s">
        <v>394</v>
      </c>
      <c r="D35" t="s">
        <v>395</v>
      </c>
      <c r="E35" t="s">
        <v>3</v>
      </c>
      <c r="F35">
        <v>2</v>
      </c>
      <c r="G35" t="s">
        <v>396</v>
      </c>
      <c r="H35" t="s">
        <v>397</v>
      </c>
      <c r="I35" t="s">
        <v>397</v>
      </c>
      <c r="J35" t="s">
        <v>395</v>
      </c>
      <c r="K35" t="s">
        <v>3</v>
      </c>
      <c r="L35">
        <v>4</v>
      </c>
      <c r="O35" t="s">
        <v>398</v>
      </c>
      <c r="P35" t="s">
        <v>399</v>
      </c>
      <c r="T35" t="s">
        <v>5</v>
      </c>
      <c r="V35" t="s">
        <v>31</v>
      </c>
      <c r="W35">
        <v>204</v>
      </c>
      <c r="Z35" t="s">
        <v>400</v>
      </c>
      <c r="AA35" t="s">
        <v>7</v>
      </c>
      <c r="AC35" t="s">
        <v>2</v>
      </c>
      <c r="AE35" t="s">
        <v>8</v>
      </c>
      <c r="AF35" t="str">
        <f>"78629"</f>
        <v>78629</v>
      </c>
      <c r="AG35" t="str">
        <f>"78629-4108"</f>
        <v>78629-4108</v>
      </c>
      <c r="AH35" t="s">
        <v>2</v>
      </c>
      <c r="AJ35" t="s">
        <v>401</v>
      </c>
      <c r="AK35" t="s">
        <v>402</v>
      </c>
      <c r="AL35" t="s">
        <v>52</v>
      </c>
      <c r="AM35">
        <v>122</v>
      </c>
      <c r="AP35" t="s">
        <v>400</v>
      </c>
      <c r="AQ35" t="s">
        <v>7</v>
      </c>
      <c r="AS35" t="s">
        <v>2</v>
      </c>
      <c r="AT35" t="s">
        <v>2</v>
      </c>
      <c r="AU35" t="s">
        <v>8</v>
      </c>
      <c r="AV35" t="str">
        <f>"78629-4606"</f>
        <v>78629-4606</v>
      </c>
      <c r="AW35" t="s">
        <v>281</v>
      </c>
      <c r="AX35" t="s">
        <v>403</v>
      </c>
      <c r="AY35" t="s">
        <v>404</v>
      </c>
      <c r="AZ35" t="s">
        <v>18</v>
      </c>
      <c r="BA35" t="s">
        <v>405</v>
      </c>
      <c r="BB35" t="str">
        <f>"1286"</f>
        <v>1286</v>
      </c>
      <c r="BC35" t="str">
        <f>"1286"</f>
        <v>1286</v>
      </c>
      <c r="BD35" t="str">
        <f>"102606500000000000000"</f>
        <v>102606500000000000000</v>
      </c>
      <c r="BE35">
        <v>48177</v>
      </c>
      <c r="BG35">
        <v>300</v>
      </c>
      <c r="BH35">
        <v>3012</v>
      </c>
      <c r="BN35">
        <v>29.497765847742301</v>
      </c>
      <c r="BO35">
        <v>-97.446438569172003</v>
      </c>
      <c r="BX35" t="s">
        <v>22</v>
      </c>
      <c r="CA35" t="str">
        <f>""</f>
        <v/>
      </c>
      <c r="CD35">
        <v>0</v>
      </c>
      <c r="CO35">
        <v>0</v>
      </c>
      <c r="EA35" s="1">
        <v>1</v>
      </c>
      <c r="EC35" t="s">
        <v>23</v>
      </c>
      <c r="ED35" t="s">
        <v>24</v>
      </c>
      <c r="EE35" t="s">
        <v>25</v>
      </c>
      <c r="EG35">
        <v>33280</v>
      </c>
      <c r="EH35">
        <v>0.76</v>
      </c>
      <c r="EI35">
        <f t="shared" si="0"/>
        <v>17480</v>
      </c>
      <c r="EJ35">
        <f t="shared" si="1"/>
        <v>8740</v>
      </c>
      <c r="EK35">
        <v>111.1</v>
      </c>
      <c r="EL35">
        <v>223</v>
      </c>
      <c r="EM35">
        <v>5740</v>
      </c>
      <c r="EN35">
        <v>5740</v>
      </c>
      <c r="EW35" t="s">
        <v>26</v>
      </c>
      <c r="EX35" t="s">
        <v>271</v>
      </c>
      <c r="EY35" t="s">
        <v>272</v>
      </c>
      <c r="EZ35" s="2">
        <v>40515</v>
      </c>
      <c r="FA35" t="s">
        <v>29</v>
      </c>
      <c r="FB35" t="str">
        <f>"FALSE"</f>
        <v>FALSE</v>
      </c>
      <c r="FC35">
        <v>2019</v>
      </c>
      <c r="FD35">
        <v>2016</v>
      </c>
      <c r="FE35" t="s">
        <v>30</v>
      </c>
      <c r="FF35" t="s">
        <v>31</v>
      </c>
      <c r="FG35" t="s">
        <v>31</v>
      </c>
      <c r="FH35" t="s">
        <v>31</v>
      </c>
      <c r="FI35" t="s">
        <v>31</v>
      </c>
      <c r="FJ35" t="s">
        <v>31</v>
      </c>
      <c r="FK35" t="s">
        <v>31</v>
      </c>
      <c r="FL35" t="s">
        <v>31</v>
      </c>
      <c r="FM35" t="s">
        <v>31</v>
      </c>
      <c r="FN35" t="s">
        <v>31</v>
      </c>
      <c r="FO35" t="s">
        <v>31</v>
      </c>
      <c r="FP35" t="s">
        <v>31</v>
      </c>
      <c r="FQ35" t="s">
        <v>31</v>
      </c>
      <c r="FR35" t="s">
        <v>31</v>
      </c>
      <c r="FS35" s="3">
        <v>16980</v>
      </c>
      <c r="FT35" s="3">
        <v>16980</v>
      </c>
      <c r="FW35" s="3">
        <v>16980</v>
      </c>
      <c r="FX35" s="3">
        <v>16980</v>
      </c>
      <c r="GE35" s="3">
        <v>372.85</v>
      </c>
      <c r="GG35" s="3">
        <v>16980</v>
      </c>
      <c r="GI35" t="s">
        <v>32</v>
      </c>
      <c r="GL35" t="s">
        <v>273</v>
      </c>
      <c r="GM35" t="s">
        <v>34</v>
      </c>
      <c r="GN35" t="s">
        <v>35</v>
      </c>
      <c r="GS35" t="str">
        <f>""</f>
        <v/>
      </c>
      <c r="GT35" t="str">
        <f>""</f>
        <v/>
      </c>
      <c r="GV35" s="2">
        <v>37985</v>
      </c>
      <c r="GW35" s="3">
        <v>0</v>
      </c>
      <c r="GY35" t="s">
        <v>36</v>
      </c>
      <c r="GZ35" t="s">
        <v>37</v>
      </c>
      <c r="HF35" t="str">
        <f>""</f>
        <v/>
      </c>
      <c r="HK35" t="str">
        <f>""</f>
        <v/>
      </c>
      <c r="HN35" t="s">
        <v>38</v>
      </c>
      <c r="HP35" t="str">
        <f>"0008960611"</f>
        <v>0008960611</v>
      </c>
      <c r="HZ35" t="str">
        <f>""</f>
        <v/>
      </c>
      <c r="IA35" t="str">
        <f>HYPERLINK("https://web.datatree.com/?/property?propertyId=128791836")</f>
        <v>https://web.datatree.com/?/property?propertyId=128791836</v>
      </c>
    </row>
    <row r="36" spans="1:235" x14ac:dyDescent="0.3">
      <c r="A36" t="s">
        <v>984</v>
      </c>
      <c r="B36" t="s">
        <v>985</v>
      </c>
      <c r="C36" t="s">
        <v>986</v>
      </c>
      <c r="D36" t="s">
        <v>987</v>
      </c>
      <c r="E36" t="s">
        <v>3</v>
      </c>
      <c r="F36">
        <v>1</v>
      </c>
      <c r="O36" t="s">
        <v>988</v>
      </c>
      <c r="P36" t="s">
        <v>984</v>
      </c>
      <c r="T36" t="s">
        <v>5</v>
      </c>
      <c r="V36" t="s">
        <v>109</v>
      </c>
      <c r="W36">
        <v>900</v>
      </c>
      <c r="Z36" t="s">
        <v>989</v>
      </c>
      <c r="AC36" t="s">
        <v>2</v>
      </c>
      <c r="AE36" t="s">
        <v>8</v>
      </c>
      <c r="AF36" t="str">
        <f>"78629"</f>
        <v>78629</v>
      </c>
      <c r="AG36" t="str">
        <f>"78629"</f>
        <v>78629</v>
      </c>
      <c r="AH36" t="s">
        <v>2</v>
      </c>
      <c r="AJ36" t="s">
        <v>990</v>
      </c>
      <c r="AK36" t="s">
        <v>991</v>
      </c>
      <c r="AM36">
        <v>821</v>
      </c>
      <c r="AP36" t="s">
        <v>992</v>
      </c>
      <c r="AQ36" t="s">
        <v>7</v>
      </c>
      <c r="AS36" t="s">
        <v>2</v>
      </c>
      <c r="AT36" t="s">
        <v>2</v>
      </c>
      <c r="AU36" t="s">
        <v>8</v>
      </c>
      <c r="AV36" t="str">
        <f>"78629-2302"</f>
        <v>78629-2302</v>
      </c>
      <c r="AW36" t="s">
        <v>80</v>
      </c>
      <c r="AX36" t="s">
        <v>993</v>
      </c>
      <c r="AY36" t="s">
        <v>994</v>
      </c>
      <c r="AZ36" t="s">
        <v>18</v>
      </c>
      <c r="BA36" t="s">
        <v>995</v>
      </c>
      <c r="BB36" t="str">
        <f>"13157"</f>
        <v>13157</v>
      </c>
      <c r="BC36" t="str">
        <f>"13157"</f>
        <v>13157</v>
      </c>
      <c r="BD36" t="str">
        <f>"164428500575800000000"</f>
        <v>164428500575800000000</v>
      </c>
      <c r="BE36">
        <v>48177</v>
      </c>
      <c r="BG36">
        <v>400</v>
      </c>
      <c r="BH36">
        <v>2001</v>
      </c>
      <c r="BI36" t="s">
        <v>20</v>
      </c>
      <c r="BN36">
        <v>29.5142623378695</v>
      </c>
      <c r="BO36">
        <v>-97.451653831567796</v>
      </c>
      <c r="BP36" t="s">
        <v>996</v>
      </c>
      <c r="BX36" t="s">
        <v>22</v>
      </c>
      <c r="CA36" t="str">
        <f>"57|58"</f>
        <v>57|58</v>
      </c>
      <c r="CD36">
        <v>0</v>
      </c>
      <c r="CO36">
        <v>0</v>
      </c>
      <c r="EA36" s="1">
        <v>1</v>
      </c>
      <c r="EC36" t="s">
        <v>23</v>
      </c>
      <c r="ED36" t="s">
        <v>24</v>
      </c>
      <c r="EE36" t="s">
        <v>25</v>
      </c>
      <c r="EG36">
        <v>35031</v>
      </c>
      <c r="EH36">
        <v>0.8</v>
      </c>
      <c r="EI36">
        <f t="shared" si="0"/>
        <v>18400</v>
      </c>
      <c r="EJ36">
        <f t="shared" si="1"/>
        <v>9200</v>
      </c>
      <c r="EK36">
        <v>139</v>
      </c>
      <c r="EL36">
        <v>169</v>
      </c>
      <c r="EM36">
        <v>11537</v>
      </c>
      <c r="EN36">
        <v>11537</v>
      </c>
      <c r="ER36">
        <v>1</v>
      </c>
      <c r="EW36" t="s">
        <v>26</v>
      </c>
      <c r="EX36" t="s">
        <v>27</v>
      </c>
      <c r="EY36" t="s">
        <v>28</v>
      </c>
      <c r="EZ36" s="2">
        <v>40515</v>
      </c>
      <c r="FA36" t="s">
        <v>29</v>
      </c>
      <c r="FB36" t="str">
        <f>"FALSE"</f>
        <v>FALSE</v>
      </c>
      <c r="FC36">
        <v>2019</v>
      </c>
      <c r="FD36">
        <v>2016</v>
      </c>
      <c r="FE36" t="s">
        <v>30</v>
      </c>
      <c r="FF36" t="s">
        <v>31</v>
      </c>
      <c r="FG36" t="s">
        <v>31</v>
      </c>
      <c r="FH36" t="s">
        <v>31</v>
      </c>
      <c r="FI36" t="s">
        <v>31</v>
      </c>
      <c r="FJ36" t="s">
        <v>31</v>
      </c>
      <c r="FK36" t="s">
        <v>31</v>
      </c>
      <c r="FL36" t="s">
        <v>31</v>
      </c>
      <c r="FM36" t="s">
        <v>31</v>
      </c>
      <c r="FN36" t="s">
        <v>31</v>
      </c>
      <c r="FO36" t="s">
        <v>31</v>
      </c>
      <c r="FP36" t="s">
        <v>31</v>
      </c>
      <c r="FQ36" t="s">
        <v>31</v>
      </c>
      <c r="FR36" t="s">
        <v>31</v>
      </c>
      <c r="FS36" s="3">
        <v>14040</v>
      </c>
      <c r="FT36" s="3">
        <v>10170</v>
      </c>
      <c r="FU36" s="3">
        <v>3870</v>
      </c>
      <c r="FV36">
        <v>27.56</v>
      </c>
      <c r="FW36" s="3">
        <v>14040</v>
      </c>
      <c r="FX36" s="3">
        <v>10170</v>
      </c>
      <c r="FY36" s="3">
        <v>3870</v>
      </c>
      <c r="FZ36">
        <v>27.56</v>
      </c>
      <c r="GE36" s="3">
        <v>237.1</v>
      </c>
      <c r="GG36" s="3">
        <v>14040</v>
      </c>
      <c r="GI36" t="s">
        <v>32</v>
      </c>
      <c r="GL36" t="s">
        <v>33</v>
      </c>
      <c r="GM36" t="s">
        <v>34</v>
      </c>
      <c r="GN36" t="s">
        <v>35</v>
      </c>
      <c r="GS36" t="str">
        <f>""</f>
        <v/>
      </c>
      <c r="GT36" t="str">
        <f>""</f>
        <v/>
      </c>
      <c r="HF36" t="str">
        <f>""</f>
        <v/>
      </c>
      <c r="HK36" t="str">
        <f>""</f>
        <v/>
      </c>
      <c r="HN36" t="s">
        <v>38</v>
      </c>
      <c r="HP36" t="str">
        <f>""</f>
        <v/>
      </c>
      <c r="HZ36" t="str">
        <f>""</f>
        <v/>
      </c>
      <c r="IA36" t="str">
        <f>HYPERLINK("https://web.datatree.com/?/property?propertyId=128792122")</f>
        <v>https://web.datatree.com/?/property?propertyId=128792122</v>
      </c>
    </row>
    <row r="37" spans="1:235" x14ac:dyDescent="0.3">
      <c r="A37" t="s">
        <v>1825</v>
      </c>
      <c r="B37" t="s">
        <v>1826</v>
      </c>
      <c r="C37" t="s">
        <v>1826</v>
      </c>
      <c r="D37" t="s">
        <v>1827</v>
      </c>
      <c r="E37" t="s">
        <v>3</v>
      </c>
      <c r="F37">
        <v>1</v>
      </c>
      <c r="O37" t="s">
        <v>1828</v>
      </c>
      <c r="P37" t="s">
        <v>1825</v>
      </c>
      <c r="T37" t="s">
        <v>55</v>
      </c>
      <c r="V37" t="s">
        <v>31</v>
      </c>
      <c r="W37">
        <v>1000</v>
      </c>
      <c r="Z37" t="s">
        <v>1025</v>
      </c>
      <c r="AA37" t="s">
        <v>7</v>
      </c>
      <c r="AC37" t="s">
        <v>72</v>
      </c>
      <c r="AE37" t="s">
        <v>8</v>
      </c>
      <c r="AF37" t="str">
        <f>"78959"</f>
        <v>78959</v>
      </c>
      <c r="AG37" t="str">
        <f>"78959"</f>
        <v>78959</v>
      </c>
      <c r="AH37" t="s">
        <v>2</v>
      </c>
      <c r="AJ37" t="s">
        <v>1829</v>
      </c>
      <c r="AK37" t="s">
        <v>1830</v>
      </c>
      <c r="AP37" t="s">
        <v>1831</v>
      </c>
      <c r="AS37" t="s">
        <v>374</v>
      </c>
      <c r="AT37" t="s">
        <v>374</v>
      </c>
      <c r="AU37" t="s">
        <v>8</v>
      </c>
      <c r="AV37" t="str">
        <f>"77291-1472"</f>
        <v>77291-1472</v>
      </c>
      <c r="AW37" t="s">
        <v>1832</v>
      </c>
      <c r="AX37" t="s">
        <v>1833</v>
      </c>
      <c r="AY37" t="s">
        <v>1834</v>
      </c>
      <c r="AZ37" t="s">
        <v>18</v>
      </c>
      <c r="BA37" t="s">
        <v>1238</v>
      </c>
      <c r="BB37" t="str">
        <f>"9142"</f>
        <v>9142</v>
      </c>
      <c r="BC37" t="str">
        <f>"9142"</f>
        <v>9142</v>
      </c>
      <c r="BD37" t="str">
        <f>"141533000000000000000"</f>
        <v>141533000000000000000</v>
      </c>
      <c r="BE37">
        <v>48177</v>
      </c>
      <c r="BG37">
        <v>100</v>
      </c>
      <c r="BH37">
        <v>2028</v>
      </c>
      <c r="BN37">
        <v>29.694956455793001</v>
      </c>
      <c r="BO37">
        <v>-97.290370092098499</v>
      </c>
      <c r="BX37" t="s">
        <v>22</v>
      </c>
      <c r="CA37" t="str">
        <f>""</f>
        <v/>
      </c>
      <c r="CD37">
        <v>0</v>
      </c>
      <c r="CO37">
        <v>0</v>
      </c>
      <c r="EA37" s="1">
        <v>1</v>
      </c>
      <c r="EC37" t="s">
        <v>23</v>
      </c>
      <c r="ED37" t="s">
        <v>24</v>
      </c>
      <c r="EE37" t="s">
        <v>25</v>
      </c>
      <c r="EG37">
        <v>35719</v>
      </c>
      <c r="EH37">
        <v>0.82</v>
      </c>
      <c r="EI37">
        <f t="shared" si="0"/>
        <v>18860</v>
      </c>
      <c r="EJ37">
        <f t="shared" si="1"/>
        <v>9430</v>
      </c>
      <c r="EW37" t="s">
        <v>26</v>
      </c>
      <c r="EX37" t="s">
        <v>202</v>
      </c>
      <c r="EY37" t="s">
        <v>203</v>
      </c>
      <c r="EZ37" s="2">
        <v>40515</v>
      </c>
      <c r="FA37" t="s">
        <v>204</v>
      </c>
      <c r="FB37" t="str">
        <f>"FALSE"</f>
        <v>FALSE</v>
      </c>
      <c r="FC37">
        <v>2019</v>
      </c>
      <c r="FD37">
        <v>2016</v>
      </c>
      <c r="FE37" t="s">
        <v>205</v>
      </c>
      <c r="FF37" t="s">
        <v>31</v>
      </c>
      <c r="FG37" t="s">
        <v>31</v>
      </c>
      <c r="FH37" t="s">
        <v>31</v>
      </c>
      <c r="FI37" t="s">
        <v>31</v>
      </c>
      <c r="FJ37" t="s">
        <v>31</v>
      </c>
      <c r="FK37" t="s">
        <v>31</v>
      </c>
      <c r="FL37" t="s">
        <v>31</v>
      </c>
      <c r="FM37" t="s">
        <v>31</v>
      </c>
      <c r="FN37" t="s">
        <v>31</v>
      </c>
      <c r="FO37" t="s">
        <v>31</v>
      </c>
      <c r="FP37" t="s">
        <v>31</v>
      </c>
      <c r="FQ37" t="s">
        <v>31</v>
      </c>
      <c r="FR37" t="s">
        <v>31</v>
      </c>
      <c r="FS37" s="3">
        <v>12140</v>
      </c>
      <c r="FT37" s="3">
        <v>12140</v>
      </c>
      <c r="FW37" s="3">
        <v>12140</v>
      </c>
      <c r="FX37" s="3">
        <v>12140</v>
      </c>
      <c r="GE37" s="3">
        <v>269.70999999999998</v>
      </c>
      <c r="GG37" s="3">
        <v>12140</v>
      </c>
      <c r="GI37" t="s">
        <v>206</v>
      </c>
      <c r="GL37" t="s">
        <v>207</v>
      </c>
      <c r="GM37" t="s">
        <v>207</v>
      </c>
      <c r="GN37" t="s">
        <v>207</v>
      </c>
      <c r="GS37" t="str">
        <f>""</f>
        <v/>
      </c>
      <c r="GT37" t="str">
        <f>""</f>
        <v/>
      </c>
      <c r="HF37" t="str">
        <f>""</f>
        <v/>
      </c>
      <c r="HK37" t="str">
        <f>""</f>
        <v/>
      </c>
      <c r="HN37" t="s">
        <v>38</v>
      </c>
      <c r="HP37" t="str">
        <f>""</f>
        <v/>
      </c>
      <c r="HZ37" t="str">
        <f>""</f>
        <v/>
      </c>
      <c r="IA37" t="str">
        <f>HYPERLINK("https://web.datatree.com/?/property?propertyId=128806224")</f>
        <v>https://web.datatree.com/?/property?propertyId=128806224</v>
      </c>
    </row>
    <row r="38" spans="1:235" x14ac:dyDescent="0.3">
      <c r="A38" t="s">
        <v>1143</v>
      </c>
      <c r="B38" t="s">
        <v>1144</v>
      </c>
      <c r="C38" t="s">
        <v>1145</v>
      </c>
      <c r="D38" t="s">
        <v>1146</v>
      </c>
      <c r="E38" t="s">
        <v>3</v>
      </c>
      <c r="F38">
        <v>2</v>
      </c>
      <c r="O38" t="s">
        <v>1147</v>
      </c>
      <c r="P38" t="s">
        <v>1143</v>
      </c>
      <c r="T38" t="s">
        <v>55</v>
      </c>
      <c r="V38" t="s">
        <v>109</v>
      </c>
      <c r="Z38" t="s">
        <v>1148</v>
      </c>
      <c r="AA38" t="s">
        <v>7</v>
      </c>
      <c r="AC38" t="s">
        <v>106</v>
      </c>
      <c r="AE38" t="s">
        <v>8</v>
      </c>
      <c r="AF38" t="str">
        <f>"78140"</f>
        <v>78140</v>
      </c>
      <c r="AG38" t="str">
        <f>"78140"</f>
        <v>78140</v>
      </c>
      <c r="AH38" t="s">
        <v>2</v>
      </c>
      <c r="AJ38" t="s">
        <v>1149</v>
      </c>
      <c r="AK38" t="s">
        <v>1150</v>
      </c>
      <c r="AL38" t="s">
        <v>109</v>
      </c>
      <c r="AM38">
        <v>1620</v>
      </c>
      <c r="AP38" t="s">
        <v>487</v>
      </c>
      <c r="AS38" t="s">
        <v>106</v>
      </c>
      <c r="AU38" t="s">
        <v>8</v>
      </c>
      <c r="AV38" t="str">
        <f>"78140-5227"</f>
        <v>78140-5227</v>
      </c>
      <c r="AW38" t="s">
        <v>185</v>
      </c>
      <c r="AX38" t="s">
        <v>1151</v>
      </c>
      <c r="AY38" t="s">
        <v>1152</v>
      </c>
      <c r="AZ38" t="s">
        <v>18</v>
      </c>
      <c r="BA38" t="s">
        <v>1153</v>
      </c>
      <c r="BB38" t="str">
        <f>"15653"</f>
        <v>15653</v>
      </c>
      <c r="BC38" t="str">
        <f>"15653"</f>
        <v>15653</v>
      </c>
      <c r="BD38" t="str">
        <f>"171507075071200000000"</f>
        <v>171507075071200000000</v>
      </c>
      <c r="BE38">
        <v>48177</v>
      </c>
      <c r="BG38">
        <v>500</v>
      </c>
      <c r="BH38">
        <v>1154</v>
      </c>
      <c r="BI38" t="s">
        <v>20</v>
      </c>
      <c r="BN38">
        <v>29.274316268888899</v>
      </c>
      <c r="BO38">
        <v>-97.758020537084306</v>
      </c>
      <c r="BP38" t="s">
        <v>1154</v>
      </c>
      <c r="BX38" t="s">
        <v>22</v>
      </c>
      <c r="CA38" t="str">
        <f>""</f>
        <v/>
      </c>
      <c r="CB38">
        <v>75</v>
      </c>
      <c r="CD38">
        <v>0</v>
      </c>
      <c r="CO38">
        <v>0</v>
      </c>
      <c r="EA38" s="1">
        <v>1</v>
      </c>
      <c r="EC38" t="s">
        <v>23</v>
      </c>
      <c r="ED38" t="s">
        <v>24</v>
      </c>
      <c r="EE38" t="s">
        <v>25</v>
      </c>
      <c r="EG38">
        <v>36399</v>
      </c>
      <c r="EH38">
        <v>0.84</v>
      </c>
      <c r="EI38">
        <f t="shared" si="0"/>
        <v>19320</v>
      </c>
      <c r="EJ38">
        <f t="shared" si="1"/>
        <v>9660</v>
      </c>
      <c r="EK38">
        <v>260</v>
      </c>
      <c r="EL38">
        <v>140</v>
      </c>
      <c r="EW38" t="s">
        <v>26</v>
      </c>
      <c r="EX38" t="s">
        <v>116</v>
      </c>
      <c r="EY38" t="s">
        <v>117</v>
      </c>
      <c r="EZ38" s="2">
        <v>40515</v>
      </c>
      <c r="FA38" t="s">
        <v>118</v>
      </c>
      <c r="FB38" t="str">
        <f>"FALSE"</f>
        <v>FALSE</v>
      </c>
      <c r="FC38">
        <v>2019</v>
      </c>
      <c r="FD38">
        <v>2016</v>
      </c>
      <c r="FE38" t="s">
        <v>119</v>
      </c>
      <c r="FF38" t="s">
        <v>31</v>
      </c>
      <c r="FG38" t="s">
        <v>31</v>
      </c>
      <c r="FH38" t="s">
        <v>31</v>
      </c>
      <c r="FI38" t="s">
        <v>31</v>
      </c>
      <c r="FJ38" t="s">
        <v>31</v>
      </c>
      <c r="FK38" t="s">
        <v>31</v>
      </c>
      <c r="FL38" t="s">
        <v>31</v>
      </c>
      <c r="FM38" t="s">
        <v>31</v>
      </c>
      <c r="FN38" t="s">
        <v>31</v>
      </c>
      <c r="FO38" t="s">
        <v>31</v>
      </c>
      <c r="FP38" t="s">
        <v>31</v>
      </c>
      <c r="FQ38" t="s">
        <v>31</v>
      </c>
      <c r="FR38" t="s">
        <v>31</v>
      </c>
      <c r="FS38" s="3">
        <v>25480</v>
      </c>
      <c r="FT38" s="3">
        <v>25480</v>
      </c>
      <c r="FW38" s="3">
        <v>25480</v>
      </c>
      <c r="FX38" s="3">
        <v>25480</v>
      </c>
      <c r="GE38" s="3">
        <v>220.17</v>
      </c>
      <c r="GG38" s="3">
        <v>25480</v>
      </c>
      <c r="GI38" t="s">
        <v>120</v>
      </c>
      <c r="GL38" t="s">
        <v>121</v>
      </c>
      <c r="GM38" t="s">
        <v>122</v>
      </c>
      <c r="GN38" t="s">
        <v>123</v>
      </c>
      <c r="GS38" t="str">
        <f>""</f>
        <v/>
      </c>
      <c r="GT38" t="str">
        <f>""</f>
        <v/>
      </c>
      <c r="GV38" s="2">
        <v>35278</v>
      </c>
      <c r="GW38" s="3">
        <v>0</v>
      </c>
      <c r="GY38" t="s">
        <v>36</v>
      </c>
      <c r="GZ38" t="s">
        <v>37</v>
      </c>
      <c r="HF38" t="str">
        <f>""</f>
        <v/>
      </c>
      <c r="HK38" t="str">
        <f>""</f>
        <v/>
      </c>
      <c r="HN38" t="s">
        <v>38</v>
      </c>
      <c r="HP38" t="str">
        <f>"0007710219"</f>
        <v>0007710219</v>
      </c>
      <c r="HZ38" t="str">
        <f>""</f>
        <v/>
      </c>
      <c r="IA38" t="str">
        <f>HYPERLINK("https://web.datatree.com/?/property?propertyId=128794223")</f>
        <v>https://web.datatree.com/?/property?propertyId=128794223</v>
      </c>
    </row>
    <row r="39" spans="1:235" x14ac:dyDescent="0.3">
      <c r="A39" t="s">
        <v>432</v>
      </c>
      <c r="D39" t="s">
        <v>432</v>
      </c>
      <c r="E39" t="s">
        <v>84</v>
      </c>
      <c r="F39">
        <v>2</v>
      </c>
      <c r="O39" t="s">
        <v>432</v>
      </c>
      <c r="P39" t="s">
        <v>432</v>
      </c>
      <c r="R39" t="s">
        <v>85</v>
      </c>
      <c r="T39" t="s">
        <v>55</v>
      </c>
      <c r="W39">
        <v>1900</v>
      </c>
      <c r="Z39" t="s">
        <v>423</v>
      </c>
      <c r="AC39" t="s">
        <v>2</v>
      </c>
      <c r="AE39" t="s">
        <v>8</v>
      </c>
      <c r="AF39" t="str">
        <f>"78629"</f>
        <v>78629</v>
      </c>
      <c r="AG39" t="str">
        <f>"78629-2052"</f>
        <v>78629-2052</v>
      </c>
      <c r="AH39" t="s">
        <v>2</v>
      </c>
      <c r="AI39" t="s">
        <v>80</v>
      </c>
      <c r="AJ39" t="s">
        <v>433</v>
      </c>
      <c r="AK39" t="s">
        <v>434</v>
      </c>
      <c r="AP39" t="s">
        <v>435</v>
      </c>
      <c r="AS39" t="s">
        <v>2</v>
      </c>
      <c r="AT39" t="s">
        <v>2</v>
      </c>
      <c r="AU39" t="s">
        <v>8</v>
      </c>
      <c r="AV39" t="str">
        <f>"78629-1142"</f>
        <v>78629-1142</v>
      </c>
      <c r="AW39" t="s">
        <v>436</v>
      </c>
      <c r="AX39" t="s">
        <v>437</v>
      </c>
      <c r="AY39" t="s">
        <v>438</v>
      </c>
      <c r="AZ39" t="s">
        <v>18</v>
      </c>
      <c r="BA39" t="s">
        <v>439</v>
      </c>
      <c r="BB39" t="str">
        <f>"12981"</f>
        <v>12981</v>
      </c>
      <c r="BC39" t="str">
        <f>"12981"</f>
        <v>12981</v>
      </c>
      <c r="BD39" t="str">
        <f>"163905500001600000000"</f>
        <v>163905500001600000000</v>
      </c>
      <c r="BE39">
        <v>48177</v>
      </c>
      <c r="BG39">
        <v>400</v>
      </c>
      <c r="BH39">
        <v>1002</v>
      </c>
      <c r="BN39">
        <v>29.5160621770364</v>
      </c>
      <c r="BO39">
        <v>-97.465742449127205</v>
      </c>
      <c r="BX39" t="s">
        <v>22</v>
      </c>
      <c r="CA39" t="str">
        <f>""</f>
        <v/>
      </c>
      <c r="CD39">
        <v>0</v>
      </c>
      <c r="CO39">
        <v>0</v>
      </c>
      <c r="EA39" s="1">
        <v>1</v>
      </c>
      <c r="EC39" t="s">
        <v>23</v>
      </c>
      <c r="ED39" t="s">
        <v>24</v>
      </c>
      <c r="EE39" t="s">
        <v>25</v>
      </c>
      <c r="EG39">
        <v>37113</v>
      </c>
      <c r="EH39">
        <v>0.85</v>
      </c>
      <c r="EI39">
        <f t="shared" si="0"/>
        <v>19550</v>
      </c>
      <c r="EJ39">
        <f t="shared" si="1"/>
        <v>9775</v>
      </c>
      <c r="EK39">
        <v>151.9</v>
      </c>
      <c r="EL39">
        <v>244.4</v>
      </c>
      <c r="ER39">
        <v>1</v>
      </c>
      <c r="EW39" t="s">
        <v>26</v>
      </c>
      <c r="EX39" t="s">
        <v>27</v>
      </c>
      <c r="EY39" t="s">
        <v>28</v>
      </c>
      <c r="EZ39" s="2">
        <v>40515</v>
      </c>
      <c r="FA39" t="s">
        <v>29</v>
      </c>
      <c r="FB39" t="str">
        <f>"FALSE"</f>
        <v>FALSE</v>
      </c>
      <c r="FC39">
        <v>2019</v>
      </c>
      <c r="FD39">
        <v>2016</v>
      </c>
      <c r="FE39" t="s">
        <v>30</v>
      </c>
      <c r="FF39" t="s">
        <v>31</v>
      </c>
      <c r="FG39" t="s">
        <v>31</v>
      </c>
      <c r="FH39" t="s">
        <v>31</v>
      </c>
      <c r="FI39" t="s">
        <v>31</v>
      </c>
      <c r="FJ39" t="s">
        <v>31</v>
      </c>
      <c r="FK39" t="s">
        <v>31</v>
      </c>
      <c r="FL39" t="s">
        <v>31</v>
      </c>
      <c r="FM39" t="s">
        <v>31</v>
      </c>
      <c r="FN39" t="s">
        <v>31</v>
      </c>
      <c r="FO39" t="s">
        <v>31</v>
      </c>
      <c r="FP39" t="s">
        <v>31</v>
      </c>
      <c r="FQ39" t="s">
        <v>31</v>
      </c>
      <c r="FR39" t="s">
        <v>31</v>
      </c>
      <c r="FS39" s="3">
        <v>51120</v>
      </c>
      <c r="FT39" s="3">
        <v>51120</v>
      </c>
      <c r="FW39" s="3">
        <v>51120</v>
      </c>
      <c r="FX39" s="3">
        <v>51120</v>
      </c>
      <c r="GE39" s="3">
        <v>1133.8399999999999</v>
      </c>
      <c r="GG39" s="3">
        <v>51120</v>
      </c>
      <c r="GI39" t="s">
        <v>32</v>
      </c>
      <c r="GL39" t="s">
        <v>33</v>
      </c>
      <c r="GM39" t="s">
        <v>34</v>
      </c>
      <c r="GN39" t="s">
        <v>35</v>
      </c>
      <c r="GS39" t="str">
        <f>""</f>
        <v/>
      </c>
      <c r="GT39" t="str">
        <f>""</f>
        <v/>
      </c>
      <c r="GV39" s="2">
        <v>39132</v>
      </c>
      <c r="GW39" s="3">
        <v>0</v>
      </c>
      <c r="GY39" t="s">
        <v>36</v>
      </c>
      <c r="GZ39" t="s">
        <v>37</v>
      </c>
      <c r="HF39" t="str">
        <f>""</f>
        <v/>
      </c>
      <c r="HK39" t="str">
        <f>""</f>
        <v/>
      </c>
      <c r="HN39" t="s">
        <v>38</v>
      </c>
      <c r="HP39" t="str">
        <f>"0009590219"</f>
        <v>0009590219</v>
      </c>
      <c r="HZ39" t="str">
        <f>""</f>
        <v/>
      </c>
      <c r="IA39" t="str">
        <f>HYPERLINK("https://web.datatree.com/?/property?propertyId=128791941")</f>
        <v>https://web.datatree.com/?/property?propertyId=128791941</v>
      </c>
    </row>
    <row r="40" spans="1:235" x14ac:dyDescent="0.3">
      <c r="A40" t="s">
        <v>338</v>
      </c>
      <c r="B40" t="s">
        <v>339</v>
      </c>
      <c r="C40" t="s">
        <v>340</v>
      </c>
      <c r="D40" t="s">
        <v>341</v>
      </c>
      <c r="E40" t="s">
        <v>3</v>
      </c>
      <c r="F40">
        <v>7</v>
      </c>
      <c r="O40" t="s">
        <v>342</v>
      </c>
      <c r="P40" t="s">
        <v>338</v>
      </c>
      <c r="T40" t="s">
        <v>5</v>
      </c>
      <c r="W40">
        <v>2000</v>
      </c>
      <c r="Z40" t="s">
        <v>280</v>
      </c>
      <c r="AA40" t="s">
        <v>7</v>
      </c>
      <c r="AC40" t="s">
        <v>2</v>
      </c>
      <c r="AE40" t="s">
        <v>8</v>
      </c>
      <c r="AF40" t="str">
        <f>"78629"</f>
        <v>78629</v>
      </c>
      <c r="AG40" t="str">
        <f>"78629-6038"</f>
        <v>78629-6038</v>
      </c>
      <c r="AH40" t="s">
        <v>2</v>
      </c>
      <c r="AI40" t="s">
        <v>330</v>
      </c>
      <c r="AJ40" t="s">
        <v>343</v>
      </c>
      <c r="AK40" t="s">
        <v>344</v>
      </c>
      <c r="AM40">
        <v>671</v>
      </c>
      <c r="AP40" t="s">
        <v>345</v>
      </c>
      <c r="AS40" t="s">
        <v>2</v>
      </c>
      <c r="AU40" t="s">
        <v>8</v>
      </c>
      <c r="AV40" t="str">
        <f>"78629-6989"</f>
        <v>78629-6989</v>
      </c>
      <c r="AW40" t="s">
        <v>346</v>
      </c>
      <c r="AX40" t="s">
        <v>347</v>
      </c>
      <c r="AY40" t="s">
        <v>348</v>
      </c>
      <c r="AZ40" t="s">
        <v>18</v>
      </c>
      <c r="BA40" t="s">
        <v>349</v>
      </c>
      <c r="BB40" t="str">
        <f>"12830"</f>
        <v>12830</v>
      </c>
      <c r="BC40" t="str">
        <f>"12830"</f>
        <v>12830</v>
      </c>
      <c r="BD40" t="str">
        <f>"163216501000500000000"</f>
        <v>163216501000500000000</v>
      </c>
      <c r="BE40">
        <v>48177</v>
      </c>
      <c r="BG40">
        <v>400</v>
      </c>
      <c r="BH40">
        <v>1002</v>
      </c>
      <c r="BN40">
        <v>29.517336443210201</v>
      </c>
      <c r="BO40">
        <v>-97.463556259619295</v>
      </c>
      <c r="BX40" t="s">
        <v>22</v>
      </c>
      <c r="CA40" t="str">
        <f>""</f>
        <v/>
      </c>
      <c r="CD40">
        <v>0</v>
      </c>
      <c r="CO40">
        <v>0</v>
      </c>
      <c r="EA40" s="1">
        <v>1</v>
      </c>
      <c r="EC40" t="s">
        <v>23</v>
      </c>
      <c r="ED40" t="s">
        <v>24</v>
      </c>
      <c r="EE40" t="s">
        <v>25</v>
      </c>
      <c r="EG40">
        <v>3790</v>
      </c>
      <c r="EH40">
        <v>0.87</v>
      </c>
      <c r="EI40">
        <f t="shared" si="0"/>
        <v>20010</v>
      </c>
      <c r="EJ40">
        <f t="shared" si="1"/>
        <v>10005</v>
      </c>
      <c r="EK40">
        <v>38</v>
      </c>
      <c r="EL40">
        <v>100</v>
      </c>
      <c r="EW40" t="s">
        <v>26</v>
      </c>
      <c r="EX40" t="s">
        <v>27</v>
      </c>
      <c r="EY40" t="s">
        <v>28</v>
      </c>
      <c r="EZ40" s="2">
        <v>40515</v>
      </c>
      <c r="FA40" t="s">
        <v>29</v>
      </c>
      <c r="FB40" t="str">
        <f>"FALSE"</f>
        <v>FALSE</v>
      </c>
      <c r="FC40">
        <v>2019</v>
      </c>
      <c r="FD40">
        <v>2016</v>
      </c>
      <c r="FE40" t="s">
        <v>30</v>
      </c>
      <c r="FF40" t="s">
        <v>31</v>
      </c>
      <c r="FG40" t="s">
        <v>31</v>
      </c>
      <c r="FH40" t="s">
        <v>31</v>
      </c>
      <c r="FI40" t="s">
        <v>31</v>
      </c>
      <c r="FJ40" t="s">
        <v>31</v>
      </c>
      <c r="FK40" t="s">
        <v>31</v>
      </c>
      <c r="FL40" t="s">
        <v>31</v>
      </c>
      <c r="FM40" t="s">
        <v>31</v>
      </c>
      <c r="FN40" t="s">
        <v>31</v>
      </c>
      <c r="FO40" t="s">
        <v>31</v>
      </c>
      <c r="FP40" t="s">
        <v>31</v>
      </c>
      <c r="FQ40" t="s">
        <v>31</v>
      </c>
      <c r="FR40" t="s">
        <v>31</v>
      </c>
      <c r="FS40" s="3">
        <v>10440</v>
      </c>
      <c r="FT40" s="3">
        <v>10440</v>
      </c>
      <c r="FW40" s="3">
        <v>10440</v>
      </c>
      <c r="FX40" s="3">
        <v>10440</v>
      </c>
      <c r="GE40" s="3">
        <v>231.56</v>
      </c>
      <c r="GG40" s="3">
        <v>10440</v>
      </c>
      <c r="GI40" t="s">
        <v>32</v>
      </c>
      <c r="GL40" t="s">
        <v>33</v>
      </c>
      <c r="GM40" t="s">
        <v>34</v>
      </c>
      <c r="GN40" t="s">
        <v>35</v>
      </c>
      <c r="GS40" t="str">
        <f>""</f>
        <v/>
      </c>
      <c r="GT40" t="str">
        <f>""</f>
        <v/>
      </c>
      <c r="HF40" t="str">
        <f>""</f>
        <v/>
      </c>
      <c r="HK40" t="str">
        <f>""</f>
        <v/>
      </c>
      <c r="HN40" t="s">
        <v>38</v>
      </c>
      <c r="HP40" t="str">
        <f>""</f>
        <v/>
      </c>
      <c r="HZ40" t="str">
        <f>""</f>
        <v/>
      </c>
      <c r="IA40" t="str">
        <f>HYPERLINK("https://web.datatree.com/?/property?propertyId=128791804")</f>
        <v>https://web.datatree.com/?/property?propertyId=128791804</v>
      </c>
    </row>
    <row r="41" spans="1:235" x14ac:dyDescent="0.3">
      <c r="A41" t="s">
        <v>39</v>
      </c>
      <c r="D41" t="s">
        <v>39</v>
      </c>
      <c r="E41" t="s">
        <v>3</v>
      </c>
      <c r="F41">
        <v>6</v>
      </c>
      <c r="O41" t="s">
        <v>40</v>
      </c>
      <c r="P41" t="s">
        <v>39</v>
      </c>
      <c r="R41" t="s">
        <v>41</v>
      </c>
      <c r="T41" t="s">
        <v>5</v>
      </c>
      <c r="W41">
        <v>1500</v>
      </c>
      <c r="Z41" t="s">
        <v>42</v>
      </c>
      <c r="AA41" t="s">
        <v>7</v>
      </c>
      <c r="AC41" t="s">
        <v>2</v>
      </c>
      <c r="AE41" t="s">
        <v>8</v>
      </c>
      <c r="AF41" t="str">
        <f>"78629"</f>
        <v>78629</v>
      </c>
      <c r="AG41" t="str">
        <f>"78629"</f>
        <v>78629</v>
      </c>
      <c r="AH41" t="s">
        <v>2</v>
      </c>
      <c r="AJ41" t="s">
        <v>43</v>
      </c>
      <c r="AK41" t="s">
        <v>44</v>
      </c>
      <c r="AM41">
        <v>1507</v>
      </c>
      <c r="AP41" t="s">
        <v>42</v>
      </c>
      <c r="AQ41" t="s">
        <v>7</v>
      </c>
      <c r="AS41" t="s">
        <v>2</v>
      </c>
      <c r="AT41" t="s">
        <v>2</v>
      </c>
      <c r="AU41" t="s">
        <v>8</v>
      </c>
      <c r="AV41" t="str">
        <f>"78629-3732"</f>
        <v>78629-3732</v>
      </c>
      <c r="AW41" t="s">
        <v>9</v>
      </c>
      <c r="AX41" t="s">
        <v>45</v>
      </c>
      <c r="AY41" t="s">
        <v>46</v>
      </c>
      <c r="AZ41" t="s">
        <v>18</v>
      </c>
      <c r="BA41" t="s">
        <v>19</v>
      </c>
      <c r="BB41" t="str">
        <f>"12689"</f>
        <v>12689</v>
      </c>
      <c r="BC41" t="str">
        <f>"12689"</f>
        <v>12689</v>
      </c>
      <c r="BD41" t="str">
        <f>"163026500000750000000"</f>
        <v>163026500000750000000</v>
      </c>
      <c r="BE41">
        <v>48177</v>
      </c>
      <c r="BG41">
        <v>400</v>
      </c>
      <c r="BH41">
        <v>2001</v>
      </c>
      <c r="BI41" t="s">
        <v>20</v>
      </c>
      <c r="BN41">
        <v>29.508251476779801</v>
      </c>
      <c r="BO41">
        <v>-97.441030943784696</v>
      </c>
      <c r="BX41" t="s">
        <v>22</v>
      </c>
      <c r="CA41" t="str">
        <f>""</f>
        <v/>
      </c>
      <c r="CD41">
        <v>0</v>
      </c>
      <c r="CO41">
        <v>0</v>
      </c>
      <c r="EA41" s="1">
        <v>1</v>
      </c>
      <c r="EC41" t="s">
        <v>23</v>
      </c>
      <c r="ED41" t="s">
        <v>24</v>
      </c>
      <c r="EE41" t="s">
        <v>25</v>
      </c>
      <c r="EG41">
        <v>38311</v>
      </c>
      <c r="EH41">
        <v>0.88</v>
      </c>
      <c r="EI41">
        <f t="shared" si="0"/>
        <v>20240</v>
      </c>
      <c r="EJ41">
        <f t="shared" si="1"/>
        <v>10120</v>
      </c>
      <c r="EK41">
        <v>160</v>
      </c>
      <c r="EL41">
        <v>176</v>
      </c>
      <c r="EM41">
        <v>10150</v>
      </c>
      <c r="EN41">
        <v>10150</v>
      </c>
      <c r="EW41" t="s">
        <v>26</v>
      </c>
      <c r="EX41" t="s">
        <v>27</v>
      </c>
      <c r="EY41" t="s">
        <v>28</v>
      </c>
      <c r="EZ41" s="2">
        <v>40515</v>
      </c>
      <c r="FA41" t="s">
        <v>29</v>
      </c>
      <c r="FB41" t="str">
        <f>"FALSE"</f>
        <v>FALSE</v>
      </c>
      <c r="FC41">
        <v>2019</v>
      </c>
      <c r="FD41">
        <v>2016</v>
      </c>
      <c r="FE41" t="s">
        <v>30</v>
      </c>
      <c r="FF41" t="s">
        <v>31</v>
      </c>
      <c r="FG41" t="s">
        <v>31</v>
      </c>
      <c r="FH41" t="s">
        <v>31</v>
      </c>
      <c r="FI41" t="s">
        <v>31</v>
      </c>
      <c r="FJ41" t="s">
        <v>31</v>
      </c>
      <c r="FK41" t="s">
        <v>31</v>
      </c>
      <c r="FL41" t="s">
        <v>31</v>
      </c>
      <c r="FM41" t="s">
        <v>31</v>
      </c>
      <c r="FN41" t="s">
        <v>31</v>
      </c>
      <c r="FO41" t="s">
        <v>31</v>
      </c>
      <c r="FP41" t="s">
        <v>31</v>
      </c>
      <c r="FQ41" t="s">
        <v>31</v>
      </c>
      <c r="FR41" t="s">
        <v>31</v>
      </c>
      <c r="FS41" s="3">
        <v>12620</v>
      </c>
      <c r="FT41" s="3">
        <v>12620</v>
      </c>
      <c r="FW41" s="3">
        <v>12620</v>
      </c>
      <c r="FX41" s="3">
        <v>12620</v>
      </c>
      <c r="GE41" s="3">
        <v>279.91000000000003</v>
      </c>
      <c r="GG41" s="3">
        <v>12620</v>
      </c>
      <c r="GI41" t="s">
        <v>32</v>
      </c>
      <c r="GL41" t="s">
        <v>33</v>
      </c>
      <c r="GM41" t="s">
        <v>34</v>
      </c>
      <c r="GN41" t="s">
        <v>35</v>
      </c>
      <c r="GS41" t="str">
        <f>""</f>
        <v/>
      </c>
      <c r="GT41" t="str">
        <f>""</f>
        <v/>
      </c>
      <c r="HF41" t="str">
        <f>""</f>
        <v/>
      </c>
      <c r="HK41" t="str">
        <f>""</f>
        <v/>
      </c>
      <c r="HN41" t="s">
        <v>38</v>
      </c>
      <c r="HP41" t="str">
        <f>""</f>
        <v/>
      </c>
      <c r="HZ41" t="str">
        <f>""</f>
        <v/>
      </c>
      <c r="IA41" t="str">
        <f>HYPERLINK("https://web.datatree.com/?/property?propertyId=128791660")</f>
        <v>https://web.datatree.com/?/property?propertyId=128791660</v>
      </c>
    </row>
    <row r="42" spans="1:235" x14ac:dyDescent="0.3">
      <c r="A42" t="s">
        <v>1173</v>
      </c>
      <c r="B42" t="s">
        <v>1174</v>
      </c>
      <c r="C42" t="s">
        <v>1175</v>
      </c>
      <c r="D42" t="s">
        <v>1176</v>
      </c>
      <c r="E42" t="s">
        <v>3</v>
      </c>
      <c r="F42">
        <v>10</v>
      </c>
      <c r="O42" t="s">
        <v>1177</v>
      </c>
      <c r="P42" t="s">
        <v>1173</v>
      </c>
      <c r="T42" t="s">
        <v>55</v>
      </c>
      <c r="Z42" t="s">
        <v>1178</v>
      </c>
      <c r="AC42" t="s">
        <v>2</v>
      </c>
      <c r="AE42" t="s">
        <v>8</v>
      </c>
      <c r="AF42" t="str">
        <f>"78629"</f>
        <v>78629</v>
      </c>
      <c r="AG42" t="str">
        <f>"78629"</f>
        <v>78629</v>
      </c>
      <c r="AH42" t="s">
        <v>2</v>
      </c>
      <c r="AJ42" t="s">
        <v>1179</v>
      </c>
      <c r="AK42" t="s">
        <v>1180</v>
      </c>
      <c r="AM42">
        <v>368</v>
      </c>
      <c r="AO42" t="s">
        <v>31</v>
      </c>
      <c r="AP42" t="s">
        <v>1181</v>
      </c>
      <c r="AS42" t="s">
        <v>2</v>
      </c>
      <c r="AU42" t="s">
        <v>8</v>
      </c>
      <c r="AV42" t="str">
        <f>"78629-6229"</f>
        <v>78629-6229</v>
      </c>
      <c r="AW42" t="s">
        <v>330</v>
      </c>
      <c r="AX42" t="s">
        <v>1182</v>
      </c>
      <c r="AY42" t="s">
        <v>1183</v>
      </c>
      <c r="AZ42" t="s">
        <v>18</v>
      </c>
      <c r="BA42" t="s">
        <v>1184</v>
      </c>
      <c r="BB42" t="str">
        <f>"13390"</f>
        <v>13390</v>
      </c>
      <c r="BC42" t="str">
        <f>"13390"</f>
        <v>13390</v>
      </c>
      <c r="BD42" t="str">
        <f>"164915511125800000000"</f>
        <v>164915511125800000000</v>
      </c>
      <c r="BE42">
        <v>48177</v>
      </c>
      <c r="BG42">
        <v>400</v>
      </c>
      <c r="BH42">
        <v>2001</v>
      </c>
      <c r="BI42" t="s">
        <v>20</v>
      </c>
      <c r="BN42">
        <v>29.502803573363799</v>
      </c>
      <c r="BO42">
        <v>-97.440189251917005</v>
      </c>
      <c r="BP42" t="s">
        <v>1185</v>
      </c>
      <c r="BX42" t="s">
        <v>22</v>
      </c>
      <c r="CA42" t="str">
        <f>"A|B"</f>
        <v>A|B</v>
      </c>
      <c r="CB42">
        <v>11</v>
      </c>
      <c r="CD42">
        <v>0</v>
      </c>
      <c r="CO42">
        <v>0</v>
      </c>
      <c r="EA42" s="1">
        <v>1</v>
      </c>
      <c r="EC42" t="s">
        <v>23</v>
      </c>
      <c r="ED42" t="s">
        <v>24</v>
      </c>
      <c r="EE42" t="s">
        <v>25</v>
      </c>
      <c r="EG42">
        <v>38908</v>
      </c>
      <c r="EH42">
        <v>0.89</v>
      </c>
      <c r="EI42">
        <f t="shared" si="0"/>
        <v>20470</v>
      </c>
      <c r="EJ42">
        <f t="shared" si="1"/>
        <v>10235</v>
      </c>
      <c r="EK42">
        <v>111.1</v>
      </c>
      <c r="EL42">
        <v>166.7</v>
      </c>
      <c r="EM42">
        <v>9268.52</v>
      </c>
      <c r="EN42">
        <v>9268.52</v>
      </c>
      <c r="EW42" t="s">
        <v>270</v>
      </c>
      <c r="EX42" t="s">
        <v>27</v>
      </c>
      <c r="EY42" t="s">
        <v>28</v>
      </c>
      <c r="EZ42" s="2">
        <v>40515</v>
      </c>
      <c r="FA42" t="s">
        <v>29</v>
      </c>
      <c r="FB42" t="str">
        <f>"TRUE"</f>
        <v>TRUE</v>
      </c>
      <c r="FC42">
        <v>2019</v>
      </c>
      <c r="FD42">
        <v>2016</v>
      </c>
      <c r="FE42" t="s">
        <v>30</v>
      </c>
      <c r="FF42" t="s">
        <v>31</v>
      </c>
      <c r="FG42" t="s">
        <v>31</v>
      </c>
      <c r="FH42" t="s">
        <v>31</v>
      </c>
      <c r="FI42" t="s">
        <v>31</v>
      </c>
      <c r="FJ42" t="s">
        <v>31</v>
      </c>
      <c r="FK42" t="s">
        <v>31</v>
      </c>
      <c r="FL42" t="s">
        <v>31</v>
      </c>
      <c r="FM42" t="s">
        <v>31</v>
      </c>
      <c r="FN42" t="s">
        <v>31</v>
      </c>
      <c r="FO42" t="s">
        <v>31</v>
      </c>
      <c r="FP42" t="s">
        <v>31</v>
      </c>
      <c r="FQ42" t="s">
        <v>31</v>
      </c>
      <c r="FR42" t="s">
        <v>31</v>
      </c>
      <c r="FS42" s="3">
        <v>24160</v>
      </c>
      <c r="FT42" s="3">
        <v>24160</v>
      </c>
      <c r="FW42" s="3">
        <v>24160</v>
      </c>
      <c r="FX42" s="3">
        <v>24160</v>
      </c>
      <c r="GE42" s="3">
        <v>535.87</v>
      </c>
      <c r="GG42" s="3">
        <v>24160</v>
      </c>
      <c r="GI42" t="s">
        <v>32</v>
      </c>
      <c r="GL42" t="s">
        <v>273</v>
      </c>
      <c r="GM42" t="s">
        <v>34</v>
      </c>
      <c r="GN42" t="s">
        <v>35</v>
      </c>
      <c r="GS42" t="str">
        <f>""</f>
        <v/>
      </c>
      <c r="GT42" t="str">
        <f>""</f>
        <v/>
      </c>
      <c r="HF42" t="str">
        <f>""</f>
        <v/>
      </c>
      <c r="HK42" t="str">
        <f>""</f>
        <v/>
      </c>
      <c r="HN42" t="s">
        <v>38</v>
      </c>
      <c r="HP42" t="str">
        <f>""</f>
        <v/>
      </c>
      <c r="HZ42" t="str">
        <f>""</f>
        <v/>
      </c>
      <c r="IA42" t="str">
        <f>HYPERLINK("https://web.datatree.com/?/property?propertyId=128792361")</f>
        <v>https://web.datatree.com/?/property?propertyId=128792361</v>
      </c>
    </row>
    <row r="43" spans="1:235" x14ac:dyDescent="0.3">
      <c r="A43" t="s">
        <v>570</v>
      </c>
      <c r="B43" t="s">
        <v>571</v>
      </c>
      <c r="C43" t="s">
        <v>572</v>
      </c>
      <c r="D43" t="s">
        <v>573</v>
      </c>
      <c r="E43" t="s">
        <v>3</v>
      </c>
      <c r="F43">
        <v>1</v>
      </c>
      <c r="O43" t="s">
        <v>574</v>
      </c>
      <c r="P43" t="s">
        <v>570</v>
      </c>
      <c r="T43" t="s">
        <v>55</v>
      </c>
      <c r="Z43" t="s">
        <v>575</v>
      </c>
      <c r="AA43" t="s">
        <v>77</v>
      </c>
      <c r="AC43" t="s">
        <v>2</v>
      </c>
      <c r="AE43" t="s">
        <v>8</v>
      </c>
      <c r="AF43" t="str">
        <f>"78629"</f>
        <v>78629</v>
      </c>
      <c r="AG43" t="str">
        <f>"78629"</f>
        <v>78629</v>
      </c>
      <c r="AH43" t="s">
        <v>2</v>
      </c>
      <c r="AJ43" t="s">
        <v>576</v>
      </c>
      <c r="AK43" t="s">
        <v>577</v>
      </c>
      <c r="AM43">
        <v>8302</v>
      </c>
      <c r="AP43" t="s">
        <v>578</v>
      </c>
      <c r="AQ43" t="s">
        <v>77</v>
      </c>
      <c r="AS43" t="s">
        <v>374</v>
      </c>
      <c r="AU43" t="s">
        <v>8</v>
      </c>
      <c r="AV43" t="str">
        <f>"77040-1414"</f>
        <v>77040-1414</v>
      </c>
      <c r="AW43" t="s">
        <v>579</v>
      </c>
      <c r="AX43" t="s">
        <v>580</v>
      </c>
      <c r="AY43" t="s">
        <v>581</v>
      </c>
      <c r="AZ43" t="s">
        <v>18</v>
      </c>
      <c r="BA43" t="s">
        <v>582</v>
      </c>
      <c r="BB43" t="str">
        <f>"23916"</f>
        <v>23916</v>
      </c>
      <c r="BC43" t="str">
        <f>"23916"</f>
        <v>23916</v>
      </c>
      <c r="BD43" t="str">
        <f>"905900003100000000000"</f>
        <v>905900003100000000000</v>
      </c>
      <c r="BE43">
        <v>48177</v>
      </c>
      <c r="BG43">
        <v>400</v>
      </c>
      <c r="BH43">
        <v>2001</v>
      </c>
      <c r="BN43">
        <v>29.500454974392099</v>
      </c>
      <c r="BO43">
        <v>-97.532385748687005</v>
      </c>
      <c r="BP43" t="s">
        <v>583</v>
      </c>
      <c r="BX43" t="s">
        <v>22</v>
      </c>
      <c r="CA43" t="str">
        <f>"31"</f>
        <v>31</v>
      </c>
      <c r="CD43">
        <v>0</v>
      </c>
      <c r="CO43">
        <v>0</v>
      </c>
      <c r="EA43" s="1">
        <v>1</v>
      </c>
      <c r="EC43" t="s">
        <v>23</v>
      </c>
      <c r="ED43" t="s">
        <v>24</v>
      </c>
      <c r="EE43" t="s">
        <v>25</v>
      </c>
      <c r="EG43">
        <v>39204</v>
      </c>
      <c r="EH43">
        <v>0.9</v>
      </c>
      <c r="EI43">
        <f t="shared" si="0"/>
        <v>20700</v>
      </c>
      <c r="EJ43">
        <f t="shared" si="1"/>
        <v>10350</v>
      </c>
      <c r="EW43" t="s">
        <v>26</v>
      </c>
      <c r="EX43" t="s">
        <v>584</v>
      </c>
      <c r="EY43" t="s">
        <v>585</v>
      </c>
      <c r="EZ43" s="2">
        <v>40515</v>
      </c>
      <c r="FA43" t="s">
        <v>143</v>
      </c>
      <c r="FB43" t="str">
        <f>"FALSE"</f>
        <v>FALSE</v>
      </c>
      <c r="FC43">
        <v>2019</v>
      </c>
      <c r="FD43">
        <v>2016</v>
      </c>
      <c r="FE43" t="s">
        <v>30</v>
      </c>
      <c r="FF43" t="s">
        <v>31</v>
      </c>
      <c r="FG43" t="s">
        <v>31</v>
      </c>
      <c r="FH43" t="s">
        <v>31</v>
      </c>
      <c r="FI43" t="s">
        <v>31</v>
      </c>
      <c r="FJ43" t="s">
        <v>31</v>
      </c>
      <c r="FK43" t="s">
        <v>31</v>
      </c>
      <c r="FL43" t="s">
        <v>31</v>
      </c>
      <c r="FM43" t="s">
        <v>31</v>
      </c>
      <c r="FN43" t="s">
        <v>31</v>
      </c>
      <c r="FO43" t="s">
        <v>31</v>
      </c>
      <c r="FP43" t="s">
        <v>31</v>
      </c>
      <c r="FQ43" t="s">
        <v>31</v>
      </c>
      <c r="FR43" t="s">
        <v>31</v>
      </c>
      <c r="FS43" s="3">
        <v>18000</v>
      </c>
      <c r="FT43" s="3">
        <v>18000</v>
      </c>
      <c r="FW43" s="3">
        <v>18000</v>
      </c>
      <c r="FX43" s="3">
        <v>18000</v>
      </c>
      <c r="GE43" s="3">
        <v>367.4</v>
      </c>
      <c r="GG43" s="3">
        <v>18000</v>
      </c>
      <c r="GI43" t="s">
        <v>32</v>
      </c>
      <c r="GL43" t="s">
        <v>33</v>
      </c>
      <c r="GM43" t="s">
        <v>34</v>
      </c>
      <c r="GN43" t="s">
        <v>35</v>
      </c>
      <c r="GO43" s="2">
        <v>43158</v>
      </c>
      <c r="GP43" s="2">
        <v>43159</v>
      </c>
      <c r="GQ43" s="3">
        <v>0</v>
      </c>
      <c r="GR43" t="s">
        <v>586</v>
      </c>
      <c r="GS43" t="str">
        <f>""</f>
        <v/>
      </c>
      <c r="GT43" t="str">
        <f>"293256"</f>
        <v>293256</v>
      </c>
      <c r="GV43" s="2">
        <v>38640</v>
      </c>
      <c r="GW43" s="3">
        <v>0</v>
      </c>
      <c r="GY43" t="s">
        <v>36</v>
      </c>
      <c r="GZ43" t="s">
        <v>37</v>
      </c>
      <c r="HF43" t="str">
        <f>""</f>
        <v/>
      </c>
      <c r="HK43" t="str">
        <f>""</f>
        <v/>
      </c>
      <c r="HN43" t="s">
        <v>38</v>
      </c>
      <c r="HP43" t="str">
        <f>"0009240322"</f>
        <v>0009240322</v>
      </c>
      <c r="HZ43" t="str">
        <f>""</f>
        <v/>
      </c>
      <c r="IA43" t="str">
        <f>HYPERLINK("https://web.datatree.com/?/property?propertyId=128798442")</f>
        <v>https://web.datatree.com/?/property?propertyId=128798442</v>
      </c>
    </row>
    <row r="44" spans="1:235" x14ac:dyDescent="0.3">
      <c r="A44" t="s">
        <v>587</v>
      </c>
      <c r="B44" t="s">
        <v>588</v>
      </c>
      <c r="C44" t="s">
        <v>589</v>
      </c>
      <c r="D44" t="s">
        <v>540</v>
      </c>
      <c r="E44" t="s">
        <v>3</v>
      </c>
      <c r="F44">
        <v>2</v>
      </c>
      <c r="G44" t="s">
        <v>590</v>
      </c>
      <c r="H44" t="s">
        <v>591</v>
      </c>
      <c r="I44" t="s">
        <v>592</v>
      </c>
      <c r="J44" t="s">
        <v>540</v>
      </c>
      <c r="K44" t="s">
        <v>3</v>
      </c>
      <c r="L44">
        <v>3</v>
      </c>
      <c r="O44" t="s">
        <v>593</v>
      </c>
      <c r="P44" t="s">
        <v>594</v>
      </c>
      <c r="T44" t="s">
        <v>55</v>
      </c>
      <c r="Z44" t="s">
        <v>575</v>
      </c>
      <c r="AA44" t="s">
        <v>77</v>
      </c>
      <c r="AC44" t="s">
        <v>2</v>
      </c>
      <c r="AE44" t="s">
        <v>8</v>
      </c>
      <c r="AF44" t="str">
        <f>"78629"</f>
        <v>78629</v>
      </c>
      <c r="AG44" t="str">
        <f>"78629"</f>
        <v>78629</v>
      </c>
      <c r="AH44" t="s">
        <v>2</v>
      </c>
      <c r="AJ44" t="s">
        <v>576</v>
      </c>
      <c r="AK44" t="s">
        <v>577</v>
      </c>
      <c r="AM44">
        <v>606</v>
      </c>
      <c r="AP44" t="s">
        <v>595</v>
      </c>
      <c r="AQ44" t="s">
        <v>77</v>
      </c>
      <c r="AS44" t="s">
        <v>596</v>
      </c>
      <c r="AT44" t="s">
        <v>596</v>
      </c>
      <c r="AU44" t="s">
        <v>8</v>
      </c>
      <c r="AV44" t="str">
        <f>"77901-4527"</f>
        <v>77901-4527</v>
      </c>
      <c r="AW44" t="s">
        <v>597</v>
      </c>
      <c r="AX44" t="s">
        <v>598</v>
      </c>
      <c r="AY44" t="s">
        <v>599</v>
      </c>
      <c r="AZ44" t="s">
        <v>18</v>
      </c>
      <c r="BA44" t="s">
        <v>600</v>
      </c>
      <c r="BB44" t="str">
        <f>"23917"</f>
        <v>23917</v>
      </c>
      <c r="BC44" t="str">
        <f>"23917"</f>
        <v>23917</v>
      </c>
      <c r="BD44" t="str">
        <f>"905900003200000000000"</f>
        <v>905900003200000000000</v>
      </c>
      <c r="BE44">
        <v>48177</v>
      </c>
      <c r="BG44">
        <v>400</v>
      </c>
      <c r="BH44">
        <v>2001</v>
      </c>
      <c r="BN44">
        <v>29.500833039705601</v>
      </c>
      <c r="BO44">
        <v>-97.5324409151509</v>
      </c>
      <c r="BP44" t="s">
        <v>583</v>
      </c>
      <c r="BX44" t="s">
        <v>22</v>
      </c>
      <c r="CA44" t="str">
        <f>"32"</f>
        <v>32</v>
      </c>
      <c r="CD44">
        <v>0</v>
      </c>
      <c r="CO44">
        <v>0</v>
      </c>
      <c r="EA44" s="1">
        <v>1</v>
      </c>
      <c r="EC44" t="s">
        <v>23</v>
      </c>
      <c r="ED44" t="s">
        <v>24</v>
      </c>
      <c r="EE44" t="s">
        <v>25</v>
      </c>
      <c r="EG44">
        <v>39204</v>
      </c>
      <c r="EH44">
        <v>0.9</v>
      </c>
      <c r="EI44">
        <f t="shared" si="0"/>
        <v>20700</v>
      </c>
      <c r="EJ44">
        <f t="shared" si="1"/>
        <v>10350</v>
      </c>
      <c r="EW44" t="s">
        <v>26</v>
      </c>
      <c r="EX44" t="s">
        <v>584</v>
      </c>
      <c r="EY44" t="s">
        <v>585</v>
      </c>
      <c r="EZ44" s="2">
        <v>40515</v>
      </c>
      <c r="FA44" t="s">
        <v>143</v>
      </c>
      <c r="FB44" t="str">
        <f>"FALSE"</f>
        <v>FALSE</v>
      </c>
      <c r="FC44">
        <v>2019</v>
      </c>
      <c r="FD44">
        <v>2016</v>
      </c>
      <c r="FE44" t="s">
        <v>30</v>
      </c>
      <c r="FF44" t="s">
        <v>31</v>
      </c>
      <c r="FG44" t="s">
        <v>31</v>
      </c>
      <c r="FH44" t="s">
        <v>31</v>
      </c>
      <c r="FI44" t="s">
        <v>31</v>
      </c>
      <c r="FJ44" t="s">
        <v>31</v>
      </c>
      <c r="FK44" t="s">
        <v>31</v>
      </c>
      <c r="FL44" t="s">
        <v>31</v>
      </c>
      <c r="FM44" t="s">
        <v>31</v>
      </c>
      <c r="FN44" t="s">
        <v>31</v>
      </c>
      <c r="FO44" t="s">
        <v>31</v>
      </c>
      <c r="FP44" t="s">
        <v>31</v>
      </c>
      <c r="FQ44" t="s">
        <v>31</v>
      </c>
      <c r="FR44" t="s">
        <v>31</v>
      </c>
      <c r="FS44" s="3">
        <v>18000</v>
      </c>
      <c r="FT44" s="3">
        <v>18000</v>
      </c>
      <c r="FW44" s="3">
        <v>18000</v>
      </c>
      <c r="FX44" s="3">
        <v>18000</v>
      </c>
      <c r="GE44" s="3">
        <v>367.4</v>
      </c>
      <c r="GG44" s="3">
        <v>18000</v>
      </c>
      <c r="GI44" t="s">
        <v>32</v>
      </c>
      <c r="GL44" t="s">
        <v>33</v>
      </c>
      <c r="GM44" t="s">
        <v>34</v>
      </c>
      <c r="GN44" t="s">
        <v>35</v>
      </c>
      <c r="GO44" s="2">
        <v>42923</v>
      </c>
      <c r="GP44" s="2">
        <v>42926</v>
      </c>
      <c r="GQ44" s="3">
        <v>0</v>
      </c>
      <c r="GR44" t="s">
        <v>586</v>
      </c>
      <c r="GS44" t="str">
        <f>""</f>
        <v/>
      </c>
      <c r="GT44" t="str">
        <f>"290704"</f>
        <v>290704</v>
      </c>
      <c r="GV44" s="2">
        <v>38640</v>
      </c>
      <c r="GW44" s="3">
        <v>0</v>
      </c>
      <c r="GY44" t="s">
        <v>36</v>
      </c>
      <c r="GZ44" t="s">
        <v>37</v>
      </c>
      <c r="HF44" t="str">
        <f>""</f>
        <v/>
      </c>
      <c r="HK44" t="str">
        <f>""</f>
        <v/>
      </c>
      <c r="HN44" t="s">
        <v>38</v>
      </c>
      <c r="HP44" t="str">
        <f>"0009240322"</f>
        <v>0009240322</v>
      </c>
      <c r="HZ44" t="str">
        <f>""</f>
        <v/>
      </c>
      <c r="IA44" t="str">
        <f>HYPERLINK("https://web.datatree.com/?/property?propertyId=128798443")</f>
        <v>https://web.datatree.com/?/property?propertyId=128798443</v>
      </c>
    </row>
    <row r="45" spans="1:235" x14ac:dyDescent="0.3">
      <c r="A45" t="s">
        <v>674</v>
      </c>
      <c r="B45" t="s">
        <v>675</v>
      </c>
      <c r="C45" t="s">
        <v>675</v>
      </c>
      <c r="D45" t="s">
        <v>676</v>
      </c>
      <c r="E45" t="s">
        <v>3</v>
      </c>
      <c r="F45">
        <v>6</v>
      </c>
      <c r="O45" t="s">
        <v>677</v>
      </c>
      <c r="P45" t="s">
        <v>674</v>
      </c>
      <c r="T45" t="s">
        <v>55</v>
      </c>
      <c r="Z45" t="s">
        <v>575</v>
      </c>
      <c r="AA45" t="s">
        <v>77</v>
      </c>
      <c r="AC45" t="s">
        <v>2</v>
      </c>
      <c r="AE45" t="s">
        <v>8</v>
      </c>
      <c r="AF45" t="str">
        <f>"78629"</f>
        <v>78629</v>
      </c>
      <c r="AG45" t="str">
        <f>"78629"</f>
        <v>78629</v>
      </c>
      <c r="AH45" t="s">
        <v>2</v>
      </c>
      <c r="AJ45" t="s">
        <v>576</v>
      </c>
      <c r="AK45" t="s">
        <v>577</v>
      </c>
      <c r="AM45">
        <v>626</v>
      </c>
      <c r="AP45" t="s">
        <v>678</v>
      </c>
      <c r="AQ45" t="s">
        <v>7</v>
      </c>
      <c r="AS45" t="s">
        <v>231</v>
      </c>
      <c r="AT45" t="s">
        <v>231</v>
      </c>
      <c r="AU45" t="s">
        <v>8</v>
      </c>
      <c r="AV45" t="str">
        <f>"78155-7900"</f>
        <v>78155-7900</v>
      </c>
      <c r="AW45" t="s">
        <v>679</v>
      </c>
      <c r="AX45" t="s">
        <v>680</v>
      </c>
      <c r="AY45" t="s">
        <v>681</v>
      </c>
      <c r="AZ45" t="s">
        <v>18</v>
      </c>
      <c r="BA45" t="s">
        <v>682</v>
      </c>
      <c r="BB45" t="str">
        <f>"23913"</f>
        <v>23913</v>
      </c>
      <c r="BC45" t="str">
        <f>"23913"</f>
        <v>23913</v>
      </c>
      <c r="BD45" t="str">
        <f>"905900002800000000000"</f>
        <v>905900002800000000000</v>
      </c>
      <c r="BE45">
        <v>48177</v>
      </c>
      <c r="BG45">
        <v>400</v>
      </c>
      <c r="BH45">
        <v>2001</v>
      </c>
      <c r="BN45">
        <v>29.4993430181405</v>
      </c>
      <c r="BO45">
        <v>-97.532221273935903</v>
      </c>
      <c r="BP45" t="s">
        <v>583</v>
      </c>
      <c r="BX45" t="s">
        <v>22</v>
      </c>
      <c r="CA45" t="str">
        <f>"28"</f>
        <v>28</v>
      </c>
      <c r="CD45">
        <v>0</v>
      </c>
      <c r="CO45">
        <v>0</v>
      </c>
      <c r="EA45" s="1">
        <v>1</v>
      </c>
      <c r="EC45" t="s">
        <v>23</v>
      </c>
      <c r="ED45" t="s">
        <v>24</v>
      </c>
      <c r="EE45" t="s">
        <v>25</v>
      </c>
      <c r="EG45">
        <v>39204</v>
      </c>
      <c r="EH45">
        <v>0.9</v>
      </c>
      <c r="EI45">
        <f t="shared" si="0"/>
        <v>20700</v>
      </c>
      <c r="EJ45">
        <f t="shared" si="1"/>
        <v>10350</v>
      </c>
      <c r="EW45" t="s">
        <v>26</v>
      </c>
      <c r="EX45" t="s">
        <v>683</v>
      </c>
      <c r="EY45" t="s">
        <v>684</v>
      </c>
      <c r="EZ45" s="2">
        <v>40515</v>
      </c>
      <c r="FA45" t="s">
        <v>143</v>
      </c>
      <c r="FB45" t="str">
        <f>"FALSE"</f>
        <v>FALSE</v>
      </c>
      <c r="FC45">
        <v>2019</v>
      </c>
      <c r="FD45">
        <v>2016</v>
      </c>
      <c r="FE45" t="s">
        <v>30</v>
      </c>
      <c r="FF45" t="s">
        <v>31</v>
      </c>
      <c r="FG45" t="s">
        <v>31</v>
      </c>
      <c r="FH45" t="s">
        <v>31</v>
      </c>
      <c r="FI45" t="s">
        <v>31</v>
      </c>
      <c r="FJ45" t="s">
        <v>31</v>
      </c>
      <c r="FK45" t="s">
        <v>31</v>
      </c>
      <c r="FL45" t="s">
        <v>31</v>
      </c>
      <c r="FM45" t="s">
        <v>31</v>
      </c>
      <c r="FN45" t="s">
        <v>31</v>
      </c>
      <c r="FO45" t="s">
        <v>31</v>
      </c>
      <c r="FP45" t="s">
        <v>31</v>
      </c>
      <c r="FQ45" t="s">
        <v>31</v>
      </c>
      <c r="FR45" t="s">
        <v>31</v>
      </c>
      <c r="FS45" s="3">
        <v>18000</v>
      </c>
      <c r="FT45" s="3">
        <v>18000</v>
      </c>
      <c r="FW45" s="3">
        <v>18000</v>
      </c>
      <c r="FX45" s="3">
        <v>18000</v>
      </c>
      <c r="GE45" s="3">
        <v>367.4</v>
      </c>
      <c r="GG45" s="3">
        <v>18000</v>
      </c>
      <c r="GI45" t="s">
        <v>32</v>
      </c>
      <c r="GL45" t="s">
        <v>33</v>
      </c>
      <c r="GM45" t="s">
        <v>34</v>
      </c>
      <c r="GN45" t="s">
        <v>35</v>
      </c>
      <c r="GS45" t="str">
        <f>""</f>
        <v/>
      </c>
      <c r="GT45" t="str">
        <f>""</f>
        <v/>
      </c>
      <c r="GV45" s="2">
        <v>38640</v>
      </c>
      <c r="GW45" s="3">
        <v>0</v>
      </c>
      <c r="GY45" t="s">
        <v>36</v>
      </c>
      <c r="GZ45" t="s">
        <v>37</v>
      </c>
      <c r="HF45" t="str">
        <f>""</f>
        <v/>
      </c>
      <c r="HK45" t="str">
        <f>""</f>
        <v/>
      </c>
      <c r="HN45" t="s">
        <v>38</v>
      </c>
      <c r="HP45" t="str">
        <f>"0009240322"</f>
        <v>0009240322</v>
      </c>
      <c r="HZ45" t="str">
        <f>""</f>
        <v/>
      </c>
      <c r="IA45" t="str">
        <f>HYPERLINK("https://web.datatree.com/?/property?propertyId=128798439")</f>
        <v>https://web.datatree.com/?/property?propertyId=128798439</v>
      </c>
    </row>
    <row r="46" spans="1:235" x14ac:dyDescent="0.3">
      <c r="A46" t="s">
        <v>795</v>
      </c>
      <c r="B46" t="s">
        <v>796</v>
      </c>
      <c r="C46" t="s">
        <v>797</v>
      </c>
      <c r="D46" t="s">
        <v>798</v>
      </c>
      <c r="E46" t="s">
        <v>3</v>
      </c>
      <c r="F46">
        <v>3</v>
      </c>
      <c r="G46" t="s">
        <v>799</v>
      </c>
      <c r="H46" t="s">
        <v>800</v>
      </c>
      <c r="I46" t="s">
        <v>801</v>
      </c>
      <c r="J46" t="s">
        <v>798</v>
      </c>
      <c r="K46" t="s">
        <v>3</v>
      </c>
      <c r="L46">
        <v>3</v>
      </c>
      <c r="O46" t="s">
        <v>802</v>
      </c>
      <c r="P46" t="s">
        <v>803</v>
      </c>
      <c r="T46" t="s">
        <v>55</v>
      </c>
      <c r="Z46" t="s">
        <v>575</v>
      </c>
      <c r="AA46" t="s">
        <v>77</v>
      </c>
      <c r="AC46" t="s">
        <v>2</v>
      </c>
      <c r="AE46" t="s">
        <v>8</v>
      </c>
      <c r="AF46" t="str">
        <f>"78629"</f>
        <v>78629</v>
      </c>
      <c r="AG46" t="str">
        <f>"78629"</f>
        <v>78629</v>
      </c>
      <c r="AH46" t="s">
        <v>2</v>
      </c>
      <c r="AJ46" t="s">
        <v>576</v>
      </c>
      <c r="AK46" t="s">
        <v>577</v>
      </c>
      <c r="AP46" t="s">
        <v>804</v>
      </c>
      <c r="AS46" t="s">
        <v>805</v>
      </c>
      <c r="AT46" t="s">
        <v>805</v>
      </c>
      <c r="AU46" t="s">
        <v>8</v>
      </c>
      <c r="AV46" t="str">
        <f>"78113"</f>
        <v>78113</v>
      </c>
      <c r="AW46" t="s">
        <v>549</v>
      </c>
      <c r="AX46" t="s">
        <v>806</v>
      </c>
      <c r="AY46" t="s">
        <v>807</v>
      </c>
      <c r="AZ46" t="s">
        <v>18</v>
      </c>
      <c r="BA46" t="s">
        <v>808</v>
      </c>
      <c r="BB46" t="str">
        <f>"23898"</f>
        <v>23898</v>
      </c>
      <c r="BC46" t="str">
        <f>"23898"</f>
        <v>23898</v>
      </c>
      <c r="BD46" t="str">
        <f>"905900001300000000000"</f>
        <v>905900001300000000000</v>
      </c>
      <c r="BE46">
        <v>48177</v>
      </c>
      <c r="BG46">
        <v>400</v>
      </c>
      <c r="BH46">
        <v>2001</v>
      </c>
      <c r="BN46">
        <v>29.499624304181399</v>
      </c>
      <c r="BO46">
        <v>-97.531226817419295</v>
      </c>
      <c r="BP46" t="s">
        <v>583</v>
      </c>
      <c r="BX46" t="s">
        <v>22</v>
      </c>
      <c r="CA46" t="str">
        <f>"13"</f>
        <v>13</v>
      </c>
      <c r="CD46">
        <v>0</v>
      </c>
      <c r="CO46">
        <v>0</v>
      </c>
      <c r="EA46" s="1">
        <v>1</v>
      </c>
      <c r="EC46" t="s">
        <v>23</v>
      </c>
      <c r="ED46" t="s">
        <v>24</v>
      </c>
      <c r="EE46" t="s">
        <v>25</v>
      </c>
      <c r="EG46">
        <v>39204</v>
      </c>
      <c r="EH46">
        <v>0.9</v>
      </c>
      <c r="EI46">
        <f t="shared" si="0"/>
        <v>20700</v>
      </c>
      <c r="EJ46">
        <f t="shared" si="1"/>
        <v>10350</v>
      </c>
      <c r="EW46" t="s">
        <v>26</v>
      </c>
      <c r="EX46" t="s">
        <v>683</v>
      </c>
      <c r="EY46" t="s">
        <v>684</v>
      </c>
      <c r="EZ46" s="2">
        <v>40515</v>
      </c>
      <c r="FA46" t="s">
        <v>143</v>
      </c>
      <c r="FB46" t="str">
        <f>"FALSE"</f>
        <v>FALSE</v>
      </c>
      <c r="FC46">
        <v>2019</v>
      </c>
      <c r="FD46">
        <v>2016</v>
      </c>
      <c r="FE46" t="s">
        <v>30</v>
      </c>
      <c r="FF46" t="s">
        <v>31</v>
      </c>
      <c r="FG46" t="s">
        <v>31</v>
      </c>
      <c r="FH46" t="s">
        <v>31</v>
      </c>
      <c r="FI46" t="s">
        <v>31</v>
      </c>
      <c r="FJ46" t="s">
        <v>31</v>
      </c>
      <c r="FK46" t="s">
        <v>31</v>
      </c>
      <c r="FL46" t="s">
        <v>31</v>
      </c>
      <c r="FM46" t="s">
        <v>31</v>
      </c>
      <c r="FN46" t="s">
        <v>31</v>
      </c>
      <c r="FO46" t="s">
        <v>31</v>
      </c>
      <c r="FP46" t="s">
        <v>31</v>
      </c>
      <c r="FQ46" t="s">
        <v>31</v>
      </c>
      <c r="FR46" t="s">
        <v>31</v>
      </c>
      <c r="FS46" s="3">
        <v>18000</v>
      </c>
      <c r="FT46" s="3">
        <v>18000</v>
      </c>
      <c r="FW46" s="3">
        <v>18000</v>
      </c>
      <c r="FX46" s="3">
        <v>18000</v>
      </c>
      <c r="GE46" s="3">
        <v>367.4</v>
      </c>
      <c r="GG46" s="3">
        <v>18000</v>
      </c>
      <c r="GI46" t="s">
        <v>32</v>
      </c>
      <c r="GL46" t="s">
        <v>33</v>
      </c>
      <c r="GM46" t="s">
        <v>34</v>
      </c>
      <c r="GN46" t="s">
        <v>35</v>
      </c>
      <c r="GS46" t="str">
        <f>""</f>
        <v/>
      </c>
      <c r="GT46" t="str">
        <f>""</f>
        <v/>
      </c>
      <c r="GV46" s="2">
        <v>38640</v>
      </c>
      <c r="GW46" s="3">
        <v>0</v>
      </c>
      <c r="GY46" t="s">
        <v>36</v>
      </c>
      <c r="GZ46" t="s">
        <v>37</v>
      </c>
      <c r="HF46" t="str">
        <f>""</f>
        <v/>
      </c>
      <c r="HK46" t="str">
        <f>""</f>
        <v/>
      </c>
      <c r="HN46" t="s">
        <v>38</v>
      </c>
      <c r="HP46" t="str">
        <f>"0009310765"</f>
        <v>0009310765</v>
      </c>
      <c r="HZ46" t="str">
        <f>""</f>
        <v/>
      </c>
      <c r="IA46" t="str">
        <f>HYPERLINK("https://web.datatree.com/?/property?propertyId=128798422")</f>
        <v>https://web.datatree.com/?/property?propertyId=128798422</v>
      </c>
    </row>
    <row r="47" spans="1:235" x14ac:dyDescent="0.3">
      <c r="A47" t="s">
        <v>1948</v>
      </c>
      <c r="B47" t="s">
        <v>224</v>
      </c>
      <c r="C47" t="s">
        <v>224</v>
      </c>
      <c r="D47" t="s">
        <v>1949</v>
      </c>
      <c r="E47" t="s">
        <v>3</v>
      </c>
      <c r="F47">
        <v>5</v>
      </c>
      <c r="O47" t="s">
        <v>1950</v>
      </c>
      <c r="P47" t="s">
        <v>1948</v>
      </c>
      <c r="S47" t="s">
        <v>370</v>
      </c>
      <c r="T47" t="s">
        <v>5</v>
      </c>
      <c r="W47">
        <v>2000</v>
      </c>
      <c r="Z47" t="s">
        <v>86</v>
      </c>
      <c r="AC47" t="s">
        <v>2</v>
      </c>
      <c r="AE47" t="s">
        <v>8</v>
      </c>
      <c r="AF47" t="str">
        <f>"78629"</f>
        <v>78629</v>
      </c>
      <c r="AG47" t="str">
        <f>"78629"</f>
        <v>78629</v>
      </c>
      <c r="AH47" t="s">
        <v>2</v>
      </c>
      <c r="AJ47" t="s">
        <v>1951</v>
      </c>
      <c r="AK47" t="s">
        <v>1952</v>
      </c>
      <c r="AM47">
        <v>8901</v>
      </c>
      <c r="AO47" t="s">
        <v>148</v>
      </c>
      <c r="AP47" t="s">
        <v>1953</v>
      </c>
      <c r="AS47" t="s">
        <v>2</v>
      </c>
      <c r="AU47" t="s">
        <v>8</v>
      </c>
      <c r="AV47" t="str">
        <f>"78629-3322"</f>
        <v>78629-3322</v>
      </c>
      <c r="AW47" t="s">
        <v>152</v>
      </c>
      <c r="AX47" t="s">
        <v>1954</v>
      </c>
      <c r="AY47" t="s">
        <v>1955</v>
      </c>
      <c r="AZ47" t="s">
        <v>18</v>
      </c>
      <c r="BA47" t="s">
        <v>1956</v>
      </c>
      <c r="BB47" t="str">
        <f>"996"</f>
        <v>996</v>
      </c>
      <c r="BC47" t="str">
        <f>"996"</f>
        <v>996</v>
      </c>
      <c r="BD47" t="str">
        <f>"192592600000000000000"</f>
        <v>192592600000000000000</v>
      </c>
      <c r="BE47">
        <v>48177</v>
      </c>
      <c r="BG47">
        <v>400</v>
      </c>
      <c r="BH47">
        <v>2001</v>
      </c>
      <c r="BN47">
        <v>29.523601833996</v>
      </c>
      <c r="BO47">
        <v>-97.445880167393796</v>
      </c>
      <c r="BX47" t="s">
        <v>22</v>
      </c>
      <c r="CA47" t="str">
        <f>"13"</f>
        <v>13</v>
      </c>
      <c r="CD47">
        <v>0</v>
      </c>
      <c r="CO47">
        <v>0</v>
      </c>
      <c r="EA47" s="1">
        <v>1</v>
      </c>
      <c r="EC47" t="s">
        <v>23</v>
      </c>
      <c r="ED47" t="s">
        <v>24</v>
      </c>
      <c r="EE47" t="s">
        <v>25</v>
      </c>
      <c r="EG47">
        <v>39640</v>
      </c>
      <c r="EH47">
        <v>0.91</v>
      </c>
      <c r="EI47">
        <f t="shared" si="0"/>
        <v>20930</v>
      </c>
      <c r="EJ47">
        <f t="shared" si="1"/>
        <v>10465</v>
      </c>
      <c r="EW47" t="s">
        <v>26</v>
      </c>
      <c r="EX47" t="s">
        <v>27</v>
      </c>
      <c r="EY47" t="s">
        <v>28</v>
      </c>
      <c r="EZ47" s="2">
        <v>40515</v>
      </c>
      <c r="FA47" t="s">
        <v>29</v>
      </c>
      <c r="FB47" t="str">
        <f>"FALSE"</f>
        <v>FALSE</v>
      </c>
      <c r="FC47">
        <v>2019</v>
      </c>
      <c r="FD47">
        <v>2016</v>
      </c>
      <c r="FE47" t="s">
        <v>30</v>
      </c>
      <c r="FF47" t="s">
        <v>31</v>
      </c>
      <c r="FG47" t="s">
        <v>31</v>
      </c>
      <c r="FH47" t="s">
        <v>31</v>
      </c>
      <c r="FI47" t="s">
        <v>31</v>
      </c>
      <c r="FJ47" t="s">
        <v>31</v>
      </c>
      <c r="FK47" t="s">
        <v>31</v>
      </c>
      <c r="FL47" t="s">
        <v>31</v>
      </c>
      <c r="FM47" t="s">
        <v>31</v>
      </c>
      <c r="FN47" t="s">
        <v>31</v>
      </c>
      <c r="FO47" t="s">
        <v>31</v>
      </c>
      <c r="FP47" t="s">
        <v>31</v>
      </c>
      <c r="FQ47" t="s">
        <v>31</v>
      </c>
      <c r="FR47" t="s">
        <v>31</v>
      </c>
      <c r="FS47" s="3">
        <v>12510</v>
      </c>
      <c r="FT47" s="3">
        <v>12510</v>
      </c>
      <c r="FW47" s="3">
        <v>12510</v>
      </c>
      <c r="FX47" s="3">
        <v>12510</v>
      </c>
      <c r="GE47" s="3">
        <v>277.47000000000003</v>
      </c>
      <c r="GG47" s="3">
        <v>12510</v>
      </c>
      <c r="GI47" t="s">
        <v>32</v>
      </c>
      <c r="GL47" t="s">
        <v>33</v>
      </c>
      <c r="GM47" t="s">
        <v>34</v>
      </c>
      <c r="GN47" t="s">
        <v>35</v>
      </c>
      <c r="GS47" t="str">
        <f>""</f>
        <v/>
      </c>
      <c r="GT47" t="str">
        <f>""</f>
        <v/>
      </c>
      <c r="GV47" s="2">
        <v>35373</v>
      </c>
      <c r="GW47" s="3">
        <v>0</v>
      </c>
      <c r="GY47" t="s">
        <v>36</v>
      </c>
      <c r="GZ47" t="s">
        <v>37</v>
      </c>
      <c r="HF47" t="str">
        <f>""</f>
        <v/>
      </c>
      <c r="HK47" t="str">
        <f>""</f>
        <v/>
      </c>
      <c r="HN47" t="s">
        <v>38</v>
      </c>
      <c r="HP47" t="str">
        <f>"0007850251"</f>
        <v>0007850251</v>
      </c>
      <c r="HZ47" t="str">
        <f>""</f>
        <v/>
      </c>
      <c r="IA47" t="str">
        <f>HYPERLINK("https://web.datatree.com/?/property?propertyId=128807081")</f>
        <v>https://web.datatree.com/?/property?propertyId=128807081</v>
      </c>
    </row>
    <row r="48" spans="1:235" x14ac:dyDescent="0.3">
      <c r="A48" t="s">
        <v>826</v>
      </c>
      <c r="B48" t="s">
        <v>827</v>
      </c>
      <c r="C48" t="s">
        <v>828</v>
      </c>
      <c r="D48" t="s">
        <v>786</v>
      </c>
      <c r="E48" t="s">
        <v>3</v>
      </c>
      <c r="F48">
        <v>1</v>
      </c>
      <c r="G48" t="s">
        <v>829</v>
      </c>
      <c r="H48" t="s">
        <v>830</v>
      </c>
      <c r="I48" t="s">
        <v>830</v>
      </c>
      <c r="J48" t="s">
        <v>786</v>
      </c>
      <c r="K48" t="s">
        <v>3</v>
      </c>
      <c r="L48">
        <v>2</v>
      </c>
      <c r="O48" t="s">
        <v>831</v>
      </c>
      <c r="P48" t="s">
        <v>832</v>
      </c>
      <c r="T48" t="s">
        <v>55</v>
      </c>
      <c r="Z48" t="s">
        <v>575</v>
      </c>
      <c r="AA48" t="s">
        <v>77</v>
      </c>
      <c r="AC48" t="s">
        <v>2</v>
      </c>
      <c r="AE48" t="s">
        <v>8</v>
      </c>
      <c r="AF48" t="str">
        <f>"78629"</f>
        <v>78629</v>
      </c>
      <c r="AG48" t="str">
        <f>"78629"</f>
        <v>78629</v>
      </c>
      <c r="AH48" t="s">
        <v>2</v>
      </c>
      <c r="AJ48" t="s">
        <v>576</v>
      </c>
      <c r="AK48" t="s">
        <v>577</v>
      </c>
      <c r="AP48" t="s">
        <v>833</v>
      </c>
      <c r="AS48" t="s">
        <v>2</v>
      </c>
      <c r="AT48" t="s">
        <v>2</v>
      </c>
      <c r="AU48" t="s">
        <v>8</v>
      </c>
      <c r="AV48" t="str">
        <f>"78629"</f>
        <v>78629</v>
      </c>
      <c r="AW48" t="s">
        <v>834</v>
      </c>
      <c r="AX48" t="s">
        <v>835</v>
      </c>
      <c r="AY48" t="s">
        <v>836</v>
      </c>
      <c r="AZ48" t="s">
        <v>18</v>
      </c>
      <c r="BA48" t="s">
        <v>837</v>
      </c>
      <c r="BB48" t="str">
        <f>"23910"</f>
        <v>23910</v>
      </c>
      <c r="BC48" t="str">
        <f>"23910"</f>
        <v>23910</v>
      </c>
      <c r="BD48" t="str">
        <f>"905900002500000000000"</f>
        <v>905900002500000000000</v>
      </c>
      <c r="BE48">
        <v>48177</v>
      </c>
      <c r="BG48">
        <v>400</v>
      </c>
      <c r="BH48">
        <v>2001</v>
      </c>
      <c r="BN48">
        <v>29.498255271429901</v>
      </c>
      <c r="BO48">
        <v>-97.532057438524603</v>
      </c>
      <c r="BP48" t="s">
        <v>583</v>
      </c>
      <c r="BX48" t="s">
        <v>22</v>
      </c>
      <c r="CA48" t="str">
        <f>"25"</f>
        <v>25</v>
      </c>
      <c r="CD48">
        <v>0</v>
      </c>
      <c r="CO48">
        <v>0</v>
      </c>
      <c r="EA48" s="1">
        <v>1</v>
      </c>
      <c r="EC48" t="s">
        <v>23</v>
      </c>
      <c r="ED48" t="s">
        <v>24</v>
      </c>
      <c r="EE48" t="s">
        <v>25</v>
      </c>
      <c r="EG48">
        <v>39640</v>
      </c>
      <c r="EH48">
        <v>0.91</v>
      </c>
      <c r="EI48">
        <f t="shared" si="0"/>
        <v>20930</v>
      </c>
      <c r="EJ48">
        <f t="shared" si="1"/>
        <v>10465</v>
      </c>
      <c r="EW48" t="s">
        <v>26</v>
      </c>
      <c r="EX48" t="s">
        <v>683</v>
      </c>
      <c r="EY48" t="s">
        <v>684</v>
      </c>
      <c r="EZ48" s="2">
        <v>40515</v>
      </c>
      <c r="FA48" t="s">
        <v>143</v>
      </c>
      <c r="FB48" t="str">
        <f>"FALSE"</f>
        <v>FALSE</v>
      </c>
      <c r="FC48">
        <v>2019</v>
      </c>
      <c r="FD48">
        <v>2016</v>
      </c>
      <c r="FE48" t="s">
        <v>30</v>
      </c>
      <c r="FF48" t="s">
        <v>31</v>
      </c>
      <c r="FG48" t="s">
        <v>31</v>
      </c>
      <c r="FH48" t="s">
        <v>31</v>
      </c>
      <c r="FI48" t="s">
        <v>31</v>
      </c>
      <c r="FJ48" t="s">
        <v>31</v>
      </c>
      <c r="FK48" t="s">
        <v>31</v>
      </c>
      <c r="FL48" t="s">
        <v>31</v>
      </c>
      <c r="FM48" t="s">
        <v>31</v>
      </c>
      <c r="FN48" t="s">
        <v>31</v>
      </c>
      <c r="FO48" t="s">
        <v>31</v>
      </c>
      <c r="FP48" t="s">
        <v>31</v>
      </c>
      <c r="FQ48" t="s">
        <v>31</v>
      </c>
      <c r="FR48" t="s">
        <v>31</v>
      </c>
      <c r="FS48" s="3">
        <v>18200</v>
      </c>
      <c r="FT48" s="3">
        <v>18200</v>
      </c>
      <c r="FW48" s="3">
        <v>18200</v>
      </c>
      <c r="FX48" s="3">
        <v>18200</v>
      </c>
      <c r="GE48" s="3">
        <v>371.48</v>
      </c>
      <c r="GG48" s="3">
        <v>18200</v>
      </c>
      <c r="GI48" t="s">
        <v>32</v>
      </c>
      <c r="GL48" t="s">
        <v>33</v>
      </c>
      <c r="GM48" t="s">
        <v>34</v>
      </c>
      <c r="GN48" t="s">
        <v>35</v>
      </c>
      <c r="GS48" t="str">
        <f>""</f>
        <v/>
      </c>
      <c r="GT48" t="str">
        <f>""</f>
        <v/>
      </c>
      <c r="GV48" s="2">
        <v>38640</v>
      </c>
      <c r="GW48" s="3">
        <v>0</v>
      </c>
      <c r="GY48" t="s">
        <v>36</v>
      </c>
      <c r="GZ48" t="s">
        <v>37</v>
      </c>
      <c r="HF48" t="str">
        <f>""</f>
        <v/>
      </c>
      <c r="HK48" t="str">
        <f>""</f>
        <v/>
      </c>
      <c r="HN48" t="s">
        <v>38</v>
      </c>
      <c r="HP48" t="str">
        <f>"0009240322"</f>
        <v>0009240322</v>
      </c>
      <c r="HZ48" t="str">
        <f>""</f>
        <v/>
      </c>
      <c r="IA48" t="str">
        <f>HYPERLINK("https://web.datatree.com/?/property?propertyId=128798436")</f>
        <v>https://web.datatree.com/?/property?propertyId=128798436</v>
      </c>
    </row>
    <row r="49" spans="1:235" x14ac:dyDescent="0.3">
      <c r="A49" t="s">
        <v>291</v>
      </c>
      <c r="D49" t="s">
        <v>291</v>
      </c>
      <c r="E49" t="s">
        <v>84</v>
      </c>
      <c r="F49">
        <v>2</v>
      </c>
      <c r="O49" t="s">
        <v>291</v>
      </c>
      <c r="P49" t="s">
        <v>291</v>
      </c>
      <c r="R49" t="s">
        <v>85</v>
      </c>
      <c r="T49" t="s">
        <v>5</v>
      </c>
      <c r="V49" t="s">
        <v>109</v>
      </c>
      <c r="W49">
        <v>302</v>
      </c>
      <c r="Z49" t="s">
        <v>292</v>
      </c>
      <c r="AA49" t="s">
        <v>7</v>
      </c>
      <c r="AC49" t="s">
        <v>2</v>
      </c>
      <c r="AE49" t="s">
        <v>8</v>
      </c>
      <c r="AF49" t="str">
        <f>"78629"</f>
        <v>78629</v>
      </c>
      <c r="AG49" t="str">
        <f>"78629-3442"</f>
        <v>78629-3442</v>
      </c>
      <c r="AH49" t="s">
        <v>2</v>
      </c>
      <c r="AI49" t="s">
        <v>281</v>
      </c>
      <c r="AJ49" t="s">
        <v>293</v>
      </c>
      <c r="AK49" t="s">
        <v>294</v>
      </c>
      <c r="AM49">
        <v>304</v>
      </c>
      <c r="AO49" t="s">
        <v>109</v>
      </c>
      <c r="AP49" t="s">
        <v>295</v>
      </c>
      <c r="AS49" t="s">
        <v>2</v>
      </c>
      <c r="AT49" t="s">
        <v>2</v>
      </c>
      <c r="AU49" t="s">
        <v>8</v>
      </c>
      <c r="AV49" t="str">
        <f>"78629-2002"</f>
        <v>78629-2002</v>
      </c>
      <c r="AW49" t="s">
        <v>80</v>
      </c>
      <c r="AX49" t="s">
        <v>296</v>
      </c>
      <c r="AY49" t="s">
        <v>297</v>
      </c>
      <c r="AZ49" t="s">
        <v>18</v>
      </c>
      <c r="BA49" t="s">
        <v>298</v>
      </c>
      <c r="BB49" t="str">
        <f>"12152"</f>
        <v>12152</v>
      </c>
      <c r="BC49" t="str">
        <f>"12152"</f>
        <v>12152</v>
      </c>
      <c r="BD49" t="str">
        <f>"161950500000350000000"</f>
        <v>161950500000350000000</v>
      </c>
      <c r="BE49">
        <v>48177</v>
      </c>
      <c r="BG49">
        <v>400</v>
      </c>
      <c r="BH49">
        <v>2004</v>
      </c>
      <c r="BN49">
        <v>29.507126665718602</v>
      </c>
      <c r="BO49">
        <v>-97.456755756840906</v>
      </c>
      <c r="BX49" t="s">
        <v>22</v>
      </c>
      <c r="CA49" t="str">
        <f>""</f>
        <v/>
      </c>
      <c r="CC49">
        <v>1292</v>
      </c>
      <c r="CD49">
        <v>1292</v>
      </c>
      <c r="CH49">
        <v>1292</v>
      </c>
      <c r="CO49">
        <v>0</v>
      </c>
      <c r="DA49" t="s">
        <v>131</v>
      </c>
      <c r="DC49" t="s">
        <v>131</v>
      </c>
      <c r="DL49" t="s">
        <v>299</v>
      </c>
      <c r="DM49">
        <v>340</v>
      </c>
      <c r="DP49" t="s">
        <v>290</v>
      </c>
      <c r="EA49" s="1">
        <v>1</v>
      </c>
      <c r="EC49" t="s">
        <v>23</v>
      </c>
      <c r="ED49" t="s">
        <v>24</v>
      </c>
      <c r="EE49" t="s">
        <v>25</v>
      </c>
      <c r="EG49">
        <v>40167</v>
      </c>
      <c r="EH49">
        <v>0.92</v>
      </c>
      <c r="EI49">
        <f t="shared" si="0"/>
        <v>21160</v>
      </c>
      <c r="EJ49">
        <f t="shared" si="1"/>
        <v>10580</v>
      </c>
      <c r="EK49">
        <v>153.6</v>
      </c>
      <c r="EL49">
        <v>261.5</v>
      </c>
      <c r="ER49">
        <v>1</v>
      </c>
      <c r="EW49" t="s">
        <v>26</v>
      </c>
      <c r="EX49" t="s">
        <v>27</v>
      </c>
      <c r="EY49" t="s">
        <v>28</v>
      </c>
      <c r="EZ49" s="2">
        <v>40515</v>
      </c>
      <c r="FA49" t="s">
        <v>29</v>
      </c>
      <c r="FB49" t="str">
        <f>"FALSE"</f>
        <v>FALSE</v>
      </c>
      <c r="FC49">
        <v>2019</v>
      </c>
      <c r="FD49">
        <v>2016</v>
      </c>
      <c r="FE49" t="s">
        <v>30</v>
      </c>
      <c r="FF49" t="s">
        <v>31</v>
      </c>
      <c r="FG49" t="s">
        <v>31</v>
      </c>
      <c r="FH49" t="s">
        <v>31</v>
      </c>
      <c r="FI49" t="s">
        <v>31</v>
      </c>
      <c r="FJ49" t="s">
        <v>31</v>
      </c>
      <c r="FK49" t="s">
        <v>31</v>
      </c>
      <c r="FL49" t="s">
        <v>31</v>
      </c>
      <c r="FM49" t="s">
        <v>31</v>
      </c>
      <c r="FN49" t="s">
        <v>31</v>
      </c>
      <c r="FO49" t="s">
        <v>31</v>
      </c>
      <c r="FP49" t="s">
        <v>31</v>
      </c>
      <c r="FQ49" t="s">
        <v>31</v>
      </c>
      <c r="FR49" t="s">
        <v>31</v>
      </c>
      <c r="FS49" s="3">
        <v>19010</v>
      </c>
      <c r="FT49" s="3">
        <v>15680</v>
      </c>
      <c r="FU49" s="3">
        <v>3330</v>
      </c>
      <c r="FV49">
        <v>17.52</v>
      </c>
      <c r="FW49" s="3">
        <v>19010</v>
      </c>
      <c r="FX49" s="3">
        <v>15680</v>
      </c>
      <c r="FY49" s="3">
        <v>3330</v>
      </c>
      <c r="FZ49">
        <v>17.52</v>
      </c>
      <c r="GE49" s="3">
        <v>384.6</v>
      </c>
      <c r="GG49" s="3">
        <v>19010</v>
      </c>
      <c r="GI49" t="s">
        <v>32</v>
      </c>
      <c r="GL49" t="s">
        <v>33</v>
      </c>
      <c r="GM49" t="s">
        <v>34</v>
      </c>
      <c r="GN49" t="s">
        <v>35</v>
      </c>
      <c r="GS49" t="str">
        <f>""</f>
        <v/>
      </c>
      <c r="GT49" t="str">
        <f>""</f>
        <v/>
      </c>
      <c r="GV49" s="2">
        <v>37240</v>
      </c>
      <c r="GW49" s="3">
        <v>0</v>
      </c>
      <c r="GY49" t="s">
        <v>36</v>
      </c>
      <c r="GZ49" t="s">
        <v>37</v>
      </c>
      <c r="HA49" s="3">
        <v>0</v>
      </c>
      <c r="HF49" t="str">
        <f>""</f>
        <v/>
      </c>
      <c r="HK49" t="str">
        <f>""</f>
        <v/>
      </c>
      <c r="HN49" t="s">
        <v>38</v>
      </c>
      <c r="HP49" t="str">
        <f>"0008590992"</f>
        <v>0008590992</v>
      </c>
      <c r="HZ49" t="str">
        <f>""</f>
        <v/>
      </c>
      <c r="IA49" t="str">
        <f>HYPERLINK("https://web.datatree.com/?/property?propertyId=128791112")</f>
        <v>https://web.datatree.com/?/property?propertyId=128791112</v>
      </c>
    </row>
    <row r="50" spans="1:235" x14ac:dyDescent="0.3">
      <c r="A50" t="s">
        <v>441</v>
      </c>
      <c r="D50" t="s">
        <v>441</v>
      </c>
      <c r="E50" t="s">
        <v>3</v>
      </c>
      <c r="F50">
        <v>5</v>
      </c>
      <c r="O50" t="s">
        <v>601</v>
      </c>
      <c r="P50" t="s">
        <v>441</v>
      </c>
      <c r="R50" t="s">
        <v>41</v>
      </c>
      <c r="T50" t="s">
        <v>55</v>
      </c>
      <c r="Z50" t="s">
        <v>602</v>
      </c>
      <c r="AC50" t="s">
        <v>603</v>
      </c>
      <c r="AD50" t="s">
        <v>2</v>
      </c>
      <c r="AE50" t="s">
        <v>8</v>
      </c>
      <c r="AF50" t="str">
        <f>"78629"</f>
        <v>78629</v>
      </c>
      <c r="AG50" t="str">
        <f>"78629"</f>
        <v>78629</v>
      </c>
      <c r="AH50" t="s">
        <v>2</v>
      </c>
      <c r="AJ50" t="s">
        <v>604</v>
      </c>
      <c r="AK50" t="s">
        <v>605</v>
      </c>
      <c r="AL50" t="s">
        <v>148</v>
      </c>
      <c r="AM50">
        <v>1038</v>
      </c>
      <c r="AP50" t="s">
        <v>606</v>
      </c>
      <c r="AS50" t="s">
        <v>607</v>
      </c>
      <c r="AT50" t="s">
        <v>2</v>
      </c>
      <c r="AU50" t="s">
        <v>8</v>
      </c>
      <c r="AV50" t="str">
        <f>"78122-4301"</f>
        <v>78122-4301</v>
      </c>
      <c r="AW50" t="s">
        <v>608</v>
      </c>
      <c r="AX50" t="s">
        <v>609</v>
      </c>
      <c r="AY50" t="s">
        <v>610</v>
      </c>
      <c r="AZ50" t="s">
        <v>18</v>
      </c>
      <c r="BA50" t="s">
        <v>611</v>
      </c>
      <c r="BB50" t="str">
        <f>"3255"</f>
        <v>3255</v>
      </c>
      <c r="BC50" t="str">
        <f>"3255"</f>
        <v>3255</v>
      </c>
      <c r="BD50" t="str">
        <f>"107604000000050000000"</f>
        <v>107604000000050000000</v>
      </c>
      <c r="BE50">
        <v>48177</v>
      </c>
      <c r="BG50">
        <v>400</v>
      </c>
      <c r="BH50">
        <v>2001</v>
      </c>
      <c r="BN50">
        <v>29.59999130748</v>
      </c>
      <c r="BO50">
        <v>-97.584322790945805</v>
      </c>
      <c r="BX50" t="s">
        <v>22</v>
      </c>
      <c r="CA50" t="str">
        <f>"11"</f>
        <v>11</v>
      </c>
      <c r="CD50">
        <v>0</v>
      </c>
      <c r="CO50">
        <v>0</v>
      </c>
      <c r="EA50" s="1">
        <v>1</v>
      </c>
      <c r="EC50" t="s">
        <v>23</v>
      </c>
      <c r="ED50" t="s">
        <v>24</v>
      </c>
      <c r="EE50" t="s">
        <v>25</v>
      </c>
      <c r="EG50">
        <v>40075</v>
      </c>
      <c r="EH50">
        <v>0.92</v>
      </c>
      <c r="EI50">
        <f t="shared" si="0"/>
        <v>21160</v>
      </c>
      <c r="EJ50">
        <f t="shared" si="1"/>
        <v>10580</v>
      </c>
      <c r="EW50" t="s">
        <v>26</v>
      </c>
      <c r="EX50" t="s">
        <v>584</v>
      </c>
      <c r="EY50" t="s">
        <v>585</v>
      </c>
      <c r="EZ50" s="2">
        <v>40515</v>
      </c>
      <c r="FA50" t="s">
        <v>143</v>
      </c>
      <c r="FB50" t="str">
        <f>"FALSE"</f>
        <v>FALSE</v>
      </c>
      <c r="FC50">
        <v>2019</v>
      </c>
      <c r="FD50">
        <v>2016</v>
      </c>
      <c r="FE50" t="s">
        <v>30</v>
      </c>
      <c r="FF50" t="s">
        <v>31</v>
      </c>
      <c r="FG50" t="s">
        <v>31</v>
      </c>
      <c r="FH50" t="s">
        <v>31</v>
      </c>
      <c r="FI50" t="s">
        <v>31</v>
      </c>
      <c r="FJ50" t="s">
        <v>31</v>
      </c>
      <c r="FK50" t="s">
        <v>31</v>
      </c>
      <c r="FL50" t="s">
        <v>31</v>
      </c>
      <c r="FM50" t="s">
        <v>31</v>
      </c>
      <c r="FN50" t="s">
        <v>31</v>
      </c>
      <c r="FO50" t="s">
        <v>31</v>
      </c>
      <c r="FP50" t="s">
        <v>31</v>
      </c>
      <c r="FQ50" t="s">
        <v>31</v>
      </c>
      <c r="FR50" t="s">
        <v>31</v>
      </c>
      <c r="FS50" s="3">
        <v>11340</v>
      </c>
      <c r="FT50" s="3">
        <v>11340</v>
      </c>
      <c r="FW50" s="3">
        <v>11340</v>
      </c>
      <c r="FX50" s="3">
        <v>11340</v>
      </c>
      <c r="GE50" s="3">
        <v>231.46</v>
      </c>
      <c r="GG50" s="3">
        <v>11340</v>
      </c>
      <c r="GI50" t="s">
        <v>32</v>
      </c>
      <c r="GL50" t="s">
        <v>33</v>
      </c>
      <c r="GM50" t="s">
        <v>34</v>
      </c>
      <c r="GN50" t="s">
        <v>35</v>
      </c>
      <c r="GS50" t="str">
        <f>""</f>
        <v/>
      </c>
      <c r="GT50" t="str">
        <f>""</f>
        <v/>
      </c>
      <c r="GV50" s="2">
        <v>36069</v>
      </c>
      <c r="GW50" s="3">
        <v>0</v>
      </c>
      <c r="GY50" t="s">
        <v>36</v>
      </c>
      <c r="GZ50" t="s">
        <v>37</v>
      </c>
      <c r="HF50" t="str">
        <f>""</f>
        <v/>
      </c>
      <c r="HK50" t="str">
        <f>""</f>
        <v/>
      </c>
      <c r="HN50" t="s">
        <v>38</v>
      </c>
      <c r="HP50" t="str">
        <f>"0008060225"</f>
        <v>0008060225</v>
      </c>
      <c r="HZ50" t="str">
        <f>""</f>
        <v/>
      </c>
      <c r="IA50" t="str">
        <f>HYPERLINK("https://web.datatree.com/?/property?propertyId=128800269")</f>
        <v>https://web.datatree.com/?/property?propertyId=128800269</v>
      </c>
    </row>
    <row r="51" spans="1:235" x14ac:dyDescent="0.3">
      <c r="A51" t="s">
        <v>132</v>
      </c>
      <c r="B51" t="s">
        <v>133</v>
      </c>
      <c r="C51" t="s">
        <v>134</v>
      </c>
      <c r="D51" t="s">
        <v>135</v>
      </c>
      <c r="E51" t="s">
        <v>3</v>
      </c>
      <c r="F51">
        <v>2</v>
      </c>
      <c r="O51" t="s">
        <v>136</v>
      </c>
      <c r="P51" t="s">
        <v>132</v>
      </c>
      <c r="T51" t="s">
        <v>137</v>
      </c>
      <c r="V51" t="s">
        <v>52</v>
      </c>
      <c r="W51">
        <v>404</v>
      </c>
      <c r="Z51" t="s">
        <v>138</v>
      </c>
      <c r="AA51" t="s">
        <v>105</v>
      </c>
      <c r="AC51" t="s">
        <v>106</v>
      </c>
      <c r="AE51" t="s">
        <v>8</v>
      </c>
      <c r="AF51" t="str">
        <f>"78140"</f>
        <v>78140</v>
      </c>
      <c r="AG51" t="str">
        <f>"78140-3001"</f>
        <v>78140-3001</v>
      </c>
      <c r="AH51" t="s">
        <v>2</v>
      </c>
      <c r="AI51" t="s">
        <v>111</v>
      </c>
      <c r="AJ51" t="s">
        <v>139</v>
      </c>
      <c r="AK51" t="s">
        <v>140</v>
      </c>
      <c r="AL51" t="s">
        <v>52</v>
      </c>
      <c r="AM51">
        <v>404</v>
      </c>
      <c r="AP51" t="s">
        <v>138</v>
      </c>
      <c r="AQ51" t="s">
        <v>105</v>
      </c>
      <c r="AS51" t="s">
        <v>106</v>
      </c>
      <c r="AU51" t="s">
        <v>8</v>
      </c>
      <c r="AV51" t="str">
        <f>"78140-3001"</f>
        <v>78140-3001</v>
      </c>
      <c r="AW51" t="s">
        <v>111</v>
      </c>
      <c r="AX51" t="s">
        <v>139</v>
      </c>
      <c r="AY51" t="s">
        <v>141</v>
      </c>
      <c r="BA51" t="s">
        <v>142</v>
      </c>
      <c r="BB51" t="str">
        <f>"15711"</f>
        <v>15711</v>
      </c>
      <c r="BC51" t="str">
        <f>"15711"</f>
        <v>15711</v>
      </c>
      <c r="BD51" t="str">
        <f>"139006000000000000000"</f>
        <v>139006000000000000000</v>
      </c>
      <c r="BE51">
        <v>48177</v>
      </c>
      <c r="BG51">
        <v>500</v>
      </c>
      <c r="BH51">
        <v>2064</v>
      </c>
      <c r="BI51" t="s">
        <v>20</v>
      </c>
      <c r="BN51">
        <v>29.266327727495099</v>
      </c>
      <c r="BO51">
        <v>-97.753350282299195</v>
      </c>
      <c r="BP51" t="s">
        <v>115</v>
      </c>
      <c r="BX51" t="s">
        <v>22</v>
      </c>
      <c r="CA51" t="str">
        <f>""</f>
        <v/>
      </c>
      <c r="CD51">
        <v>0</v>
      </c>
      <c r="CO51">
        <v>0</v>
      </c>
      <c r="EA51" s="1">
        <v>1</v>
      </c>
      <c r="EC51" t="s">
        <v>23</v>
      </c>
      <c r="ED51" t="s">
        <v>24</v>
      </c>
      <c r="EE51" t="s">
        <v>25</v>
      </c>
      <c r="EG51">
        <v>40511</v>
      </c>
      <c r="EH51">
        <v>0.93</v>
      </c>
      <c r="EI51">
        <f t="shared" si="0"/>
        <v>21390</v>
      </c>
      <c r="EJ51">
        <f t="shared" si="1"/>
        <v>10695</v>
      </c>
      <c r="EW51" t="s">
        <v>26</v>
      </c>
      <c r="EX51" t="s">
        <v>116</v>
      </c>
      <c r="EY51" t="s">
        <v>117</v>
      </c>
      <c r="EZ51" s="2">
        <v>40515</v>
      </c>
      <c r="FA51" t="s">
        <v>143</v>
      </c>
      <c r="FB51" t="str">
        <f>"FALSE"</f>
        <v>FALSE</v>
      </c>
      <c r="FC51">
        <v>2019</v>
      </c>
      <c r="FD51">
        <v>2016</v>
      </c>
      <c r="FE51" t="s">
        <v>119</v>
      </c>
      <c r="FF51" t="s">
        <v>31</v>
      </c>
      <c r="FG51" t="s">
        <v>31</v>
      </c>
      <c r="FH51" t="s">
        <v>31</v>
      </c>
      <c r="FI51" t="s">
        <v>31</v>
      </c>
      <c r="FJ51" t="s">
        <v>31</v>
      </c>
      <c r="FK51" t="s">
        <v>31</v>
      </c>
      <c r="FL51" t="s">
        <v>31</v>
      </c>
      <c r="FM51" t="s">
        <v>31</v>
      </c>
      <c r="FN51" t="s">
        <v>31</v>
      </c>
      <c r="FO51" t="s">
        <v>31</v>
      </c>
      <c r="FP51" t="s">
        <v>31</v>
      </c>
      <c r="FQ51" t="s">
        <v>31</v>
      </c>
      <c r="FR51" t="s">
        <v>31</v>
      </c>
      <c r="FS51" s="3">
        <v>10380</v>
      </c>
      <c r="FT51" s="3">
        <v>10380</v>
      </c>
      <c r="FW51" s="3">
        <v>10380</v>
      </c>
      <c r="FX51" s="3">
        <v>10380</v>
      </c>
      <c r="GE51" s="3">
        <v>183.89</v>
      </c>
      <c r="GG51" s="3">
        <v>10380</v>
      </c>
      <c r="GI51" t="s">
        <v>120</v>
      </c>
      <c r="GL51" t="s">
        <v>121</v>
      </c>
      <c r="GM51" t="s">
        <v>122</v>
      </c>
      <c r="GN51" t="s">
        <v>123</v>
      </c>
      <c r="GS51" t="str">
        <f>""</f>
        <v/>
      </c>
      <c r="GT51" t="str">
        <f>""</f>
        <v/>
      </c>
      <c r="HF51" t="str">
        <f>""</f>
        <v/>
      </c>
      <c r="HK51" t="str">
        <f>""</f>
        <v/>
      </c>
      <c r="HN51" t="s">
        <v>38</v>
      </c>
      <c r="HP51" t="str">
        <f>""</f>
        <v/>
      </c>
      <c r="HZ51" t="str">
        <f>""</f>
        <v/>
      </c>
      <c r="IA51" t="str">
        <f>HYPERLINK("https://web.datatree.com/?/property?propertyId=128794283")</f>
        <v>https://web.datatree.com/?/property?propertyId=128794283</v>
      </c>
    </row>
    <row r="52" spans="1:235" x14ac:dyDescent="0.3">
      <c r="A52" t="s">
        <v>0</v>
      </c>
      <c r="B52" t="s">
        <v>1</v>
      </c>
      <c r="C52" t="s">
        <v>1</v>
      </c>
      <c r="D52" t="s">
        <v>2</v>
      </c>
      <c r="E52" t="s">
        <v>3</v>
      </c>
      <c r="F52">
        <v>1</v>
      </c>
      <c r="O52" t="s">
        <v>4</v>
      </c>
      <c r="P52" t="s">
        <v>0</v>
      </c>
      <c r="T52" t="s">
        <v>5</v>
      </c>
      <c r="W52">
        <v>618</v>
      </c>
      <c r="Z52" t="s">
        <v>6</v>
      </c>
      <c r="AA52" t="s">
        <v>7</v>
      </c>
      <c r="AC52" t="s">
        <v>2</v>
      </c>
      <c r="AE52" t="s">
        <v>8</v>
      </c>
      <c r="AF52" t="str">
        <f>"78629"</f>
        <v>78629</v>
      </c>
      <c r="AG52" t="str">
        <f>"78629-3725"</f>
        <v>78629-3725</v>
      </c>
      <c r="AH52" t="s">
        <v>2</v>
      </c>
      <c r="AI52" t="s">
        <v>9</v>
      </c>
      <c r="AJ52" t="s">
        <v>10</v>
      </c>
      <c r="AK52" t="s">
        <v>11</v>
      </c>
      <c r="AM52">
        <v>1570</v>
      </c>
      <c r="AP52" t="s">
        <v>12</v>
      </c>
      <c r="AQ52" t="s">
        <v>13</v>
      </c>
      <c r="AS52" t="s">
        <v>14</v>
      </c>
      <c r="AT52" t="s">
        <v>14</v>
      </c>
      <c r="AU52" t="s">
        <v>15</v>
      </c>
      <c r="AV52" t="str">
        <f>"92626-3734"</f>
        <v>92626-3734</v>
      </c>
      <c r="AX52" t="s">
        <v>16</v>
      </c>
      <c r="AY52" t="s">
        <v>17</v>
      </c>
      <c r="AZ52" t="s">
        <v>18</v>
      </c>
      <c r="BA52" t="s">
        <v>19</v>
      </c>
      <c r="BB52" t="str">
        <f>"12717"</f>
        <v>12717</v>
      </c>
      <c r="BC52" t="str">
        <f>"12717"</f>
        <v>12717</v>
      </c>
      <c r="BD52" t="str">
        <f>"163037000000750000000"</f>
        <v>163037000000750000000</v>
      </c>
      <c r="BE52">
        <v>48177</v>
      </c>
      <c r="BG52">
        <v>300</v>
      </c>
      <c r="BH52">
        <v>4007</v>
      </c>
      <c r="BI52" t="s">
        <v>20</v>
      </c>
      <c r="BN52">
        <v>29.5074617464767</v>
      </c>
      <c r="BO52">
        <v>-97.440920175775801</v>
      </c>
      <c r="BP52" t="s">
        <v>21</v>
      </c>
      <c r="BX52" t="s">
        <v>22</v>
      </c>
      <c r="CA52" t="str">
        <f>"7"</f>
        <v>7</v>
      </c>
      <c r="CD52">
        <v>0</v>
      </c>
      <c r="CO52">
        <v>0</v>
      </c>
      <c r="EA52" s="1">
        <v>1</v>
      </c>
      <c r="EC52" t="s">
        <v>23</v>
      </c>
      <c r="ED52" t="s">
        <v>24</v>
      </c>
      <c r="EE52" t="s">
        <v>25</v>
      </c>
      <c r="EG52">
        <v>40702</v>
      </c>
      <c r="EH52">
        <v>0.93</v>
      </c>
      <c r="EI52">
        <f t="shared" si="0"/>
        <v>21390</v>
      </c>
      <c r="EJ52">
        <f t="shared" si="1"/>
        <v>10695</v>
      </c>
      <c r="EK52">
        <v>202.8</v>
      </c>
      <c r="EL52">
        <v>200.7</v>
      </c>
      <c r="EW52" t="s">
        <v>26</v>
      </c>
      <c r="EX52" t="s">
        <v>27</v>
      </c>
      <c r="EY52" t="s">
        <v>28</v>
      </c>
      <c r="EZ52" s="2">
        <v>40515</v>
      </c>
      <c r="FA52" t="s">
        <v>29</v>
      </c>
      <c r="FB52" t="str">
        <f>"FALSE"</f>
        <v>FALSE</v>
      </c>
      <c r="FC52">
        <v>2019</v>
      </c>
      <c r="FD52">
        <v>2016</v>
      </c>
      <c r="FE52" t="s">
        <v>30</v>
      </c>
      <c r="FF52" t="s">
        <v>31</v>
      </c>
      <c r="FG52" t="s">
        <v>31</v>
      </c>
      <c r="FH52" t="s">
        <v>31</v>
      </c>
      <c r="FI52" t="s">
        <v>31</v>
      </c>
      <c r="FJ52" t="s">
        <v>31</v>
      </c>
      <c r="FK52" t="s">
        <v>31</v>
      </c>
      <c r="FL52" t="s">
        <v>31</v>
      </c>
      <c r="FM52" t="s">
        <v>31</v>
      </c>
      <c r="FN52" t="s">
        <v>31</v>
      </c>
      <c r="FO52" t="s">
        <v>31</v>
      </c>
      <c r="FP52" t="s">
        <v>31</v>
      </c>
      <c r="FQ52" t="s">
        <v>31</v>
      </c>
      <c r="FR52" t="s">
        <v>31</v>
      </c>
      <c r="FS52" s="3">
        <v>16330</v>
      </c>
      <c r="FT52" s="3">
        <v>16330</v>
      </c>
      <c r="FW52" s="3">
        <v>16330</v>
      </c>
      <c r="FX52" s="3">
        <v>16330</v>
      </c>
      <c r="GE52" s="3">
        <v>362.2</v>
      </c>
      <c r="GG52" s="3">
        <v>16330</v>
      </c>
      <c r="GI52" t="s">
        <v>32</v>
      </c>
      <c r="GL52" t="s">
        <v>33</v>
      </c>
      <c r="GM52" t="s">
        <v>34</v>
      </c>
      <c r="GN52" t="s">
        <v>35</v>
      </c>
      <c r="GS52" t="str">
        <f>""</f>
        <v/>
      </c>
      <c r="GT52" t="str">
        <f>""</f>
        <v/>
      </c>
      <c r="GV52" s="2">
        <v>35992</v>
      </c>
      <c r="GW52" s="3">
        <v>0</v>
      </c>
      <c r="GY52" t="s">
        <v>36</v>
      </c>
      <c r="GZ52" t="s">
        <v>37</v>
      </c>
      <c r="HF52" t="str">
        <f>""</f>
        <v/>
      </c>
      <c r="HK52" t="str">
        <f>""</f>
        <v/>
      </c>
      <c r="HN52" t="s">
        <v>38</v>
      </c>
      <c r="HP52" t="str">
        <f>"0008020441"</f>
        <v>0008020441</v>
      </c>
      <c r="HZ52" t="str">
        <f>""</f>
        <v/>
      </c>
      <c r="IA52" t="str">
        <f>HYPERLINK("https://web.datatree.com/?/property?propertyId=128791689")</f>
        <v>https://web.datatree.com/?/property?propertyId=128791689</v>
      </c>
    </row>
    <row r="53" spans="1:235" x14ac:dyDescent="0.3">
      <c r="A53" t="s">
        <v>1343</v>
      </c>
      <c r="B53" t="s">
        <v>1344</v>
      </c>
      <c r="C53" t="s">
        <v>1344</v>
      </c>
      <c r="D53" t="s">
        <v>1345</v>
      </c>
      <c r="E53" t="s">
        <v>3</v>
      </c>
      <c r="F53">
        <v>3</v>
      </c>
      <c r="G53" t="s">
        <v>1346</v>
      </c>
      <c r="H53" t="s">
        <v>1347</v>
      </c>
      <c r="I53" t="s">
        <v>1347</v>
      </c>
      <c r="J53" t="s">
        <v>1345</v>
      </c>
      <c r="K53" t="s">
        <v>3</v>
      </c>
      <c r="L53">
        <v>3</v>
      </c>
      <c r="O53" t="s">
        <v>1348</v>
      </c>
      <c r="P53" t="s">
        <v>1349</v>
      </c>
      <c r="T53" t="s">
        <v>55</v>
      </c>
      <c r="Z53" t="s">
        <v>1350</v>
      </c>
      <c r="AC53" t="s">
        <v>2</v>
      </c>
      <c r="AE53" t="s">
        <v>8</v>
      </c>
      <c r="AF53" t="str">
        <f>"78629"</f>
        <v>78629</v>
      </c>
      <c r="AG53" t="str">
        <f>"78629"</f>
        <v>78629</v>
      </c>
      <c r="AH53" t="s">
        <v>2</v>
      </c>
      <c r="AJ53" t="s">
        <v>1351</v>
      </c>
      <c r="AK53" t="s">
        <v>1352</v>
      </c>
      <c r="AM53">
        <v>2116</v>
      </c>
      <c r="AP53" t="s">
        <v>1353</v>
      </c>
      <c r="AQ53" t="s">
        <v>77</v>
      </c>
      <c r="AS53" t="s">
        <v>656</v>
      </c>
      <c r="AT53" t="s">
        <v>656</v>
      </c>
      <c r="AU53" t="s">
        <v>8</v>
      </c>
      <c r="AV53" t="str">
        <f>"78130-3389"</f>
        <v>78130-3389</v>
      </c>
      <c r="AW53" t="s">
        <v>152</v>
      </c>
      <c r="AX53" t="s">
        <v>1354</v>
      </c>
      <c r="AY53" t="s">
        <v>1355</v>
      </c>
      <c r="AZ53" t="s">
        <v>18</v>
      </c>
      <c r="BA53" t="s">
        <v>1356</v>
      </c>
      <c r="BB53" t="str">
        <f>"6034"</f>
        <v>6034</v>
      </c>
      <c r="BC53" t="str">
        <f>"6034"</f>
        <v>6034</v>
      </c>
      <c r="BD53" t="str">
        <f>"122900500000000000000"</f>
        <v>122900500000000000000</v>
      </c>
      <c r="BE53">
        <v>48177</v>
      </c>
      <c r="BG53">
        <v>400</v>
      </c>
      <c r="BH53">
        <v>2001</v>
      </c>
      <c r="BN53">
        <v>29.334030043208401</v>
      </c>
      <c r="BO53">
        <v>-97.660880160372898</v>
      </c>
      <c r="BX53" t="s">
        <v>22</v>
      </c>
      <c r="CA53" t="str">
        <f>""</f>
        <v/>
      </c>
      <c r="CD53">
        <v>0</v>
      </c>
      <c r="CO53">
        <v>0</v>
      </c>
      <c r="EA53" s="1">
        <v>1</v>
      </c>
      <c r="EC53" t="s">
        <v>23</v>
      </c>
      <c r="ED53" t="s">
        <v>24</v>
      </c>
      <c r="EE53" t="s">
        <v>25</v>
      </c>
      <c r="EG53">
        <v>40946</v>
      </c>
      <c r="EH53">
        <v>0.94</v>
      </c>
      <c r="EI53">
        <f t="shared" si="0"/>
        <v>21620</v>
      </c>
      <c r="EJ53">
        <f t="shared" si="1"/>
        <v>10810</v>
      </c>
      <c r="EW53" t="s">
        <v>26</v>
      </c>
      <c r="EX53" t="s">
        <v>491</v>
      </c>
      <c r="EY53" t="s">
        <v>492</v>
      </c>
      <c r="EZ53" s="2">
        <v>40515</v>
      </c>
      <c r="FA53" t="s">
        <v>143</v>
      </c>
      <c r="FB53" t="str">
        <f>"FALSE"</f>
        <v>FALSE</v>
      </c>
      <c r="FC53">
        <v>2019</v>
      </c>
      <c r="FD53">
        <v>2016</v>
      </c>
      <c r="FE53" t="s">
        <v>119</v>
      </c>
      <c r="FF53" t="s">
        <v>31</v>
      </c>
      <c r="FG53" t="s">
        <v>31</v>
      </c>
      <c r="FH53" t="s">
        <v>31</v>
      </c>
      <c r="FI53" t="s">
        <v>31</v>
      </c>
      <c r="FJ53" t="s">
        <v>31</v>
      </c>
      <c r="FK53" t="s">
        <v>31</v>
      </c>
      <c r="FL53" t="s">
        <v>31</v>
      </c>
      <c r="FM53" t="s">
        <v>31</v>
      </c>
      <c r="FN53" t="s">
        <v>31</v>
      </c>
      <c r="FO53" t="s">
        <v>31</v>
      </c>
      <c r="FP53" t="s">
        <v>31</v>
      </c>
      <c r="FQ53" t="s">
        <v>31</v>
      </c>
      <c r="FR53" t="s">
        <v>31</v>
      </c>
      <c r="FS53" s="3">
        <v>11100</v>
      </c>
      <c r="FT53" s="3">
        <v>11100</v>
      </c>
      <c r="FW53" s="3">
        <v>11100</v>
      </c>
      <c r="FX53" s="3">
        <v>11100</v>
      </c>
      <c r="GE53" s="3">
        <v>185.84</v>
      </c>
      <c r="GG53" s="3">
        <v>11100</v>
      </c>
      <c r="GI53" t="s">
        <v>120</v>
      </c>
      <c r="GL53" t="s">
        <v>121</v>
      </c>
      <c r="GM53" t="s">
        <v>122</v>
      </c>
      <c r="GN53" t="s">
        <v>123</v>
      </c>
      <c r="GS53" t="str">
        <f>""</f>
        <v/>
      </c>
      <c r="GT53" t="str">
        <f>""</f>
        <v/>
      </c>
      <c r="GV53" s="2">
        <v>37082</v>
      </c>
      <c r="GW53" s="3">
        <v>0</v>
      </c>
      <c r="GY53" t="s">
        <v>36</v>
      </c>
      <c r="GZ53" t="s">
        <v>37</v>
      </c>
      <c r="HF53" t="str">
        <f>""</f>
        <v/>
      </c>
      <c r="HK53" t="str">
        <f>""</f>
        <v/>
      </c>
      <c r="HN53" t="s">
        <v>38</v>
      </c>
      <c r="HP53" t="str">
        <f>"0008510916"</f>
        <v>0008510916</v>
      </c>
      <c r="HZ53" t="str">
        <f>""</f>
        <v/>
      </c>
      <c r="IA53" t="str">
        <f>HYPERLINK("https://web.datatree.com/?/property?propertyId=128803096")</f>
        <v>https://web.datatree.com/?/property?propertyId=128803096</v>
      </c>
    </row>
    <row r="54" spans="1:235" x14ac:dyDescent="0.3">
      <c r="A54" t="s">
        <v>1383</v>
      </c>
      <c r="D54" t="s">
        <v>1383</v>
      </c>
      <c r="E54" t="s">
        <v>3</v>
      </c>
      <c r="F54">
        <v>26</v>
      </c>
      <c r="K54" t="s">
        <v>3</v>
      </c>
      <c r="O54" t="s">
        <v>1384</v>
      </c>
      <c r="P54" t="s">
        <v>1383</v>
      </c>
      <c r="Q54" t="s">
        <v>665</v>
      </c>
      <c r="T54" t="s">
        <v>55</v>
      </c>
      <c r="Z54" t="s">
        <v>1385</v>
      </c>
      <c r="AC54" t="s">
        <v>106</v>
      </c>
      <c r="AE54" t="s">
        <v>8</v>
      </c>
      <c r="AF54" t="str">
        <f>"78140"</f>
        <v>78140</v>
      </c>
      <c r="AG54" t="str">
        <f>"78140"</f>
        <v>78140</v>
      </c>
      <c r="AH54" t="s">
        <v>2</v>
      </c>
      <c r="AJ54" t="s">
        <v>1386</v>
      </c>
      <c r="AK54" t="s">
        <v>1387</v>
      </c>
      <c r="AP54" t="s">
        <v>1388</v>
      </c>
      <c r="AS54" t="s">
        <v>106</v>
      </c>
      <c r="AT54" t="s">
        <v>106</v>
      </c>
      <c r="AU54" t="s">
        <v>8</v>
      </c>
      <c r="AV54" t="str">
        <f>"78140"</f>
        <v>78140</v>
      </c>
      <c r="AW54" t="s">
        <v>254</v>
      </c>
      <c r="AX54" t="s">
        <v>1389</v>
      </c>
      <c r="AY54" t="s">
        <v>1390</v>
      </c>
      <c r="AZ54" t="s">
        <v>18</v>
      </c>
      <c r="BA54" t="s">
        <v>1391</v>
      </c>
      <c r="BB54" t="str">
        <f>"15865"</f>
        <v>15865</v>
      </c>
      <c r="BC54" t="str">
        <f>"15865"</f>
        <v>15865</v>
      </c>
      <c r="BD54" t="str">
        <f>"171931300000050000000"</f>
        <v>171931300000050000000</v>
      </c>
      <c r="BE54">
        <v>48177</v>
      </c>
      <c r="BG54">
        <v>500</v>
      </c>
      <c r="BH54">
        <v>1154</v>
      </c>
      <c r="BI54" t="s">
        <v>20</v>
      </c>
      <c r="BN54">
        <v>29.270454766779</v>
      </c>
      <c r="BO54">
        <v>-97.753081004607495</v>
      </c>
      <c r="BP54" t="s">
        <v>1392</v>
      </c>
      <c r="BX54" t="s">
        <v>22</v>
      </c>
      <c r="CA54" t="str">
        <f>""</f>
        <v/>
      </c>
      <c r="CD54">
        <v>0</v>
      </c>
      <c r="CO54">
        <v>0</v>
      </c>
      <c r="EA54" s="1">
        <v>1</v>
      </c>
      <c r="EC54" t="s">
        <v>23</v>
      </c>
      <c r="ED54" t="s">
        <v>24</v>
      </c>
      <c r="EE54" t="s">
        <v>25</v>
      </c>
      <c r="EG54">
        <v>40946</v>
      </c>
      <c r="EH54">
        <v>0.94</v>
      </c>
      <c r="EI54">
        <f t="shared" si="0"/>
        <v>21620</v>
      </c>
      <c r="EJ54">
        <f t="shared" si="1"/>
        <v>10810</v>
      </c>
      <c r="EW54" t="s">
        <v>26</v>
      </c>
      <c r="EX54" t="s">
        <v>116</v>
      </c>
      <c r="EY54" t="s">
        <v>117</v>
      </c>
      <c r="EZ54" s="2">
        <v>40515</v>
      </c>
      <c r="FA54" t="s">
        <v>118</v>
      </c>
      <c r="FB54" t="str">
        <f>"FALSE"</f>
        <v>FALSE</v>
      </c>
      <c r="FC54">
        <v>2019</v>
      </c>
      <c r="FD54">
        <v>2016</v>
      </c>
      <c r="FE54" t="s">
        <v>119</v>
      </c>
      <c r="FF54" t="s">
        <v>31</v>
      </c>
      <c r="FG54" t="s">
        <v>31</v>
      </c>
      <c r="FH54" t="s">
        <v>31</v>
      </c>
      <c r="FI54" t="s">
        <v>31</v>
      </c>
      <c r="FJ54" t="s">
        <v>31</v>
      </c>
      <c r="FK54" t="s">
        <v>31</v>
      </c>
      <c r="FL54" t="s">
        <v>31</v>
      </c>
      <c r="FM54" t="s">
        <v>31</v>
      </c>
      <c r="FN54" t="s">
        <v>31</v>
      </c>
      <c r="FO54" t="s">
        <v>31</v>
      </c>
      <c r="FP54" t="s">
        <v>31</v>
      </c>
      <c r="FQ54" t="s">
        <v>31</v>
      </c>
      <c r="FR54" t="s">
        <v>31</v>
      </c>
      <c r="FS54" s="3">
        <v>11600</v>
      </c>
      <c r="FT54" s="3">
        <v>11600</v>
      </c>
      <c r="FW54" s="3">
        <v>11600</v>
      </c>
      <c r="FX54" s="3">
        <v>11600</v>
      </c>
      <c r="GE54" s="3">
        <v>120.78</v>
      </c>
      <c r="GG54" s="3">
        <v>11600</v>
      </c>
      <c r="GI54" t="s">
        <v>120</v>
      </c>
      <c r="GL54" t="s">
        <v>121</v>
      </c>
      <c r="GM54" t="s">
        <v>122</v>
      </c>
      <c r="GN54" t="s">
        <v>123</v>
      </c>
      <c r="GS54" t="str">
        <f>""</f>
        <v/>
      </c>
      <c r="GT54" t="str">
        <f>""</f>
        <v/>
      </c>
      <c r="GV54" s="2">
        <v>36404</v>
      </c>
      <c r="GW54" s="3">
        <v>0</v>
      </c>
      <c r="GY54" t="s">
        <v>36</v>
      </c>
      <c r="GZ54" t="s">
        <v>37</v>
      </c>
      <c r="HF54" t="str">
        <f>""</f>
        <v/>
      </c>
      <c r="HK54" t="str">
        <f>""</f>
        <v/>
      </c>
      <c r="HN54" t="s">
        <v>38</v>
      </c>
      <c r="HP54" t="str">
        <f>"0008220654"</f>
        <v>0008220654</v>
      </c>
      <c r="HZ54" t="str">
        <f>""</f>
        <v/>
      </c>
      <c r="IA54" t="str">
        <f>HYPERLINK("https://web.datatree.com/?/property?propertyId=128794441")</f>
        <v>https://web.datatree.com/?/property?propertyId=128794441</v>
      </c>
    </row>
    <row r="55" spans="1:235" x14ac:dyDescent="0.3">
      <c r="A55" t="s">
        <v>967</v>
      </c>
      <c r="B55" t="s">
        <v>968</v>
      </c>
      <c r="C55" t="s">
        <v>968</v>
      </c>
      <c r="D55" t="s">
        <v>528</v>
      </c>
      <c r="E55" t="s">
        <v>3</v>
      </c>
      <c r="F55">
        <v>2</v>
      </c>
      <c r="O55" t="s">
        <v>969</v>
      </c>
      <c r="P55" t="s">
        <v>967</v>
      </c>
      <c r="T55" t="s">
        <v>55</v>
      </c>
      <c r="W55">
        <v>6576</v>
      </c>
      <c r="Z55" t="s">
        <v>970</v>
      </c>
      <c r="AB55">
        <v>1682</v>
      </c>
      <c r="AC55" t="s">
        <v>607</v>
      </c>
      <c r="AE55" t="s">
        <v>8</v>
      </c>
      <c r="AF55" t="str">
        <f>"78122"</f>
        <v>78122</v>
      </c>
      <c r="AG55" t="str">
        <f>"78122"</f>
        <v>78122</v>
      </c>
      <c r="AH55" t="s">
        <v>2</v>
      </c>
      <c r="AJ55" t="s">
        <v>971</v>
      </c>
      <c r="AK55" t="s">
        <v>972</v>
      </c>
      <c r="AP55" t="s">
        <v>973</v>
      </c>
      <c r="AS55" t="s">
        <v>607</v>
      </c>
      <c r="AU55" t="s">
        <v>8</v>
      </c>
      <c r="AV55" t="str">
        <f>"78122"</f>
        <v>78122</v>
      </c>
      <c r="AW55" t="s">
        <v>254</v>
      </c>
      <c r="AX55" t="s">
        <v>974</v>
      </c>
      <c r="AY55" t="s">
        <v>975</v>
      </c>
      <c r="AZ55" t="s">
        <v>18</v>
      </c>
      <c r="BA55" t="s">
        <v>976</v>
      </c>
      <c r="BB55" t="str">
        <f>"4652"</f>
        <v>4652</v>
      </c>
      <c r="BC55" t="str">
        <f>"4652"</f>
        <v>4652</v>
      </c>
      <c r="BD55" t="str">
        <f>"114819000000000000000"</f>
        <v>114819000000000000000</v>
      </c>
      <c r="BE55">
        <v>48177</v>
      </c>
      <c r="BG55">
        <v>500</v>
      </c>
      <c r="BH55">
        <v>1084</v>
      </c>
      <c r="BI55" t="s">
        <v>20</v>
      </c>
      <c r="BN55">
        <v>29.407883308133599</v>
      </c>
      <c r="BO55">
        <v>-97.741006825300005</v>
      </c>
      <c r="BX55" t="s">
        <v>22</v>
      </c>
      <c r="CA55" t="str">
        <f>""</f>
        <v/>
      </c>
      <c r="CD55">
        <v>0</v>
      </c>
      <c r="CO55">
        <v>0</v>
      </c>
      <c r="EA55" s="1">
        <v>1</v>
      </c>
      <c r="EC55" t="s">
        <v>23</v>
      </c>
      <c r="ED55" t="s">
        <v>24</v>
      </c>
      <c r="EE55" t="s">
        <v>25</v>
      </c>
      <c r="EG55">
        <v>41382</v>
      </c>
      <c r="EH55">
        <v>0.95</v>
      </c>
      <c r="EI55">
        <f t="shared" si="0"/>
        <v>21850</v>
      </c>
      <c r="EJ55">
        <f t="shared" si="1"/>
        <v>10925</v>
      </c>
      <c r="ER55">
        <v>1</v>
      </c>
      <c r="EW55" t="s">
        <v>26</v>
      </c>
      <c r="EX55" t="s">
        <v>733</v>
      </c>
      <c r="EY55" t="s">
        <v>734</v>
      </c>
      <c r="EZ55" s="2">
        <v>40515</v>
      </c>
      <c r="FA55" t="s">
        <v>143</v>
      </c>
      <c r="FB55" t="str">
        <f>"FALSE"</f>
        <v>FALSE</v>
      </c>
      <c r="FC55">
        <v>2019</v>
      </c>
      <c r="FD55">
        <v>2016</v>
      </c>
      <c r="FE55" t="s">
        <v>119</v>
      </c>
      <c r="FF55" t="s">
        <v>31</v>
      </c>
      <c r="FG55" t="s">
        <v>31</v>
      </c>
      <c r="FH55" t="s">
        <v>31</v>
      </c>
      <c r="FI55" t="s">
        <v>31</v>
      </c>
      <c r="FJ55" t="s">
        <v>31</v>
      </c>
      <c r="FK55" t="s">
        <v>31</v>
      </c>
      <c r="FL55" t="s">
        <v>31</v>
      </c>
      <c r="FM55" t="s">
        <v>31</v>
      </c>
      <c r="FN55" t="s">
        <v>31</v>
      </c>
      <c r="FO55" t="s">
        <v>31</v>
      </c>
      <c r="FP55" t="s">
        <v>31</v>
      </c>
      <c r="FQ55" t="s">
        <v>31</v>
      </c>
      <c r="FR55" t="s">
        <v>31</v>
      </c>
      <c r="FS55" s="3">
        <v>11580</v>
      </c>
      <c r="FT55" s="3">
        <v>11220</v>
      </c>
      <c r="FU55" s="3">
        <v>360</v>
      </c>
      <c r="FV55">
        <v>3.11</v>
      </c>
      <c r="FW55" s="3">
        <v>11580</v>
      </c>
      <c r="FX55" s="3">
        <v>11220</v>
      </c>
      <c r="FY55" s="3">
        <v>360</v>
      </c>
      <c r="FZ55">
        <v>3.11</v>
      </c>
      <c r="GE55" s="3">
        <v>200.19</v>
      </c>
      <c r="GG55" s="3">
        <v>11580</v>
      </c>
      <c r="GI55" t="s">
        <v>120</v>
      </c>
      <c r="GL55" t="s">
        <v>121</v>
      </c>
      <c r="GM55" t="s">
        <v>122</v>
      </c>
      <c r="GN55" t="s">
        <v>123</v>
      </c>
      <c r="GS55" t="str">
        <f>""</f>
        <v/>
      </c>
      <c r="GT55" t="str">
        <f>""</f>
        <v/>
      </c>
      <c r="GV55" s="2">
        <v>35855</v>
      </c>
      <c r="GW55" s="3">
        <v>0</v>
      </c>
      <c r="GY55" t="s">
        <v>36</v>
      </c>
      <c r="GZ55" t="s">
        <v>37</v>
      </c>
      <c r="HF55" t="str">
        <f>""</f>
        <v/>
      </c>
      <c r="HK55" t="str">
        <f>""</f>
        <v/>
      </c>
      <c r="HN55" t="s">
        <v>38</v>
      </c>
      <c r="HP55" t="str">
        <f>"0007950578"</f>
        <v>0007950578</v>
      </c>
      <c r="HZ55" t="str">
        <f>""</f>
        <v/>
      </c>
      <c r="IA55" t="str">
        <f>HYPERLINK("https://web.datatree.com/?/property?propertyId=128801708")</f>
        <v>https://web.datatree.com/?/property?propertyId=128801708</v>
      </c>
    </row>
    <row r="56" spans="1:235" x14ac:dyDescent="0.3">
      <c r="A56" t="s">
        <v>814</v>
      </c>
      <c r="B56" t="s">
        <v>815</v>
      </c>
      <c r="C56" t="s">
        <v>815</v>
      </c>
      <c r="D56" t="s">
        <v>816</v>
      </c>
      <c r="E56" t="s">
        <v>3</v>
      </c>
      <c r="F56">
        <v>1</v>
      </c>
      <c r="G56" t="s">
        <v>817</v>
      </c>
      <c r="H56" t="s">
        <v>818</v>
      </c>
      <c r="I56" t="s">
        <v>818</v>
      </c>
      <c r="J56" t="s">
        <v>819</v>
      </c>
      <c r="K56" t="s">
        <v>3</v>
      </c>
      <c r="L56">
        <v>1</v>
      </c>
      <c r="O56" t="s">
        <v>820</v>
      </c>
      <c r="P56" t="s">
        <v>821</v>
      </c>
      <c r="T56" t="s">
        <v>55</v>
      </c>
      <c r="Z56" t="s">
        <v>575</v>
      </c>
      <c r="AA56" t="s">
        <v>77</v>
      </c>
      <c r="AC56" t="s">
        <v>2</v>
      </c>
      <c r="AE56" t="s">
        <v>8</v>
      </c>
      <c r="AF56" t="str">
        <f>"78629"</f>
        <v>78629</v>
      </c>
      <c r="AG56" t="str">
        <f>"78629"</f>
        <v>78629</v>
      </c>
      <c r="AH56" t="s">
        <v>2</v>
      </c>
      <c r="AJ56" t="s">
        <v>576</v>
      </c>
      <c r="AK56" t="s">
        <v>577</v>
      </c>
      <c r="AM56">
        <v>2631</v>
      </c>
      <c r="AP56" t="s">
        <v>822</v>
      </c>
      <c r="AQ56" t="s">
        <v>77</v>
      </c>
      <c r="AR56">
        <v>418</v>
      </c>
      <c r="AS56" t="s">
        <v>2</v>
      </c>
      <c r="AT56" t="s">
        <v>2</v>
      </c>
      <c r="AU56" t="s">
        <v>8</v>
      </c>
      <c r="AV56" t="str">
        <f>"78629-3237"</f>
        <v>78629-3237</v>
      </c>
      <c r="AW56" t="s">
        <v>346</v>
      </c>
      <c r="AX56" t="s">
        <v>823</v>
      </c>
      <c r="AY56" t="s">
        <v>824</v>
      </c>
      <c r="AZ56" t="s">
        <v>18</v>
      </c>
      <c r="BA56" t="s">
        <v>825</v>
      </c>
      <c r="BB56" t="str">
        <f>"23908"</f>
        <v>23908</v>
      </c>
      <c r="BC56" t="str">
        <f>"23908"</f>
        <v>23908</v>
      </c>
      <c r="BD56" t="str">
        <f>"905900002300000000000"</f>
        <v>905900002300000000000</v>
      </c>
      <c r="BE56">
        <v>48177</v>
      </c>
      <c r="BG56">
        <v>400</v>
      </c>
      <c r="BH56">
        <v>2001</v>
      </c>
      <c r="BN56">
        <v>29.497505750233401</v>
      </c>
      <c r="BO56">
        <v>-97.531941914129405</v>
      </c>
      <c r="BP56" t="s">
        <v>583</v>
      </c>
      <c r="BX56" t="s">
        <v>22</v>
      </c>
      <c r="CA56" t="str">
        <f>"23"</f>
        <v>23</v>
      </c>
      <c r="CD56">
        <v>0</v>
      </c>
      <c r="CO56">
        <v>0</v>
      </c>
      <c r="EA56" s="1">
        <v>1</v>
      </c>
      <c r="EC56" t="s">
        <v>23</v>
      </c>
      <c r="ED56" t="s">
        <v>24</v>
      </c>
      <c r="EE56" t="s">
        <v>25</v>
      </c>
      <c r="EG56">
        <v>41382</v>
      </c>
      <c r="EH56">
        <v>0.95</v>
      </c>
      <c r="EI56">
        <f t="shared" si="0"/>
        <v>21850</v>
      </c>
      <c r="EJ56">
        <f t="shared" si="1"/>
        <v>10925</v>
      </c>
      <c r="EW56" t="s">
        <v>26</v>
      </c>
      <c r="EX56" t="s">
        <v>683</v>
      </c>
      <c r="EY56" t="s">
        <v>684</v>
      </c>
      <c r="EZ56" s="2">
        <v>40515</v>
      </c>
      <c r="FA56" t="s">
        <v>143</v>
      </c>
      <c r="FB56" t="str">
        <f>"FALSE"</f>
        <v>FALSE</v>
      </c>
      <c r="FC56">
        <v>2019</v>
      </c>
      <c r="FD56">
        <v>2016</v>
      </c>
      <c r="FE56" t="s">
        <v>30</v>
      </c>
      <c r="FF56" t="s">
        <v>31</v>
      </c>
      <c r="FG56" t="s">
        <v>31</v>
      </c>
      <c r="FH56" t="s">
        <v>31</v>
      </c>
      <c r="FI56" t="s">
        <v>31</v>
      </c>
      <c r="FJ56" t="s">
        <v>31</v>
      </c>
      <c r="FK56" t="s">
        <v>31</v>
      </c>
      <c r="FL56" t="s">
        <v>31</v>
      </c>
      <c r="FM56" t="s">
        <v>31</v>
      </c>
      <c r="FN56" t="s">
        <v>31</v>
      </c>
      <c r="FO56" t="s">
        <v>31</v>
      </c>
      <c r="FP56" t="s">
        <v>31</v>
      </c>
      <c r="FQ56" t="s">
        <v>31</v>
      </c>
      <c r="FR56" t="s">
        <v>31</v>
      </c>
      <c r="FS56" s="3">
        <v>19000</v>
      </c>
      <c r="FT56" s="3">
        <v>19000</v>
      </c>
      <c r="FW56" s="3">
        <v>19000</v>
      </c>
      <c r="FX56" s="3">
        <v>19000</v>
      </c>
      <c r="GE56" s="3">
        <v>387.81</v>
      </c>
      <c r="GG56" s="3">
        <v>19000</v>
      </c>
      <c r="GI56" t="s">
        <v>32</v>
      </c>
      <c r="GL56" t="s">
        <v>33</v>
      </c>
      <c r="GM56" t="s">
        <v>34</v>
      </c>
      <c r="GN56" t="s">
        <v>35</v>
      </c>
      <c r="GS56" t="str">
        <f>""</f>
        <v/>
      </c>
      <c r="GT56" t="str">
        <f>""</f>
        <v/>
      </c>
      <c r="GV56" s="2">
        <v>38640</v>
      </c>
      <c r="GW56" s="3">
        <v>0</v>
      </c>
      <c r="GY56" t="s">
        <v>36</v>
      </c>
      <c r="GZ56" t="s">
        <v>37</v>
      </c>
      <c r="HF56" t="str">
        <f>""</f>
        <v/>
      </c>
      <c r="HK56" t="str">
        <f>""</f>
        <v/>
      </c>
      <c r="HN56" t="s">
        <v>38</v>
      </c>
      <c r="HP56" t="str">
        <f>"0009240322"</f>
        <v>0009240322</v>
      </c>
      <c r="HZ56" t="str">
        <f>""</f>
        <v/>
      </c>
      <c r="IA56" t="str">
        <f>HYPERLINK("https://web.datatree.com/?/property?propertyId=128798433")</f>
        <v>https://web.datatree.com/?/property?propertyId=128798433</v>
      </c>
    </row>
    <row r="57" spans="1:235" x14ac:dyDescent="0.3">
      <c r="A57" t="s">
        <v>1607</v>
      </c>
      <c r="D57" t="s">
        <v>1607</v>
      </c>
      <c r="E57" t="s">
        <v>3</v>
      </c>
      <c r="F57">
        <v>2</v>
      </c>
      <c r="K57" t="s">
        <v>3</v>
      </c>
      <c r="O57" t="s">
        <v>1608</v>
      </c>
      <c r="P57" t="s">
        <v>1607</v>
      </c>
      <c r="R57" t="s">
        <v>41</v>
      </c>
      <c r="T57" t="s">
        <v>5</v>
      </c>
      <c r="V57" t="s">
        <v>31</v>
      </c>
      <c r="W57">
        <v>9544</v>
      </c>
      <c r="Z57" t="s">
        <v>182</v>
      </c>
      <c r="AC57" t="s">
        <v>607</v>
      </c>
      <c r="AE57" t="s">
        <v>8</v>
      </c>
      <c r="AF57" t="str">
        <f>"78122"</f>
        <v>78122</v>
      </c>
      <c r="AG57" t="str">
        <f>"78122-4284"</f>
        <v>78122-4284</v>
      </c>
      <c r="AH57" t="s">
        <v>2</v>
      </c>
      <c r="AI57" t="s">
        <v>608</v>
      </c>
      <c r="AJ57" t="s">
        <v>1609</v>
      </c>
      <c r="AK57" t="s">
        <v>1610</v>
      </c>
      <c r="AL57" t="s">
        <v>148</v>
      </c>
      <c r="AM57">
        <v>802</v>
      </c>
      <c r="AP57" t="s">
        <v>1611</v>
      </c>
      <c r="AS57" t="s">
        <v>72</v>
      </c>
      <c r="AU57" t="s">
        <v>8</v>
      </c>
      <c r="AV57" t="str">
        <f>"78959-5091"</f>
        <v>78959-5091</v>
      </c>
      <c r="AW57" t="s">
        <v>152</v>
      </c>
      <c r="AX57" t="s">
        <v>1612</v>
      </c>
      <c r="AY57" t="s">
        <v>1613</v>
      </c>
      <c r="AZ57" t="s">
        <v>18</v>
      </c>
      <c r="BA57" t="s">
        <v>1614</v>
      </c>
      <c r="BB57" t="str">
        <f>"4638"</f>
        <v>4638</v>
      </c>
      <c r="BC57" t="str">
        <f>"4638"</f>
        <v>4638</v>
      </c>
      <c r="BD57" t="str">
        <f>"114815700000000000000"</f>
        <v>114815700000000000000</v>
      </c>
      <c r="BE57">
        <v>48177</v>
      </c>
      <c r="BG57">
        <v>500</v>
      </c>
      <c r="BH57">
        <v>1084</v>
      </c>
      <c r="BI57" t="s">
        <v>20</v>
      </c>
      <c r="BN57">
        <v>29.4081365477433</v>
      </c>
      <c r="BO57">
        <v>-97.745439251561393</v>
      </c>
      <c r="BP57" t="s">
        <v>1615</v>
      </c>
      <c r="BX57" t="s">
        <v>22</v>
      </c>
      <c r="CA57" t="str">
        <f>""</f>
        <v/>
      </c>
      <c r="CC57">
        <v>1248</v>
      </c>
      <c r="CD57">
        <v>1248</v>
      </c>
      <c r="CH57">
        <v>1248</v>
      </c>
      <c r="CJ57">
        <v>1960</v>
      </c>
      <c r="CO57">
        <v>0</v>
      </c>
      <c r="DG57" t="s">
        <v>521</v>
      </c>
      <c r="DH57" t="s">
        <v>521</v>
      </c>
      <c r="DL57" t="s">
        <v>1616</v>
      </c>
      <c r="DM57">
        <v>252</v>
      </c>
      <c r="DU57" t="s">
        <v>523</v>
      </c>
      <c r="EA57" s="1">
        <v>1</v>
      </c>
      <c r="EC57" t="s">
        <v>23</v>
      </c>
      <c r="ED57" t="s">
        <v>24</v>
      </c>
      <c r="EE57" t="s">
        <v>25</v>
      </c>
      <c r="EG57">
        <v>41730</v>
      </c>
      <c r="EH57">
        <v>0.96</v>
      </c>
      <c r="EI57">
        <f t="shared" si="0"/>
        <v>22080</v>
      </c>
      <c r="EJ57">
        <f t="shared" si="1"/>
        <v>11040</v>
      </c>
      <c r="ER57">
        <v>1</v>
      </c>
      <c r="EW57" t="s">
        <v>26</v>
      </c>
      <c r="EX57" t="s">
        <v>733</v>
      </c>
      <c r="EY57" t="s">
        <v>734</v>
      </c>
      <c r="EZ57" s="2">
        <v>40515</v>
      </c>
      <c r="FA57" t="s">
        <v>143</v>
      </c>
      <c r="FB57" t="str">
        <f>"FALSE"</f>
        <v>FALSE</v>
      </c>
      <c r="FC57">
        <v>2019</v>
      </c>
      <c r="FD57">
        <v>2016</v>
      </c>
      <c r="FE57" t="s">
        <v>119</v>
      </c>
      <c r="FF57" t="s">
        <v>31</v>
      </c>
      <c r="FG57" t="s">
        <v>31</v>
      </c>
      <c r="FH57" t="s">
        <v>31</v>
      </c>
      <c r="FI57" t="s">
        <v>31</v>
      </c>
      <c r="FJ57" t="s">
        <v>31</v>
      </c>
      <c r="FK57" t="s">
        <v>31</v>
      </c>
      <c r="FL57" t="s">
        <v>31</v>
      </c>
      <c r="FM57" t="s">
        <v>31</v>
      </c>
      <c r="FN57" t="s">
        <v>31</v>
      </c>
      <c r="FO57" t="s">
        <v>31</v>
      </c>
      <c r="FP57" t="s">
        <v>31</v>
      </c>
      <c r="FQ57" t="s">
        <v>31</v>
      </c>
      <c r="FR57" t="s">
        <v>31</v>
      </c>
      <c r="FS57" s="3">
        <v>12610</v>
      </c>
      <c r="FT57" s="3">
        <v>12610</v>
      </c>
      <c r="FW57" s="3">
        <v>12610</v>
      </c>
      <c r="FX57" s="3">
        <v>12610</v>
      </c>
      <c r="GE57" s="3">
        <v>223.4</v>
      </c>
      <c r="GG57" s="3">
        <v>12610</v>
      </c>
      <c r="GI57" t="s">
        <v>120</v>
      </c>
      <c r="GL57" t="s">
        <v>121</v>
      </c>
      <c r="GM57" t="s">
        <v>122</v>
      </c>
      <c r="GN57" t="s">
        <v>123</v>
      </c>
      <c r="GS57" t="str">
        <f>""</f>
        <v/>
      </c>
      <c r="GT57" t="str">
        <f>""</f>
        <v/>
      </c>
      <c r="GV57" s="2">
        <v>40259</v>
      </c>
      <c r="GW57" s="3">
        <v>0</v>
      </c>
      <c r="GY57" t="s">
        <v>36</v>
      </c>
      <c r="GZ57" t="s">
        <v>37</v>
      </c>
      <c r="HA57" s="3">
        <v>0</v>
      </c>
      <c r="HF57" t="str">
        <f>""</f>
        <v/>
      </c>
      <c r="HK57" t="str">
        <f>""</f>
        <v/>
      </c>
      <c r="HN57" t="s">
        <v>38</v>
      </c>
      <c r="HP57" t="str">
        <f>"0010200021"</f>
        <v>0010200021</v>
      </c>
      <c r="HZ57" t="str">
        <f>""</f>
        <v/>
      </c>
      <c r="IA57" t="str">
        <f>HYPERLINK("https://web.datatree.com/?/property?propertyId=128801693")</f>
        <v>https://web.datatree.com/?/property?propertyId=128801693</v>
      </c>
    </row>
    <row r="58" spans="1:235" x14ac:dyDescent="0.3">
      <c r="A58" t="s">
        <v>710</v>
      </c>
      <c r="B58" t="s">
        <v>711</v>
      </c>
      <c r="C58" t="s">
        <v>238</v>
      </c>
      <c r="D58" t="s">
        <v>712</v>
      </c>
      <c r="E58" t="s">
        <v>3</v>
      </c>
      <c r="F58">
        <v>10</v>
      </c>
      <c r="O58" t="s">
        <v>713</v>
      </c>
      <c r="P58" t="s">
        <v>710</v>
      </c>
      <c r="T58" t="s">
        <v>55</v>
      </c>
      <c r="Z58" t="s">
        <v>443</v>
      </c>
      <c r="AA58" t="s">
        <v>105</v>
      </c>
      <c r="AC58" t="s">
        <v>512</v>
      </c>
      <c r="AE58" t="s">
        <v>8</v>
      </c>
      <c r="AF58" t="str">
        <f>"78159"</f>
        <v>78159</v>
      </c>
      <c r="AG58" t="str">
        <f>"78159"</f>
        <v>78159</v>
      </c>
      <c r="AH58" t="s">
        <v>2</v>
      </c>
      <c r="AJ58" t="s">
        <v>714</v>
      </c>
      <c r="AK58" t="s">
        <v>715</v>
      </c>
      <c r="AP58" t="s">
        <v>716</v>
      </c>
      <c r="AS58" t="s">
        <v>2</v>
      </c>
      <c r="AT58" t="s">
        <v>2</v>
      </c>
      <c r="AU58" t="s">
        <v>8</v>
      </c>
      <c r="AV58" t="str">
        <f>"78629"</f>
        <v>78629</v>
      </c>
      <c r="AW58" t="s">
        <v>266</v>
      </c>
      <c r="AX58" t="s">
        <v>717</v>
      </c>
      <c r="AY58" t="s">
        <v>718</v>
      </c>
      <c r="AZ58" t="s">
        <v>18</v>
      </c>
      <c r="BA58" t="s">
        <v>719</v>
      </c>
      <c r="BB58" t="str">
        <f>"16733"</f>
        <v>16733</v>
      </c>
      <c r="BC58" t="str">
        <f>"16733"</f>
        <v>16733</v>
      </c>
      <c r="BD58" t="str">
        <f>"190203508031270000000"</f>
        <v>190203508031270000000</v>
      </c>
      <c r="BE58">
        <v>48177</v>
      </c>
      <c r="BG58">
        <v>600</v>
      </c>
      <c r="BH58">
        <v>2048</v>
      </c>
      <c r="BN58">
        <v>29.265800277162601</v>
      </c>
      <c r="BO58">
        <v>-97.636195930965201</v>
      </c>
      <c r="BP58" t="s">
        <v>720</v>
      </c>
      <c r="BX58" t="s">
        <v>22</v>
      </c>
      <c r="CA58" t="str">
        <f>""</f>
        <v/>
      </c>
      <c r="CB58">
        <v>8</v>
      </c>
      <c r="CC58">
        <v>240</v>
      </c>
      <c r="CD58">
        <v>1656</v>
      </c>
      <c r="CH58">
        <v>1978</v>
      </c>
      <c r="CJ58">
        <v>1940</v>
      </c>
      <c r="CO58">
        <v>0</v>
      </c>
      <c r="CY58" t="s">
        <v>520</v>
      </c>
      <c r="DA58" t="s">
        <v>363</v>
      </c>
      <c r="DC58" t="s">
        <v>364</v>
      </c>
      <c r="DD58">
        <v>240</v>
      </c>
      <c r="DG58" t="s">
        <v>521</v>
      </c>
      <c r="DH58" t="s">
        <v>522</v>
      </c>
      <c r="DL58" t="s">
        <v>289</v>
      </c>
      <c r="DM58">
        <v>24</v>
      </c>
      <c r="DU58" t="s">
        <v>721</v>
      </c>
      <c r="EA58" s="1">
        <v>1</v>
      </c>
      <c r="EC58" t="s">
        <v>23</v>
      </c>
      <c r="ED58" t="s">
        <v>431</v>
      </c>
      <c r="EE58" t="s">
        <v>25</v>
      </c>
      <c r="EG58">
        <v>42001</v>
      </c>
      <c r="EH58">
        <v>0.96</v>
      </c>
      <c r="EI58">
        <f t="shared" si="0"/>
        <v>22080</v>
      </c>
      <c r="EJ58">
        <f t="shared" si="1"/>
        <v>11040</v>
      </c>
      <c r="EK58">
        <v>300</v>
      </c>
      <c r="EL58">
        <v>140</v>
      </c>
      <c r="EM58">
        <v>28000</v>
      </c>
      <c r="EN58">
        <v>28000</v>
      </c>
      <c r="ER58">
        <v>1</v>
      </c>
      <c r="EW58" t="s">
        <v>26</v>
      </c>
      <c r="EX58" t="s">
        <v>491</v>
      </c>
      <c r="EY58" t="s">
        <v>492</v>
      </c>
      <c r="EZ58" s="2">
        <v>40515</v>
      </c>
      <c r="FA58" t="s">
        <v>524</v>
      </c>
      <c r="FB58" t="str">
        <f>"FALSE"</f>
        <v>FALSE</v>
      </c>
      <c r="FC58">
        <v>2019</v>
      </c>
      <c r="FD58">
        <v>2016</v>
      </c>
      <c r="FE58" t="s">
        <v>119</v>
      </c>
      <c r="FF58" t="s">
        <v>31</v>
      </c>
      <c r="FG58" t="s">
        <v>31</v>
      </c>
      <c r="FH58" t="s">
        <v>31</v>
      </c>
      <c r="FI58" t="s">
        <v>31</v>
      </c>
      <c r="FJ58" t="s">
        <v>31</v>
      </c>
      <c r="FK58" t="s">
        <v>31</v>
      </c>
      <c r="FL58" t="s">
        <v>31</v>
      </c>
      <c r="FM58" t="s">
        <v>31</v>
      </c>
      <c r="FN58" t="s">
        <v>31</v>
      </c>
      <c r="FO58" t="s">
        <v>31</v>
      </c>
      <c r="FP58" t="s">
        <v>31</v>
      </c>
      <c r="FQ58" t="s">
        <v>31</v>
      </c>
      <c r="FR58" t="s">
        <v>31</v>
      </c>
      <c r="FS58" s="3">
        <v>12330</v>
      </c>
      <c r="FT58" s="3">
        <v>10800</v>
      </c>
      <c r="FU58" s="3">
        <v>1530</v>
      </c>
      <c r="FV58">
        <v>12.41</v>
      </c>
      <c r="FW58" s="3">
        <v>12330</v>
      </c>
      <c r="FX58" s="3">
        <v>10800</v>
      </c>
      <c r="FY58" s="3">
        <v>1530</v>
      </c>
      <c r="FZ58">
        <v>12.41</v>
      </c>
      <c r="GE58" s="3">
        <v>128.63</v>
      </c>
      <c r="GG58" s="3">
        <v>12330</v>
      </c>
      <c r="GI58" t="s">
        <v>120</v>
      </c>
      <c r="GL58" t="s">
        <v>121</v>
      </c>
      <c r="GM58" t="s">
        <v>122</v>
      </c>
      <c r="GN58" t="s">
        <v>123</v>
      </c>
      <c r="GS58" t="str">
        <f>""</f>
        <v/>
      </c>
      <c r="GT58" t="str">
        <f>""</f>
        <v/>
      </c>
      <c r="HF58" t="str">
        <f>""</f>
        <v/>
      </c>
      <c r="HK58" t="str">
        <f>""</f>
        <v/>
      </c>
      <c r="HN58" t="s">
        <v>38</v>
      </c>
      <c r="HP58" t="str">
        <f>""</f>
        <v/>
      </c>
      <c r="HZ58" t="str">
        <f>""</f>
        <v/>
      </c>
      <c r="IA58" t="str">
        <f>HYPERLINK("https://web.datatree.com/?/property?propertyId=128795206")</f>
        <v>https://web.datatree.com/?/property?propertyId=128795206</v>
      </c>
    </row>
    <row r="59" spans="1:235" x14ac:dyDescent="0.3">
      <c r="A59" t="s">
        <v>165</v>
      </c>
      <c r="D59" t="s">
        <v>165</v>
      </c>
      <c r="E59" t="s">
        <v>84</v>
      </c>
      <c r="F59">
        <v>1</v>
      </c>
      <c r="G59" t="s">
        <v>166</v>
      </c>
      <c r="H59" t="s">
        <v>167</v>
      </c>
      <c r="I59" t="s">
        <v>167</v>
      </c>
      <c r="J59" t="s">
        <v>168</v>
      </c>
      <c r="K59" t="s">
        <v>3</v>
      </c>
      <c r="L59">
        <v>1</v>
      </c>
      <c r="O59" t="s">
        <v>169</v>
      </c>
      <c r="P59" t="s">
        <v>170</v>
      </c>
      <c r="T59" t="s">
        <v>5</v>
      </c>
      <c r="V59" t="s">
        <v>148</v>
      </c>
      <c r="W59">
        <v>101</v>
      </c>
      <c r="Z59" t="s">
        <v>171</v>
      </c>
      <c r="AA59" t="s">
        <v>105</v>
      </c>
      <c r="AC59" t="s">
        <v>106</v>
      </c>
      <c r="AE59" t="s">
        <v>8</v>
      </c>
      <c r="AF59" t="str">
        <f>"78140"</f>
        <v>78140</v>
      </c>
      <c r="AG59" t="str">
        <f>"78140-2875"</f>
        <v>78140-2875</v>
      </c>
      <c r="AH59" t="s">
        <v>2</v>
      </c>
      <c r="AI59" t="s">
        <v>172</v>
      </c>
      <c r="AJ59" t="s">
        <v>173</v>
      </c>
      <c r="AK59" t="s">
        <v>174</v>
      </c>
      <c r="AL59" t="s">
        <v>148</v>
      </c>
      <c r="AM59">
        <v>103</v>
      </c>
      <c r="AP59" t="s">
        <v>171</v>
      </c>
      <c r="AQ59" t="s">
        <v>105</v>
      </c>
      <c r="AS59" t="s">
        <v>106</v>
      </c>
      <c r="AT59" t="s">
        <v>106</v>
      </c>
      <c r="AU59" t="s">
        <v>8</v>
      </c>
      <c r="AV59" t="str">
        <f>"78140-2875"</f>
        <v>78140-2875</v>
      </c>
      <c r="AW59" t="s">
        <v>172</v>
      </c>
      <c r="AX59" t="s">
        <v>175</v>
      </c>
      <c r="AY59" t="s">
        <v>176</v>
      </c>
      <c r="AZ59" t="s">
        <v>18</v>
      </c>
      <c r="BA59" t="s">
        <v>177</v>
      </c>
      <c r="BB59" t="str">
        <f>"15750"</f>
        <v>15750</v>
      </c>
      <c r="BC59" t="str">
        <f>"15750"</f>
        <v>15750</v>
      </c>
      <c r="BD59" t="str">
        <f>"171619580000001000000"</f>
        <v>171619580000001000000</v>
      </c>
      <c r="BE59">
        <v>48177</v>
      </c>
      <c r="BG59">
        <v>500</v>
      </c>
      <c r="BH59">
        <v>2097</v>
      </c>
      <c r="BI59" t="s">
        <v>20</v>
      </c>
      <c r="BN59">
        <v>29.260410061014301</v>
      </c>
      <c r="BO59">
        <v>-97.763161848073295</v>
      </c>
      <c r="BP59" t="s">
        <v>115</v>
      </c>
      <c r="BX59" t="s">
        <v>22</v>
      </c>
      <c r="CA59" t="str">
        <f>""</f>
        <v/>
      </c>
      <c r="CD59">
        <v>0</v>
      </c>
      <c r="CO59">
        <v>0</v>
      </c>
      <c r="EA59" s="1">
        <v>1</v>
      </c>
      <c r="EC59" t="s">
        <v>23</v>
      </c>
      <c r="ED59" t="s">
        <v>24</v>
      </c>
      <c r="EE59" t="s">
        <v>25</v>
      </c>
      <c r="EG59">
        <v>42401</v>
      </c>
      <c r="EH59">
        <v>0.97</v>
      </c>
      <c r="EI59">
        <f t="shared" si="0"/>
        <v>22310</v>
      </c>
      <c r="EJ59">
        <f t="shared" si="1"/>
        <v>11155</v>
      </c>
      <c r="ER59">
        <v>1</v>
      </c>
      <c r="EW59" t="s">
        <v>26</v>
      </c>
      <c r="EX59" t="s">
        <v>116</v>
      </c>
      <c r="EY59" t="s">
        <v>117</v>
      </c>
      <c r="EZ59" s="2">
        <v>40515</v>
      </c>
      <c r="FA59" t="s">
        <v>118</v>
      </c>
      <c r="FB59" t="str">
        <f>"FALSE"</f>
        <v>FALSE</v>
      </c>
      <c r="FC59">
        <v>2019</v>
      </c>
      <c r="FD59">
        <v>2016</v>
      </c>
      <c r="FE59" t="s">
        <v>119</v>
      </c>
      <c r="FF59" t="s">
        <v>31</v>
      </c>
      <c r="FG59" t="s">
        <v>31</v>
      </c>
      <c r="FH59" t="s">
        <v>31</v>
      </c>
      <c r="FI59" t="s">
        <v>31</v>
      </c>
      <c r="FJ59" t="s">
        <v>31</v>
      </c>
      <c r="FK59" t="s">
        <v>31</v>
      </c>
      <c r="FL59" t="s">
        <v>31</v>
      </c>
      <c r="FM59" t="s">
        <v>31</v>
      </c>
      <c r="FN59" t="s">
        <v>31</v>
      </c>
      <c r="FO59" t="s">
        <v>31</v>
      </c>
      <c r="FP59" t="s">
        <v>31</v>
      </c>
      <c r="FQ59" t="s">
        <v>31</v>
      </c>
      <c r="FR59" t="s">
        <v>31</v>
      </c>
      <c r="FS59" s="3">
        <v>12970</v>
      </c>
      <c r="FT59" s="3">
        <v>12820</v>
      </c>
      <c r="FU59" s="3">
        <v>150</v>
      </c>
      <c r="FV59">
        <v>1.1599999999999999</v>
      </c>
      <c r="FW59" s="3">
        <v>12970</v>
      </c>
      <c r="FX59" s="3">
        <v>12820</v>
      </c>
      <c r="FY59" s="3">
        <v>150</v>
      </c>
      <c r="FZ59">
        <v>1.1599999999999999</v>
      </c>
      <c r="GE59" s="3">
        <v>173.09</v>
      </c>
      <c r="GG59" s="3">
        <v>12970</v>
      </c>
      <c r="GI59" t="s">
        <v>120</v>
      </c>
      <c r="GL59" t="s">
        <v>121</v>
      </c>
      <c r="GM59" t="s">
        <v>122</v>
      </c>
      <c r="GN59" t="s">
        <v>123</v>
      </c>
      <c r="GS59" t="str">
        <f>""</f>
        <v/>
      </c>
      <c r="GT59" t="str">
        <f>""</f>
        <v/>
      </c>
      <c r="HF59" t="str">
        <f>""</f>
        <v/>
      </c>
      <c r="HK59" t="str">
        <f>""</f>
        <v/>
      </c>
      <c r="HN59" t="s">
        <v>38</v>
      </c>
      <c r="HP59" t="str">
        <f>""</f>
        <v/>
      </c>
      <c r="HZ59" t="str">
        <f>""</f>
        <v/>
      </c>
      <c r="IA59" t="str">
        <f>HYPERLINK("https://web.datatree.com/?/property?propertyId=128794323")</f>
        <v>https://web.datatree.com/?/property?propertyId=128794323</v>
      </c>
    </row>
    <row r="60" spans="1:235" x14ac:dyDescent="0.3">
      <c r="A60" t="s">
        <v>329</v>
      </c>
      <c r="D60" t="s">
        <v>329</v>
      </c>
      <c r="E60" t="s">
        <v>84</v>
      </c>
      <c r="F60">
        <v>10</v>
      </c>
      <c r="O60" t="s">
        <v>329</v>
      </c>
      <c r="P60" t="s">
        <v>329</v>
      </c>
      <c r="R60" t="s">
        <v>85</v>
      </c>
      <c r="T60" t="s">
        <v>55</v>
      </c>
      <c r="W60">
        <v>1912</v>
      </c>
      <c r="Z60" t="s">
        <v>280</v>
      </c>
      <c r="AA60" t="s">
        <v>7</v>
      </c>
      <c r="AC60" t="s">
        <v>2</v>
      </c>
      <c r="AE60" t="s">
        <v>8</v>
      </c>
      <c r="AF60" t="str">
        <f>"78629"</f>
        <v>78629</v>
      </c>
      <c r="AG60" t="str">
        <f>"78629-6037"</f>
        <v>78629-6037</v>
      </c>
      <c r="AH60" t="s">
        <v>2</v>
      </c>
      <c r="AI60" t="s">
        <v>330</v>
      </c>
      <c r="AJ60" t="s">
        <v>331</v>
      </c>
      <c r="AK60" t="s">
        <v>332</v>
      </c>
      <c r="AP60" t="s">
        <v>333</v>
      </c>
      <c r="AS60" t="s">
        <v>2</v>
      </c>
      <c r="AT60" t="s">
        <v>2</v>
      </c>
      <c r="AU60" t="s">
        <v>8</v>
      </c>
      <c r="AV60" t="str">
        <f>"78629"</f>
        <v>78629</v>
      </c>
      <c r="AW60" t="s">
        <v>307</v>
      </c>
      <c r="AX60" t="s">
        <v>334</v>
      </c>
      <c r="AY60" t="s">
        <v>335</v>
      </c>
      <c r="AZ60" t="s">
        <v>18</v>
      </c>
      <c r="BA60" t="s">
        <v>336</v>
      </c>
      <c r="BB60" t="str">
        <f>"12808"</f>
        <v>12808</v>
      </c>
      <c r="BC60" t="str">
        <f>"12808"</f>
        <v>12808</v>
      </c>
      <c r="BD60" t="str">
        <f>"163207007003000000000"</f>
        <v>163207007003000000000</v>
      </c>
      <c r="BE60">
        <v>48177</v>
      </c>
      <c r="BG60">
        <v>400</v>
      </c>
      <c r="BH60">
        <v>1014</v>
      </c>
      <c r="BN60">
        <v>29.5160746157426</v>
      </c>
      <c r="BO60">
        <v>-97.462994846533306</v>
      </c>
      <c r="BP60" t="s">
        <v>337</v>
      </c>
      <c r="BX60" t="s">
        <v>22</v>
      </c>
      <c r="CA60" t="str">
        <f>"3"</f>
        <v>3</v>
      </c>
      <c r="CB60">
        <v>7</v>
      </c>
      <c r="CD60">
        <v>0</v>
      </c>
      <c r="CO60">
        <v>0</v>
      </c>
      <c r="EA60" s="1">
        <v>1</v>
      </c>
      <c r="EC60" t="s">
        <v>23</v>
      </c>
      <c r="ED60" t="s">
        <v>24</v>
      </c>
      <c r="EE60" t="s">
        <v>25</v>
      </c>
      <c r="EG60">
        <v>4312</v>
      </c>
      <c r="EH60">
        <v>0.99</v>
      </c>
      <c r="EI60">
        <f t="shared" si="0"/>
        <v>22770</v>
      </c>
      <c r="EJ60">
        <f t="shared" si="1"/>
        <v>11385</v>
      </c>
      <c r="EK60">
        <v>43</v>
      </c>
      <c r="EL60">
        <v>100</v>
      </c>
      <c r="EW60" t="s">
        <v>26</v>
      </c>
      <c r="EX60" t="s">
        <v>27</v>
      </c>
      <c r="EY60" t="s">
        <v>28</v>
      </c>
      <c r="EZ60" s="2">
        <v>40515</v>
      </c>
      <c r="FA60" t="s">
        <v>29</v>
      </c>
      <c r="FB60" t="str">
        <f>"FALSE"</f>
        <v>FALSE</v>
      </c>
      <c r="FC60">
        <v>2019</v>
      </c>
      <c r="FD60">
        <v>2016</v>
      </c>
      <c r="FE60" t="s">
        <v>30</v>
      </c>
      <c r="FF60" t="s">
        <v>31</v>
      </c>
      <c r="FG60" t="s">
        <v>31</v>
      </c>
      <c r="FH60" t="s">
        <v>31</v>
      </c>
      <c r="FI60" t="s">
        <v>31</v>
      </c>
      <c r="FJ60" t="s">
        <v>31</v>
      </c>
      <c r="FK60" t="s">
        <v>31</v>
      </c>
      <c r="FL60" t="s">
        <v>31</v>
      </c>
      <c r="FM60" t="s">
        <v>31</v>
      </c>
      <c r="FN60" t="s">
        <v>31</v>
      </c>
      <c r="FO60" t="s">
        <v>31</v>
      </c>
      <c r="FP60" t="s">
        <v>31</v>
      </c>
      <c r="FQ60" t="s">
        <v>31</v>
      </c>
      <c r="FR60" t="s">
        <v>31</v>
      </c>
      <c r="FS60" s="3">
        <v>11880</v>
      </c>
      <c r="FT60" s="3">
        <v>11880</v>
      </c>
      <c r="FW60" s="3">
        <v>11880</v>
      </c>
      <c r="FX60" s="3">
        <v>11880</v>
      </c>
      <c r="GE60" s="3">
        <v>263.5</v>
      </c>
      <c r="GG60" s="3">
        <v>11880</v>
      </c>
      <c r="GI60" t="s">
        <v>32</v>
      </c>
      <c r="GL60" t="s">
        <v>33</v>
      </c>
      <c r="GM60" t="s">
        <v>34</v>
      </c>
      <c r="GN60" t="s">
        <v>35</v>
      </c>
      <c r="GS60" t="str">
        <f>""</f>
        <v/>
      </c>
      <c r="GT60" t="str">
        <f>""</f>
        <v/>
      </c>
      <c r="GV60" s="2">
        <v>38310</v>
      </c>
      <c r="GW60" s="3">
        <v>0</v>
      </c>
      <c r="GY60" t="s">
        <v>36</v>
      </c>
      <c r="GZ60" t="s">
        <v>37</v>
      </c>
      <c r="HF60" t="str">
        <f>""</f>
        <v/>
      </c>
      <c r="HK60" t="str">
        <f>""</f>
        <v/>
      </c>
      <c r="HN60" t="s">
        <v>38</v>
      </c>
      <c r="HP60" t="str">
        <f>"0009140563"</f>
        <v>0009140563</v>
      </c>
      <c r="HZ60" t="str">
        <f>""</f>
        <v/>
      </c>
      <c r="IA60" t="str">
        <f>HYPERLINK("https://web.datatree.com/?/property?propertyId=128791779")</f>
        <v>https://web.datatree.com/?/property?propertyId=128791779</v>
      </c>
    </row>
    <row r="61" spans="1:235" x14ac:dyDescent="0.3">
      <c r="A61" t="s">
        <v>379</v>
      </c>
      <c r="B61" t="s">
        <v>380</v>
      </c>
      <c r="C61" t="s">
        <v>381</v>
      </c>
      <c r="D61" t="s">
        <v>382</v>
      </c>
      <c r="E61" t="s">
        <v>3</v>
      </c>
      <c r="F61">
        <v>5</v>
      </c>
      <c r="G61" t="s">
        <v>383</v>
      </c>
      <c r="H61" t="s">
        <v>384</v>
      </c>
      <c r="I61" t="s">
        <v>384</v>
      </c>
      <c r="J61" t="s">
        <v>382</v>
      </c>
      <c r="K61" t="s">
        <v>3</v>
      </c>
      <c r="L61">
        <v>4</v>
      </c>
      <c r="O61" t="s">
        <v>385</v>
      </c>
      <c r="P61" t="s">
        <v>386</v>
      </c>
      <c r="T61" t="s">
        <v>5</v>
      </c>
      <c r="W61">
        <v>2016</v>
      </c>
      <c r="Z61" t="s">
        <v>280</v>
      </c>
      <c r="AA61" t="s">
        <v>7</v>
      </c>
      <c r="AC61" t="s">
        <v>2</v>
      </c>
      <c r="AE61" t="s">
        <v>8</v>
      </c>
      <c r="AF61" t="str">
        <f>"78629"</f>
        <v>78629</v>
      </c>
      <c r="AG61" t="str">
        <f>"78629-6038"</f>
        <v>78629-6038</v>
      </c>
      <c r="AH61" t="s">
        <v>2</v>
      </c>
      <c r="AI61" t="s">
        <v>330</v>
      </c>
      <c r="AJ61" t="s">
        <v>387</v>
      </c>
      <c r="AK61" t="s">
        <v>388</v>
      </c>
      <c r="AM61">
        <v>1503</v>
      </c>
      <c r="AP61" t="s">
        <v>389</v>
      </c>
      <c r="AQ61" t="s">
        <v>7</v>
      </c>
      <c r="AS61" t="s">
        <v>2</v>
      </c>
      <c r="AT61" t="s">
        <v>2</v>
      </c>
      <c r="AU61" t="s">
        <v>8</v>
      </c>
      <c r="AV61" t="str">
        <f>"78629-4717"</f>
        <v>78629-4717</v>
      </c>
      <c r="AW61" t="s">
        <v>9</v>
      </c>
      <c r="AX61" t="s">
        <v>390</v>
      </c>
      <c r="AY61" t="s">
        <v>391</v>
      </c>
      <c r="AZ61" t="s">
        <v>18</v>
      </c>
      <c r="BA61" t="s">
        <v>392</v>
      </c>
      <c r="BB61" t="str">
        <f>"12849"</f>
        <v>12849</v>
      </c>
      <c r="BC61" t="str">
        <f>"12849"</f>
        <v>12849</v>
      </c>
      <c r="BD61" t="str">
        <f>"163224504000200000000"</f>
        <v>163224504000200000000</v>
      </c>
      <c r="BE61">
        <v>48177</v>
      </c>
      <c r="BG61">
        <v>400</v>
      </c>
      <c r="BH61">
        <v>1002</v>
      </c>
      <c r="BN61">
        <v>29.5169230869259</v>
      </c>
      <c r="BO61">
        <v>-97.463374500703907</v>
      </c>
      <c r="BX61" t="s">
        <v>22</v>
      </c>
      <c r="CA61" t="str">
        <f>""</f>
        <v/>
      </c>
      <c r="CD61">
        <v>0</v>
      </c>
      <c r="CO61">
        <v>0</v>
      </c>
      <c r="EA61" s="1">
        <v>1</v>
      </c>
      <c r="EC61" t="s">
        <v>23</v>
      </c>
      <c r="ED61" t="s">
        <v>24</v>
      </c>
      <c r="EE61" t="s">
        <v>25</v>
      </c>
      <c r="EG61">
        <v>4312</v>
      </c>
      <c r="EH61">
        <v>0.99</v>
      </c>
      <c r="EI61">
        <f t="shared" si="0"/>
        <v>22770</v>
      </c>
      <c r="EJ61">
        <f t="shared" si="1"/>
        <v>11385</v>
      </c>
      <c r="EK61">
        <v>43</v>
      </c>
      <c r="EL61">
        <v>100</v>
      </c>
      <c r="EW61" t="s">
        <v>26</v>
      </c>
      <c r="EX61" t="s">
        <v>27</v>
      </c>
      <c r="EY61" t="s">
        <v>28</v>
      </c>
      <c r="EZ61" s="2">
        <v>40515</v>
      </c>
      <c r="FA61" t="s">
        <v>29</v>
      </c>
      <c r="FB61" t="str">
        <f>"FALSE"</f>
        <v>FALSE</v>
      </c>
      <c r="FC61">
        <v>2019</v>
      </c>
      <c r="FD61">
        <v>2016</v>
      </c>
      <c r="FE61" t="s">
        <v>30</v>
      </c>
      <c r="FF61" t="s">
        <v>31</v>
      </c>
      <c r="FG61" t="s">
        <v>31</v>
      </c>
      <c r="FH61" t="s">
        <v>31</v>
      </c>
      <c r="FI61" t="s">
        <v>31</v>
      </c>
      <c r="FJ61" t="s">
        <v>31</v>
      </c>
      <c r="FK61" t="s">
        <v>31</v>
      </c>
      <c r="FL61" t="s">
        <v>31</v>
      </c>
      <c r="FM61" t="s">
        <v>31</v>
      </c>
      <c r="FN61" t="s">
        <v>31</v>
      </c>
      <c r="FO61" t="s">
        <v>31</v>
      </c>
      <c r="FP61" t="s">
        <v>31</v>
      </c>
      <c r="FQ61" t="s">
        <v>31</v>
      </c>
      <c r="FR61" t="s">
        <v>31</v>
      </c>
      <c r="FS61" s="3">
        <v>11880</v>
      </c>
      <c r="FT61" s="3">
        <v>11880</v>
      </c>
      <c r="FW61" s="3">
        <v>11880</v>
      </c>
      <c r="FX61" s="3">
        <v>11880</v>
      </c>
      <c r="GE61" s="3">
        <v>263.5</v>
      </c>
      <c r="GG61" s="3">
        <v>11880</v>
      </c>
      <c r="GI61" t="s">
        <v>32</v>
      </c>
      <c r="GL61" t="s">
        <v>33</v>
      </c>
      <c r="GM61" t="s">
        <v>34</v>
      </c>
      <c r="GN61" t="s">
        <v>35</v>
      </c>
      <c r="GS61" t="str">
        <f>""</f>
        <v/>
      </c>
      <c r="GT61" t="str">
        <f>""</f>
        <v/>
      </c>
      <c r="GV61" s="2">
        <v>39982</v>
      </c>
      <c r="GW61" s="3">
        <v>0</v>
      </c>
      <c r="GY61" t="s">
        <v>36</v>
      </c>
      <c r="GZ61" t="s">
        <v>37</v>
      </c>
      <c r="HF61" t="str">
        <f>""</f>
        <v/>
      </c>
      <c r="HK61" t="str">
        <f>""</f>
        <v/>
      </c>
      <c r="HN61" t="s">
        <v>38</v>
      </c>
      <c r="HP61" t="str">
        <f>"0010050535"</f>
        <v>0010050535</v>
      </c>
      <c r="HZ61" t="str">
        <f>""</f>
        <v/>
      </c>
      <c r="IA61" t="str">
        <f>HYPERLINK("https://web.datatree.com/?/property?propertyId=128791824")</f>
        <v>https://web.datatree.com/?/property?propertyId=128791824</v>
      </c>
    </row>
    <row r="62" spans="1:235" x14ac:dyDescent="0.3">
      <c r="A62" t="s">
        <v>365</v>
      </c>
      <c r="B62" t="s">
        <v>366</v>
      </c>
      <c r="C62" t="s">
        <v>367</v>
      </c>
      <c r="D62" t="s">
        <v>368</v>
      </c>
      <c r="E62" t="s">
        <v>3</v>
      </c>
      <c r="F62">
        <v>1</v>
      </c>
      <c r="O62" t="s">
        <v>369</v>
      </c>
      <c r="P62" t="s">
        <v>365</v>
      </c>
      <c r="S62" t="s">
        <v>370</v>
      </c>
      <c r="T62" t="s">
        <v>55</v>
      </c>
      <c r="Z62" t="s">
        <v>371</v>
      </c>
      <c r="AC62" t="s">
        <v>2</v>
      </c>
      <c r="AE62" t="s">
        <v>8</v>
      </c>
      <c r="AF62" t="str">
        <f>"78629"</f>
        <v>78629</v>
      </c>
      <c r="AG62" t="str">
        <f>"78629"</f>
        <v>78629</v>
      </c>
      <c r="AH62" t="s">
        <v>2</v>
      </c>
      <c r="AJ62" t="s">
        <v>372</v>
      </c>
      <c r="AK62" t="s">
        <v>373</v>
      </c>
      <c r="AL62" t="s">
        <v>109</v>
      </c>
      <c r="AM62">
        <v>2243</v>
      </c>
      <c r="AP62" t="s">
        <v>374</v>
      </c>
      <c r="AQ62" t="s">
        <v>7</v>
      </c>
      <c r="AS62" t="s">
        <v>241</v>
      </c>
      <c r="AT62" t="s">
        <v>241</v>
      </c>
      <c r="AU62" t="s">
        <v>8</v>
      </c>
      <c r="AV62" t="str">
        <f>"78202-3008"</f>
        <v>78202-3008</v>
      </c>
      <c r="AW62" t="s">
        <v>375</v>
      </c>
      <c r="AX62" t="s">
        <v>376</v>
      </c>
      <c r="AY62" t="s">
        <v>377</v>
      </c>
      <c r="AZ62" t="s">
        <v>18</v>
      </c>
      <c r="BA62" t="s">
        <v>378</v>
      </c>
      <c r="BB62" t="str">
        <f>"12848"</f>
        <v>12848</v>
      </c>
      <c r="BC62" t="str">
        <f>"12848"</f>
        <v>12848</v>
      </c>
      <c r="BD62" t="str">
        <f>"163224004000800000000"</f>
        <v>163224004000800000000</v>
      </c>
      <c r="BE62">
        <v>48177</v>
      </c>
      <c r="BG62">
        <v>400</v>
      </c>
      <c r="BH62">
        <v>2001</v>
      </c>
      <c r="BN62">
        <v>29.517033950355898</v>
      </c>
      <c r="BO62">
        <v>-97.463423073941797</v>
      </c>
      <c r="BX62" t="s">
        <v>22</v>
      </c>
      <c r="CA62" t="str">
        <f>"1"</f>
        <v>1</v>
      </c>
      <c r="CB62">
        <v>4</v>
      </c>
      <c r="CD62">
        <v>0</v>
      </c>
      <c r="CO62">
        <v>0</v>
      </c>
      <c r="EA62" s="1">
        <v>1</v>
      </c>
      <c r="EC62" t="s">
        <v>23</v>
      </c>
      <c r="ED62" t="s">
        <v>24</v>
      </c>
      <c r="EE62" t="s">
        <v>25</v>
      </c>
      <c r="EG62">
        <v>4312</v>
      </c>
      <c r="EH62">
        <v>0.99</v>
      </c>
      <c r="EI62">
        <f t="shared" si="0"/>
        <v>22770</v>
      </c>
      <c r="EJ62">
        <f t="shared" si="1"/>
        <v>11385</v>
      </c>
      <c r="EK62">
        <v>43</v>
      </c>
      <c r="EL62">
        <v>100</v>
      </c>
      <c r="EW62" t="s">
        <v>26</v>
      </c>
      <c r="EX62" t="s">
        <v>27</v>
      </c>
      <c r="EY62" t="s">
        <v>28</v>
      </c>
      <c r="EZ62" s="2">
        <v>40515</v>
      </c>
      <c r="FA62" t="s">
        <v>29</v>
      </c>
      <c r="FB62" t="str">
        <f>"FALSE"</f>
        <v>FALSE</v>
      </c>
      <c r="FC62">
        <v>2019</v>
      </c>
      <c r="FD62">
        <v>2016</v>
      </c>
      <c r="FE62" t="s">
        <v>30</v>
      </c>
      <c r="FF62" t="s">
        <v>31</v>
      </c>
      <c r="FG62" t="s">
        <v>31</v>
      </c>
      <c r="FH62" t="s">
        <v>31</v>
      </c>
      <c r="FI62" t="s">
        <v>31</v>
      </c>
      <c r="FJ62" t="s">
        <v>31</v>
      </c>
      <c r="FK62" t="s">
        <v>31</v>
      </c>
      <c r="FL62" t="s">
        <v>31</v>
      </c>
      <c r="FM62" t="s">
        <v>31</v>
      </c>
      <c r="FN62" t="s">
        <v>31</v>
      </c>
      <c r="FO62" t="s">
        <v>31</v>
      </c>
      <c r="FP62" t="s">
        <v>31</v>
      </c>
      <c r="FQ62" t="s">
        <v>31</v>
      </c>
      <c r="FR62" t="s">
        <v>31</v>
      </c>
      <c r="FS62" s="3">
        <v>11880</v>
      </c>
      <c r="FT62" s="3">
        <v>11880</v>
      </c>
      <c r="FW62" s="3">
        <v>11880</v>
      </c>
      <c r="FX62" s="3">
        <v>11880</v>
      </c>
      <c r="GE62" s="3">
        <v>263.5</v>
      </c>
      <c r="GG62" s="3">
        <v>11880</v>
      </c>
      <c r="GI62" t="s">
        <v>32</v>
      </c>
      <c r="GL62" t="s">
        <v>33</v>
      </c>
      <c r="GM62" t="s">
        <v>34</v>
      </c>
      <c r="GN62" t="s">
        <v>35</v>
      </c>
      <c r="GS62" t="str">
        <f>""</f>
        <v/>
      </c>
      <c r="GT62" t="str">
        <f>""</f>
        <v/>
      </c>
      <c r="GV62" s="2">
        <v>39084</v>
      </c>
      <c r="GW62" s="3">
        <v>0</v>
      </c>
      <c r="GY62" t="s">
        <v>36</v>
      </c>
      <c r="GZ62" t="s">
        <v>37</v>
      </c>
      <c r="HF62" t="str">
        <f>""</f>
        <v/>
      </c>
      <c r="HK62" t="str">
        <f>""</f>
        <v/>
      </c>
      <c r="HN62" t="s">
        <v>38</v>
      </c>
      <c r="HP62" t="str">
        <f>"0009560128"</f>
        <v>0009560128</v>
      </c>
      <c r="HZ62" t="str">
        <f>""</f>
        <v/>
      </c>
      <c r="IA62" t="str">
        <f>HYPERLINK("https://web.datatree.com/?/property?propertyId=128791823")</f>
        <v>https://web.datatree.com/?/property?propertyId=128791823</v>
      </c>
    </row>
    <row r="63" spans="1:235" x14ac:dyDescent="0.3">
      <c r="A63" t="s">
        <v>1520</v>
      </c>
      <c r="B63" t="s">
        <v>1521</v>
      </c>
      <c r="C63" t="s">
        <v>1522</v>
      </c>
      <c r="D63" t="s">
        <v>1457</v>
      </c>
      <c r="E63" t="s">
        <v>3</v>
      </c>
      <c r="F63">
        <v>11</v>
      </c>
      <c r="G63" t="s">
        <v>1523</v>
      </c>
      <c r="H63" t="s">
        <v>1524</v>
      </c>
      <c r="I63" t="s">
        <v>1524</v>
      </c>
      <c r="J63" t="s">
        <v>1457</v>
      </c>
      <c r="K63" t="s">
        <v>3</v>
      </c>
      <c r="L63">
        <v>11</v>
      </c>
      <c r="O63" t="s">
        <v>1525</v>
      </c>
      <c r="P63" t="s">
        <v>1526</v>
      </c>
      <c r="T63" t="s">
        <v>5</v>
      </c>
      <c r="W63">
        <v>1100</v>
      </c>
      <c r="Z63" t="s">
        <v>284</v>
      </c>
      <c r="AA63" t="s">
        <v>7</v>
      </c>
      <c r="AC63" t="s">
        <v>2</v>
      </c>
      <c r="AE63" t="s">
        <v>8</v>
      </c>
      <c r="AF63" t="str">
        <f>"78629"</f>
        <v>78629</v>
      </c>
      <c r="AG63" t="str">
        <f>"78629"</f>
        <v>78629</v>
      </c>
      <c r="AH63" t="s">
        <v>2</v>
      </c>
      <c r="AJ63" t="s">
        <v>1527</v>
      </c>
      <c r="AK63" t="s">
        <v>1528</v>
      </c>
      <c r="AM63">
        <v>620</v>
      </c>
      <c r="AP63" t="s">
        <v>1529</v>
      </c>
      <c r="AQ63" t="s">
        <v>7</v>
      </c>
      <c r="AS63" t="s">
        <v>2</v>
      </c>
      <c r="AT63" t="s">
        <v>2</v>
      </c>
      <c r="AU63" t="s">
        <v>8</v>
      </c>
      <c r="AV63" t="str">
        <f>"78629-4050"</f>
        <v>78629-4050</v>
      </c>
      <c r="AW63" t="s">
        <v>281</v>
      </c>
      <c r="AX63" t="s">
        <v>1530</v>
      </c>
      <c r="AY63" t="s">
        <v>1531</v>
      </c>
      <c r="AZ63" t="s">
        <v>18</v>
      </c>
      <c r="BA63" t="s">
        <v>1532</v>
      </c>
      <c r="BB63" t="str">
        <f>"12755"</f>
        <v>12755</v>
      </c>
      <c r="BC63" t="str">
        <f>"12755"</f>
        <v>12755</v>
      </c>
      <c r="BD63" t="str">
        <f>"163048500000450000000"</f>
        <v>163048500000450000000</v>
      </c>
      <c r="BE63">
        <v>48177</v>
      </c>
      <c r="BG63">
        <v>400</v>
      </c>
      <c r="BH63">
        <v>2001</v>
      </c>
      <c r="BI63" t="s">
        <v>20</v>
      </c>
      <c r="BN63">
        <v>29.505133301698301</v>
      </c>
      <c r="BO63">
        <v>-97.443448888005804</v>
      </c>
      <c r="BX63" t="s">
        <v>22</v>
      </c>
      <c r="CA63" t="str">
        <f>""</f>
        <v/>
      </c>
      <c r="CD63">
        <v>0</v>
      </c>
      <c r="CO63">
        <v>0</v>
      </c>
      <c r="EA63" s="1">
        <v>1</v>
      </c>
      <c r="EC63" t="s">
        <v>23</v>
      </c>
      <c r="ED63" t="s">
        <v>24</v>
      </c>
      <c r="EE63" t="s">
        <v>25</v>
      </c>
      <c r="EG63">
        <v>43364</v>
      </c>
      <c r="EH63">
        <v>1</v>
      </c>
      <c r="EI63">
        <v>35000</v>
      </c>
      <c r="EJ63">
        <f t="shared" si="1"/>
        <v>17500</v>
      </c>
      <c r="EK63">
        <v>130.1</v>
      </c>
      <c r="EL63">
        <v>333.3</v>
      </c>
      <c r="EW63" t="s">
        <v>26</v>
      </c>
      <c r="EX63" t="s">
        <v>27</v>
      </c>
      <c r="EY63" t="s">
        <v>28</v>
      </c>
      <c r="EZ63" s="2">
        <v>40515</v>
      </c>
      <c r="FA63" t="s">
        <v>29</v>
      </c>
      <c r="FB63" t="str">
        <f>"FALSE"</f>
        <v>FALSE</v>
      </c>
      <c r="FC63">
        <v>2019</v>
      </c>
      <c r="FD63">
        <v>2016</v>
      </c>
      <c r="FE63" t="s">
        <v>30</v>
      </c>
      <c r="FF63" t="s">
        <v>31</v>
      </c>
      <c r="FG63" t="s">
        <v>31</v>
      </c>
      <c r="FH63" t="s">
        <v>31</v>
      </c>
      <c r="FI63" t="s">
        <v>31</v>
      </c>
      <c r="FJ63" t="s">
        <v>31</v>
      </c>
      <c r="FK63" t="s">
        <v>31</v>
      </c>
      <c r="FL63" t="s">
        <v>31</v>
      </c>
      <c r="FM63" t="s">
        <v>31</v>
      </c>
      <c r="FN63" t="s">
        <v>31</v>
      </c>
      <c r="FO63" t="s">
        <v>31</v>
      </c>
      <c r="FP63" t="s">
        <v>31</v>
      </c>
      <c r="FQ63" t="s">
        <v>31</v>
      </c>
      <c r="FR63" t="s">
        <v>31</v>
      </c>
      <c r="FS63" s="3">
        <v>17080</v>
      </c>
      <c r="FT63" s="3">
        <v>17080</v>
      </c>
      <c r="FW63" s="3">
        <v>17080</v>
      </c>
      <c r="FX63" s="3">
        <v>17080</v>
      </c>
      <c r="GE63" s="3">
        <v>378.83</v>
      </c>
      <c r="GG63" s="3">
        <v>17080</v>
      </c>
      <c r="GI63" t="s">
        <v>32</v>
      </c>
      <c r="GL63" t="s">
        <v>273</v>
      </c>
      <c r="GM63" t="s">
        <v>34</v>
      </c>
      <c r="GN63" t="s">
        <v>35</v>
      </c>
      <c r="GS63" t="str">
        <f>""</f>
        <v/>
      </c>
      <c r="GT63" t="str">
        <f>""</f>
        <v/>
      </c>
      <c r="GV63" s="2">
        <v>39149</v>
      </c>
      <c r="GW63" s="3">
        <v>0</v>
      </c>
      <c r="GY63" t="s">
        <v>36</v>
      </c>
      <c r="GZ63" t="s">
        <v>37</v>
      </c>
      <c r="HF63" t="str">
        <f>""</f>
        <v/>
      </c>
      <c r="HK63" t="str">
        <f>""</f>
        <v/>
      </c>
      <c r="HN63" t="s">
        <v>38</v>
      </c>
      <c r="HP63" t="str">
        <f>"0009600007"</f>
        <v>0009600007</v>
      </c>
      <c r="HZ63" t="str">
        <f>""</f>
        <v/>
      </c>
      <c r="IA63" t="str">
        <f>HYPERLINK("https://web.datatree.com/?/property?propertyId=128791724")</f>
        <v>https://web.datatree.com/?/property?propertyId=128791724</v>
      </c>
    </row>
    <row r="64" spans="1:235" x14ac:dyDescent="0.3">
      <c r="A64" t="s">
        <v>1042</v>
      </c>
      <c r="B64" t="s">
        <v>1043</v>
      </c>
      <c r="C64" t="s">
        <v>52</v>
      </c>
      <c r="D64" t="s">
        <v>1044</v>
      </c>
      <c r="E64" t="s">
        <v>3</v>
      </c>
      <c r="F64">
        <v>2</v>
      </c>
      <c r="G64" t="s">
        <v>1045</v>
      </c>
      <c r="H64" t="s">
        <v>1046</v>
      </c>
      <c r="I64" t="s">
        <v>1046</v>
      </c>
      <c r="J64" t="s">
        <v>1044</v>
      </c>
      <c r="K64" t="s">
        <v>3</v>
      </c>
      <c r="L64">
        <v>2</v>
      </c>
      <c r="O64" t="s">
        <v>1047</v>
      </c>
      <c r="P64" t="s">
        <v>1048</v>
      </c>
      <c r="T64" t="s">
        <v>55</v>
      </c>
      <c r="V64" t="s">
        <v>109</v>
      </c>
      <c r="W64">
        <v>14650</v>
      </c>
      <c r="Z64" t="s">
        <v>487</v>
      </c>
      <c r="AC64" t="s">
        <v>72</v>
      </c>
      <c r="AE64" t="s">
        <v>8</v>
      </c>
      <c r="AF64" t="str">
        <f>"78959"</f>
        <v>78959</v>
      </c>
      <c r="AG64" t="str">
        <f>"78959-5190"</f>
        <v>78959-5190</v>
      </c>
      <c r="AH64" t="s">
        <v>2</v>
      </c>
      <c r="AI64" t="s">
        <v>152</v>
      </c>
      <c r="AJ64" t="s">
        <v>1049</v>
      </c>
      <c r="AK64" t="s">
        <v>1050</v>
      </c>
      <c r="AP64" t="s">
        <v>1051</v>
      </c>
      <c r="AS64" t="s">
        <v>72</v>
      </c>
      <c r="AU64" t="s">
        <v>8</v>
      </c>
      <c r="AV64" t="str">
        <f>"78959"</f>
        <v>78959</v>
      </c>
      <c r="AW64" t="s">
        <v>436</v>
      </c>
      <c r="AX64" t="s">
        <v>1052</v>
      </c>
      <c r="AY64" t="s">
        <v>1053</v>
      </c>
      <c r="AZ64" t="s">
        <v>18</v>
      </c>
      <c r="BA64" t="s">
        <v>1054</v>
      </c>
      <c r="BB64" t="str">
        <f>"7253"</f>
        <v>7253</v>
      </c>
      <c r="BC64" t="str">
        <f>"7253"</f>
        <v>7253</v>
      </c>
      <c r="BD64" t="str">
        <f>"130308000000000000000"</f>
        <v>130308000000000000000</v>
      </c>
      <c r="BE64">
        <v>48177</v>
      </c>
      <c r="BG64">
        <v>100</v>
      </c>
      <c r="BH64">
        <v>2107</v>
      </c>
      <c r="BN64">
        <v>29.685427850086398</v>
      </c>
      <c r="BO64">
        <v>-97.302648476147994</v>
      </c>
      <c r="BP64" t="s">
        <v>1055</v>
      </c>
      <c r="BX64" t="s">
        <v>22</v>
      </c>
      <c r="CA64" t="str">
        <f>"1"</f>
        <v>1</v>
      </c>
      <c r="CB64">
        <v>1</v>
      </c>
      <c r="CC64">
        <v>548</v>
      </c>
      <c r="CD64">
        <v>548</v>
      </c>
      <c r="CH64">
        <v>548</v>
      </c>
      <c r="CJ64">
        <v>1940</v>
      </c>
      <c r="CO64">
        <v>0</v>
      </c>
      <c r="EA64" s="1">
        <v>1</v>
      </c>
      <c r="EC64" t="s">
        <v>23</v>
      </c>
      <c r="ED64" t="s">
        <v>24</v>
      </c>
      <c r="EE64" t="s">
        <v>25</v>
      </c>
      <c r="EG64">
        <v>43560</v>
      </c>
      <c r="EH64">
        <v>1</v>
      </c>
      <c r="EI64">
        <v>35000</v>
      </c>
      <c r="EJ64">
        <f t="shared" si="1"/>
        <v>17500</v>
      </c>
      <c r="ER64">
        <v>1</v>
      </c>
      <c r="EW64" t="s">
        <v>26</v>
      </c>
      <c r="EX64" t="s">
        <v>1040</v>
      </c>
      <c r="EY64" t="s">
        <v>1041</v>
      </c>
      <c r="EZ64" s="2">
        <v>40515</v>
      </c>
      <c r="FA64" t="s">
        <v>143</v>
      </c>
      <c r="FB64" t="str">
        <f>"FALSE"</f>
        <v>FALSE</v>
      </c>
      <c r="FC64">
        <v>2019</v>
      </c>
      <c r="FD64">
        <v>2016</v>
      </c>
      <c r="FE64" t="s">
        <v>205</v>
      </c>
      <c r="FF64" t="s">
        <v>31</v>
      </c>
      <c r="FG64" t="s">
        <v>31</v>
      </c>
      <c r="FH64" t="s">
        <v>31</v>
      </c>
      <c r="FI64" t="s">
        <v>31</v>
      </c>
      <c r="FJ64" t="s">
        <v>31</v>
      </c>
      <c r="FK64" t="s">
        <v>31</v>
      </c>
      <c r="FL64" t="s">
        <v>31</v>
      </c>
      <c r="FM64" t="s">
        <v>31</v>
      </c>
      <c r="FN64" t="s">
        <v>31</v>
      </c>
      <c r="FO64" t="s">
        <v>31</v>
      </c>
      <c r="FP64" t="s">
        <v>31</v>
      </c>
      <c r="FQ64" t="s">
        <v>31</v>
      </c>
      <c r="FR64" t="s">
        <v>31</v>
      </c>
      <c r="FS64" s="3">
        <v>15100</v>
      </c>
      <c r="FT64" s="3">
        <v>14810</v>
      </c>
      <c r="FU64" s="3">
        <v>290</v>
      </c>
      <c r="FV64">
        <v>1.92</v>
      </c>
      <c r="FW64" s="3">
        <v>15100</v>
      </c>
      <c r="FX64" s="3">
        <v>14810</v>
      </c>
      <c r="FY64" s="3">
        <v>290</v>
      </c>
      <c r="FZ64">
        <v>1.92</v>
      </c>
      <c r="GE64" s="3">
        <v>335.48</v>
      </c>
      <c r="GG64" s="3">
        <v>15100</v>
      </c>
      <c r="GI64" t="s">
        <v>206</v>
      </c>
      <c r="GL64" t="s">
        <v>207</v>
      </c>
      <c r="GM64" t="s">
        <v>207</v>
      </c>
      <c r="GN64" t="s">
        <v>207</v>
      </c>
      <c r="GS64" t="str">
        <f>""</f>
        <v/>
      </c>
      <c r="GT64" t="str">
        <f>""</f>
        <v/>
      </c>
      <c r="GV64" s="2">
        <v>40670</v>
      </c>
      <c r="GW64" s="3">
        <v>0</v>
      </c>
      <c r="GY64" t="s">
        <v>36</v>
      </c>
      <c r="GZ64" t="s">
        <v>37</v>
      </c>
      <c r="HA64" s="3">
        <v>0</v>
      </c>
      <c r="HF64" t="str">
        <f>""</f>
        <v/>
      </c>
      <c r="HK64" t="str">
        <f>""</f>
        <v/>
      </c>
      <c r="HN64" t="s">
        <v>38</v>
      </c>
      <c r="HP64" t="str">
        <f>"0010520101"</f>
        <v>0010520101</v>
      </c>
      <c r="HZ64" t="str">
        <f>""</f>
        <v/>
      </c>
      <c r="IA64" t="str">
        <f>HYPERLINK("https://web.datatree.com/?/property?propertyId=128804328")</f>
        <v>https://web.datatree.com/?/property?propertyId=128804328</v>
      </c>
    </row>
    <row r="65" spans="1:235" x14ac:dyDescent="0.3">
      <c r="A65" t="s">
        <v>2068</v>
      </c>
      <c r="B65" t="s">
        <v>2069</v>
      </c>
      <c r="C65" t="s">
        <v>2070</v>
      </c>
      <c r="D65" t="s">
        <v>2071</v>
      </c>
      <c r="E65" t="s">
        <v>3</v>
      </c>
      <c r="F65">
        <v>2</v>
      </c>
      <c r="O65" t="s">
        <v>2072</v>
      </c>
      <c r="P65" t="s">
        <v>2068</v>
      </c>
      <c r="T65" t="s">
        <v>5</v>
      </c>
      <c r="V65" t="s">
        <v>52</v>
      </c>
      <c r="W65">
        <v>213</v>
      </c>
      <c r="Z65" t="s">
        <v>2073</v>
      </c>
      <c r="AC65" t="s">
        <v>72</v>
      </c>
      <c r="AE65" t="s">
        <v>8</v>
      </c>
      <c r="AF65" t="str">
        <f>"78959"</f>
        <v>78959</v>
      </c>
      <c r="AG65" t="str">
        <f>"78959"</f>
        <v>78959</v>
      </c>
      <c r="AH65" t="s">
        <v>2</v>
      </c>
      <c r="AJ65" t="s">
        <v>2074</v>
      </c>
      <c r="AK65" t="s">
        <v>2075</v>
      </c>
      <c r="AM65">
        <v>1915</v>
      </c>
      <c r="AP65" t="s">
        <v>2076</v>
      </c>
      <c r="AQ65" t="s">
        <v>77</v>
      </c>
      <c r="AS65" t="s">
        <v>374</v>
      </c>
      <c r="AT65" t="s">
        <v>374</v>
      </c>
      <c r="AU65" t="s">
        <v>8</v>
      </c>
      <c r="AV65" t="str">
        <f>"77055-1821"</f>
        <v>77055-1821</v>
      </c>
      <c r="AW65" t="s">
        <v>1887</v>
      </c>
      <c r="AX65" t="s">
        <v>2077</v>
      </c>
      <c r="AY65" t="s">
        <v>2078</v>
      </c>
      <c r="AZ65" t="s">
        <v>18</v>
      </c>
      <c r="BA65" t="s">
        <v>1238</v>
      </c>
      <c r="BB65" t="str">
        <f>"9123"</f>
        <v>9123</v>
      </c>
      <c r="BC65" t="str">
        <f>"9123"</f>
        <v>9123</v>
      </c>
      <c r="BD65" t="str">
        <f>"141525500000000000000"</f>
        <v>141525500000000000000</v>
      </c>
      <c r="BE65">
        <v>48177</v>
      </c>
      <c r="BG65">
        <v>100</v>
      </c>
      <c r="BH65">
        <v>2028</v>
      </c>
      <c r="BN65">
        <v>29.687865509131299</v>
      </c>
      <c r="BO65">
        <v>-97.291989946436502</v>
      </c>
      <c r="BX65" t="s">
        <v>22</v>
      </c>
      <c r="CA65" t="str">
        <f>""</f>
        <v/>
      </c>
      <c r="CD65">
        <v>0</v>
      </c>
      <c r="CO65">
        <v>0</v>
      </c>
      <c r="EA65" s="1">
        <v>1</v>
      </c>
      <c r="EC65" t="s">
        <v>23</v>
      </c>
      <c r="ED65" t="s">
        <v>24</v>
      </c>
      <c r="EE65" t="s">
        <v>25</v>
      </c>
      <c r="EG65">
        <v>43560</v>
      </c>
      <c r="EH65">
        <v>1</v>
      </c>
      <c r="EI65">
        <v>35000</v>
      </c>
      <c r="EJ65">
        <f t="shared" si="1"/>
        <v>17500</v>
      </c>
      <c r="ER65">
        <v>1</v>
      </c>
      <c r="EW65" t="s">
        <v>26</v>
      </c>
      <c r="EX65" t="s">
        <v>202</v>
      </c>
      <c r="EY65" t="s">
        <v>203</v>
      </c>
      <c r="EZ65" s="2">
        <v>40515</v>
      </c>
      <c r="FA65" t="s">
        <v>204</v>
      </c>
      <c r="FB65" t="str">
        <f>"FALSE"</f>
        <v>FALSE</v>
      </c>
      <c r="FC65">
        <v>2019</v>
      </c>
      <c r="FD65">
        <v>2016</v>
      </c>
      <c r="FE65" t="s">
        <v>205</v>
      </c>
      <c r="FF65" t="s">
        <v>31</v>
      </c>
      <c r="FG65" t="s">
        <v>31</v>
      </c>
      <c r="FH65" t="s">
        <v>31</v>
      </c>
      <c r="FI65" t="s">
        <v>31</v>
      </c>
      <c r="FJ65" t="s">
        <v>31</v>
      </c>
      <c r="FK65" t="s">
        <v>31</v>
      </c>
      <c r="FL65" t="s">
        <v>31</v>
      </c>
      <c r="FM65" t="s">
        <v>31</v>
      </c>
      <c r="FN65" t="s">
        <v>31</v>
      </c>
      <c r="FO65" t="s">
        <v>31</v>
      </c>
      <c r="FP65" t="s">
        <v>31</v>
      </c>
      <c r="FQ65" t="s">
        <v>31</v>
      </c>
      <c r="FR65" t="s">
        <v>31</v>
      </c>
      <c r="FS65" s="3">
        <v>14870</v>
      </c>
      <c r="FT65" s="3">
        <v>14810</v>
      </c>
      <c r="FU65" s="3">
        <v>60</v>
      </c>
      <c r="FV65">
        <v>0.4</v>
      </c>
      <c r="FW65" s="3">
        <v>14870</v>
      </c>
      <c r="FX65" s="3">
        <v>14810</v>
      </c>
      <c r="FY65" s="3">
        <v>60</v>
      </c>
      <c r="FZ65">
        <v>0.4</v>
      </c>
      <c r="GE65" s="3">
        <v>330.37</v>
      </c>
      <c r="GG65" s="3">
        <v>14870</v>
      </c>
      <c r="GI65" t="s">
        <v>206</v>
      </c>
      <c r="GL65" t="s">
        <v>207</v>
      </c>
      <c r="GM65" t="s">
        <v>207</v>
      </c>
      <c r="GN65" t="s">
        <v>207</v>
      </c>
      <c r="GS65" t="str">
        <f>""</f>
        <v/>
      </c>
      <c r="GT65" t="str">
        <f>""</f>
        <v/>
      </c>
      <c r="GV65" s="2">
        <v>36996</v>
      </c>
      <c r="GW65" s="3">
        <v>0</v>
      </c>
      <c r="GY65" t="s">
        <v>36</v>
      </c>
      <c r="GZ65" t="s">
        <v>37</v>
      </c>
      <c r="HF65" t="str">
        <f>""</f>
        <v/>
      </c>
      <c r="HK65" t="str">
        <f>""</f>
        <v/>
      </c>
      <c r="HN65" t="s">
        <v>38</v>
      </c>
      <c r="HP65" t="str">
        <f>"0008470496"</f>
        <v>0008470496</v>
      </c>
      <c r="HZ65" t="str">
        <f>""</f>
        <v/>
      </c>
      <c r="IA65" t="str">
        <f>HYPERLINK("https://web.datatree.com/?/property?propertyId=128806204")</f>
        <v>https://web.datatree.com/?/property?propertyId=128806204</v>
      </c>
    </row>
    <row r="66" spans="1:235" x14ac:dyDescent="0.3">
      <c r="A66" t="s">
        <v>2079</v>
      </c>
      <c r="B66" t="s">
        <v>2080</v>
      </c>
      <c r="C66" t="s">
        <v>2081</v>
      </c>
      <c r="D66" t="s">
        <v>2082</v>
      </c>
      <c r="E66" t="s">
        <v>3</v>
      </c>
      <c r="F66">
        <v>1</v>
      </c>
      <c r="O66" t="s">
        <v>2083</v>
      </c>
      <c r="P66" t="s">
        <v>2079</v>
      </c>
      <c r="T66" t="s">
        <v>55</v>
      </c>
      <c r="W66">
        <v>236</v>
      </c>
      <c r="Z66" t="s">
        <v>227</v>
      </c>
      <c r="AC66" t="s">
        <v>2</v>
      </c>
      <c r="AE66" t="s">
        <v>8</v>
      </c>
      <c r="AF66" t="str">
        <f>"78629"</f>
        <v>78629</v>
      </c>
      <c r="AG66" t="str">
        <f>"78629"</f>
        <v>78629</v>
      </c>
      <c r="AH66" t="s">
        <v>2</v>
      </c>
      <c r="AJ66" t="s">
        <v>2084</v>
      </c>
      <c r="AK66" t="s">
        <v>2085</v>
      </c>
      <c r="AM66">
        <v>1677</v>
      </c>
      <c r="AP66" t="s">
        <v>2086</v>
      </c>
      <c r="AQ66" t="s">
        <v>73</v>
      </c>
      <c r="AS66" t="s">
        <v>2087</v>
      </c>
      <c r="AU66" t="s">
        <v>8</v>
      </c>
      <c r="AV66" t="str">
        <f>"78940-5658"</f>
        <v>78940-5658</v>
      </c>
      <c r="AW66" t="s">
        <v>2088</v>
      </c>
      <c r="AX66" t="s">
        <v>2089</v>
      </c>
      <c r="AY66" t="s">
        <v>2090</v>
      </c>
      <c r="AZ66" t="s">
        <v>18</v>
      </c>
      <c r="BA66" t="s">
        <v>2091</v>
      </c>
      <c r="BB66" t="str">
        <f>"977"</f>
        <v>977</v>
      </c>
      <c r="BC66" t="str">
        <f>"977"</f>
        <v>977</v>
      </c>
      <c r="BD66" t="str">
        <f>"102536000000000000000"</f>
        <v>102536000000000000000</v>
      </c>
      <c r="BE66">
        <v>48177</v>
      </c>
      <c r="BG66">
        <v>400</v>
      </c>
      <c r="BH66">
        <v>2001</v>
      </c>
      <c r="BN66">
        <v>29.564184293956298</v>
      </c>
      <c r="BO66">
        <v>-97.475975840963301</v>
      </c>
      <c r="BX66" t="s">
        <v>22</v>
      </c>
      <c r="CA66" t="str">
        <f>""</f>
        <v/>
      </c>
      <c r="CD66">
        <v>0</v>
      </c>
      <c r="CO66">
        <v>0</v>
      </c>
      <c r="EA66" s="1">
        <v>1</v>
      </c>
      <c r="EC66" t="s">
        <v>23</v>
      </c>
      <c r="ED66" t="s">
        <v>24</v>
      </c>
      <c r="EE66" t="s">
        <v>25</v>
      </c>
      <c r="EG66">
        <v>43560</v>
      </c>
      <c r="EH66">
        <v>1</v>
      </c>
      <c r="EI66">
        <v>35000</v>
      </c>
      <c r="EJ66">
        <f t="shared" si="1"/>
        <v>17500</v>
      </c>
      <c r="EW66" t="s">
        <v>26</v>
      </c>
      <c r="EX66" t="s">
        <v>1223</v>
      </c>
      <c r="EY66" t="s">
        <v>1224</v>
      </c>
      <c r="EZ66" s="2">
        <v>40515</v>
      </c>
      <c r="FA66" t="s">
        <v>143</v>
      </c>
      <c r="FB66" t="str">
        <f>"FALSE"</f>
        <v>FALSE</v>
      </c>
      <c r="FC66">
        <v>2019</v>
      </c>
      <c r="FD66">
        <v>2016</v>
      </c>
      <c r="FE66" t="s">
        <v>30</v>
      </c>
      <c r="FF66" t="s">
        <v>31</v>
      </c>
      <c r="FG66" t="s">
        <v>31</v>
      </c>
      <c r="FH66" t="s">
        <v>31</v>
      </c>
      <c r="FI66" t="s">
        <v>31</v>
      </c>
      <c r="FJ66" t="s">
        <v>31</v>
      </c>
      <c r="FK66" t="s">
        <v>31</v>
      </c>
      <c r="FL66" t="s">
        <v>31</v>
      </c>
      <c r="FM66" t="s">
        <v>31</v>
      </c>
      <c r="FN66" t="s">
        <v>31</v>
      </c>
      <c r="FO66" t="s">
        <v>31</v>
      </c>
      <c r="FP66" t="s">
        <v>31</v>
      </c>
      <c r="FQ66" t="s">
        <v>31</v>
      </c>
      <c r="FR66" t="s">
        <v>31</v>
      </c>
      <c r="FS66" s="3">
        <v>11680</v>
      </c>
      <c r="FT66" s="3">
        <v>11680</v>
      </c>
      <c r="FW66" s="3">
        <v>11680</v>
      </c>
      <c r="FX66" s="3">
        <v>11680</v>
      </c>
      <c r="GE66" s="3">
        <v>238.4</v>
      </c>
      <c r="GG66" s="3">
        <v>11680</v>
      </c>
      <c r="GI66" t="s">
        <v>32</v>
      </c>
      <c r="GL66" t="s">
        <v>33</v>
      </c>
      <c r="GM66" t="s">
        <v>34</v>
      </c>
      <c r="GN66" t="s">
        <v>35</v>
      </c>
      <c r="GS66" t="str">
        <f>""</f>
        <v/>
      </c>
      <c r="GT66" t="str">
        <f>""</f>
        <v/>
      </c>
      <c r="HF66" t="str">
        <f>""</f>
        <v/>
      </c>
      <c r="HK66" t="str">
        <f>""</f>
        <v/>
      </c>
      <c r="HN66" t="s">
        <v>38</v>
      </c>
      <c r="HP66" t="str">
        <f>""</f>
        <v/>
      </c>
      <c r="HZ66" t="str">
        <f>""</f>
        <v/>
      </c>
      <c r="IA66" t="str">
        <f>HYPERLINK("https://web.datatree.com/?/property?propertyId=128806882")</f>
        <v>https://web.datatree.com/?/property?propertyId=128806882</v>
      </c>
    </row>
    <row r="67" spans="1:235" x14ac:dyDescent="0.3">
      <c r="A67" t="s">
        <v>2215</v>
      </c>
      <c r="B67" t="s">
        <v>2216</v>
      </c>
      <c r="C67" t="s">
        <v>2217</v>
      </c>
      <c r="D67" t="s">
        <v>2218</v>
      </c>
      <c r="E67" t="s">
        <v>3</v>
      </c>
      <c r="F67">
        <v>2</v>
      </c>
      <c r="O67" t="s">
        <v>2219</v>
      </c>
      <c r="P67" t="s">
        <v>2215</v>
      </c>
      <c r="T67" t="s">
        <v>55</v>
      </c>
      <c r="W67">
        <v>344</v>
      </c>
      <c r="Z67" t="s">
        <v>227</v>
      </c>
      <c r="AC67" t="s">
        <v>2</v>
      </c>
      <c r="AE67" t="s">
        <v>8</v>
      </c>
      <c r="AF67" t="str">
        <f>"78629"</f>
        <v>78629</v>
      </c>
      <c r="AG67" t="str">
        <f>"78629"</f>
        <v>78629</v>
      </c>
      <c r="AH67" t="s">
        <v>2</v>
      </c>
      <c r="AJ67" t="s">
        <v>2220</v>
      </c>
      <c r="AK67" t="s">
        <v>2221</v>
      </c>
      <c r="AM67">
        <v>682</v>
      </c>
      <c r="AP67" t="s">
        <v>345</v>
      </c>
      <c r="AS67" t="s">
        <v>2</v>
      </c>
      <c r="AU67" t="s">
        <v>8</v>
      </c>
      <c r="AV67" t="str">
        <f>"78629-6989"</f>
        <v>78629-6989</v>
      </c>
      <c r="AW67" t="s">
        <v>346</v>
      </c>
      <c r="AX67" t="s">
        <v>2222</v>
      </c>
      <c r="AY67" t="s">
        <v>2223</v>
      </c>
      <c r="AZ67" t="s">
        <v>18</v>
      </c>
      <c r="BA67" t="s">
        <v>2224</v>
      </c>
      <c r="BB67" t="str">
        <f>"28932"</f>
        <v>28932</v>
      </c>
      <c r="BC67" t="str">
        <f>"28932"</f>
        <v>28932</v>
      </c>
      <c r="BD67" t="str">
        <f>"13371-16000-00000-000000"</f>
        <v>13371-16000-00000-000000</v>
      </c>
      <c r="BE67">
        <v>48177</v>
      </c>
      <c r="BG67">
        <v>400</v>
      </c>
      <c r="BH67">
        <v>2001</v>
      </c>
      <c r="BN67">
        <v>29.507200000000001</v>
      </c>
      <c r="BO67">
        <v>-97.452100000000002</v>
      </c>
      <c r="CA67" t="str">
        <f>""</f>
        <v/>
      </c>
      <c r="CD67">
        <v>0</v>
      </c>
      <c r="CO67">
        <v>0</v>
      </c>
      <c r="CP67">
        <v>0</v>
      </c>
      <c r="EA67" s="1">
        <v>1</v>
      </c>
      <c r="EC67" t="s">
        <v>23</v>
      </c>
      <c r="EE67" t="s">
        <v>25</v>
      </c>
      <c r="EG67">
        <v>43560</v>
      </c>
      <c r="EH67">
        <v>1</v>
      </c>
      <c r="EI67">
        <v>35000</v>
      </c>
      <c r="EJ67">
        <f t="shared" ref="EJ67:EJ130" si="2">EI67/2</f>
        <v>17500</v>
      </c>
      <c r="FB67" t="str">
        <f>"UNKNOWN"</f>
        <v>UNKNOWN</v>
      </c>
      <c r="FC67">
        <v>2019</v>
      </c>
      <c r="FE67" t="s">
        <v>30</v>
      </c>
      <c r="FF67" t="s">
        <v>31</v>
      </c>
      <c r="FG67" t="s">
        <v>31</v>
      </c>
      <c r="FH67" t="s">
        <v>31</v>
      </c>
      <c r="FI67" t="s">
        <v>31</v>
      </c>
      <c r="FJ67" t="s">
        <v>31</v>
      </c>
      <c r="FK67" t="s">
        <v>31</v>
      </c>
      <c r="FL67" t="s">
        <v>31</v>
      </c>
      <c r="FM67" t="s">
        <v>31</v>
      </c>
      <c r="FN67" t="s">
        <v>31</v>
      </c>
      <c r="FO67" t="s">
        <v>31</v>
      </c>
      <c r="FP67" t="s">
        <v>31</v>
      </c>
      <c r="FQ67" t="s">
        <v>31</v>
      </c>
      <c r="FR67" t="s">
        <v>31</v>
      </c>
      <c r="FS67" s="3">
        <v>11680</v>
      </c>
      <c r="FT67" s="3">
        <v>11680</v>
      </c>
      <c r="FW67" s="3">
        <v>11680</v>
      </c>
      <c r="FX67" s="3">
        <v>11680</v>
      </c>
      <c r="GG67" s="3">
        <v>11680</v>
      </c>
      <c r="GS67" t="str">
        <f>""</f>
        <v/>
      </c>
      <c r="GT67" t="str">
        <f>""</f>
        <v/>
      </c>
      <c r="HF67" t="str">
        <f>""</f>
        <v/>
      </c>
      <c r="HK67" t="str">
        <f>""</f>
        <v/>
      </c>
      <c r="HN67" t="s">
        <v>38</v>
      </c>
      <c r="HP67" t="str">
        <f>""</f>
        <v/>
      </c>
      <c r="HZ67" t="str">
        <f>""</f>
        <v/>
      </c>
      <c r="IA67" t="str">
        <f>HYPERLINK("https://web.datatree.com/?/property?propertyId=228941255")</f>
        <v>https://web.datatree.com/?/property?propertyId=228941255</v>
      </c>
    </row>
    <row r="68" spans="1:235" x14ac:dyDescent="0.3">
      <c r="A68" t="s">
        <v>1904</v>
      </c>
      <c r="D68" t="s">
        <v>1904</v>
      </c>
      <c r="E68" t="s">
        <v>3</v>
      </c>
      <c r="F68">
        <v>1</v>
      </c>
      <c r="O68" t="s">
        <v>1905</v>
      </c>
      <c r="P68" t="s">
        <v>1904</v>
      </c>
      <c r="R68" t="s">
        <v>41</v>
      </c>
      <c r="T68" t="s">
        <v>55</v>
      </c>
      <c r="W68">
        <v>431</v>
      </c>
      <c r="Z68" t="s">
        <v>227</v>
      </c>
      <c r="AC68" t="s">
        <v>72</v>
      </c>
      <c r="AE68" t="s">
        <v>8</v>
      </c>
      <c r="AF68" t="str">
        <f>"78959"</f>
        <v>78959</v>
      </c>
      <c r="AG68" t="str">
        <f>"78959"</f>
        <v>78959</v>
      </c>
      <c r="AH68" t="s">
        <v>2</v>
      </c>
      <c r="AJ68" t="s">
        <v>1906</v>
      </c>
      <c r="AK68" t="s">
        <v>1907</v>
      </c>
      <c r="AM68">
        <v>7406</v>
      </c>
      <c r="AP68" t="s">
        <v>1908</v>
      </c>
      <c r="AQ68" t="s">
        <v>7</v>
      </c>
      <c r="AS68" t="s">
        <v>1670</v>
      </c>
      <c r="AT68" t="s">
        <v>1670</v>
      </c>
      <c r="AU68" t="s">
        <v>8</v>
      </c>
      <c r="AV68" t="str">
        <f>"75209-4025"</f>
        <v>75209-4025</v>
      </c>
      <c r="AW68" t="s">
        <v>1909</v>
      </c>
      <c r="AX68" t="s">
        <v>1910</v>
      </c>
      <c r="AY68" t="s">
        <v>1911</v>
      </c>
      <c r="AZ68" t="s">
        <v>18</v>
      </c>
      <c r="BA68" t="s">
        <v>1064</v>
      </c>
      <c r="BB68" t="str">
        <f>"7347"</f>
        <v>7347</v>
      </c>
      <c r="BC68" t="str">
        <f>"7347"</f>
        <v>7347</v>
      </c>
      <c r="BD68" t="str">
        <f>"130333500000000000000"</f>
        <v>130333500000000000000</v>
      </c>
      <c r="BE68">
        <v>48177</v>
      </c>
      <c r="BG68">
        <v>100</v>
      </c>
      <c r="BH68">
        <v>2028</v>
      </c>
      <c r="BN68">
        <v>29.691687494671498</v>
      </c>
      <c r="BO68">
        <v>-97.307016200792305</v>
      </c>
      <c r="BX68" t="s">
        <v>22</v>
      </c>
      <c r="CA68" t="str">
        <f>""</f>
        <v/>
      </c>
      <c r="CD68">
        <v>0</v>
      </c>
      <c r="CO68">
        <v>0</v>
      </c>
      <c r="EA68" s="1">
        <v>1</v>
      </c>
      <c r="EC68" t="s">
        <v>23</v>
      </c>
      <c r="ED68" t="s">
        <v>24</v>
      </c>
      <c r="EE68" t="s">
        <v>25</v>
      </c>
      <c r="EG68">
        <v>43560</v>
      </c>
      <c r="EH68">
        <v>1</v>
      </c>
      <c r="EI68">
        <v>35000</v>
      </c>
      <c r="EJ68">
        <f t="shared" si="2"/>
        <v>17500</v>
      </c>
      <c r="EW68" t="s">
        <v>26</v>
      </c>
      <c r="EX68" t="s">
        <v>202</v>
      </c>
      <c r="EY68" t="s">
        <v>203</v>
      </c>
      <c r="EZ68" s="2">
        <v>40515</v>
      </c>
      <c r="FA68" t="s">
        <v>204</v>
      </c>
      <c r="FB68" t="str">
        <f>"FALSE"</f>
        <v>FALSE</v>
      </c>
      <c r="FC68">
        <v>2019</v>
      </c>
      <c r="FD68">
        <v>2016</v>
      </c>
      <c r="FE68" t="s">
        <v>205</v>
      </c>
      <c r="FF68" t="s">
        <v>31</v>
      </c>
      <c r="FG68" t="s">
        <v>31</v>
      </c>
      <c r="FH68" t="s">
        <v>31</v>
      </c>
      <c r="FI68" t="s">
        <v>31</v>
      </c>
      <c r="FJ68" t="s">
        <v>31</v>
      </c>
      <c r="FK68" t="s">
        <v>31</v>
      </c>
      <c r="FL68" t="s">
        <v>31</v>
      </c>
      <c r="FM68" t="s">
        <v>31</v>
      </c>
      <c r="FN68" t="s">
        <v>31</v>
      </c>
      <c r="FO68" t="s">
        <v>31</v>
      </c>
      <c r="FP68" t="s">
        <v>31</v>
      </c>
      <c r="FQ68" t="s">
        <v>31</v>
      </c>
      <c r="FR68" t="s">
        <v>31</v>
      </c>
      <c r="FS68" s="3">
        <v>12580</v>
      </c>
      <c r="FT68" s="3">
        <v>12580</v>
      </c>
      <c r="FW68" s="3">
        <v>12580</v>
      </c>
      <c r="FX68" s="3">
        <v>12580</v>
      </c>
      <c r="GE68" s="3">
        <v>279.49</v>
      </c>
      <c r="GG68" s="3">
        <v>12580</v>
      </c>
      <c r="GI68" t="s">
        <v>206</v>
      </c>
      <c r="GL68" t="s">
        <v>207</v>
      </c>
      <c r="GM68" t="s">
        <v>207</v>
      </c>
      <c r="GN68" t="s">
        <v>207</v>
      </c>
      <c r="GS68" t="str">
        <f>""</f>
        <v/>
      </c>
      <c r="GT68" t="str">
        <f>""</f>
        <v/>
      </c>
      <c r="HF68" t="str">
        <f>""</f>
        <v/>
      </c>
      <c r="HK68" t="str">
        <f>""</f>
        <v/>
      </c>
      <c r="HN68" t="s">
        <v>38</v>
      </c>
      <c r="HP68" t="str">
        <f>""</f>
        <v/>
      </c>
      <c r="HZ68" t="str">
        <f>""</f>
        <v/>
      </c>
      <c r="IA68" t="str">
        <f>HYPERLINK("https://web.datatree.com/?/property?propertyId=128804421")</f>
        <v>https://web.datatree.com/?/property?propertyId=128804421</v>
      </c>
    </row>
    <row r="69" spans="1:235" x14ac:dyDescent="0.3">
      <c r="A69" t="s">
        <v>2103</v>
      </c>
      <c r="D69" t="s">
        <v>2103</v>
      </c>
      <c r="E69" t="s">
        <v>3</v>
      </c>
      <c r="F69">
        <v>1</v>
      </c>
      <c r="O69" t="s">
        <v>2104</v>
      </c>
      <c r="P69" t="s">
        <v>2103</v>
      </c>
      <c r="R69" t="s">
        <v>41</v>
      </c>
      <c r="T69" t="s">
        <v>55</v>
      </c>
      <c r="W69">
        <v>431</v>
      </c>
      <c r="Z69" t="s">
        <v>227</v>
      </c>
      <c r="AC69" t="s">
        <v>72</v>
      </c>
      <c r="AE69" t="s">
        <v>8</v>
      </c>
      <c r="AF69" t="str">
        <f>"78959"</f>
        <v>78959</v>
      </c>
      <c r="AG69" t="str">
        <f>"78959"</f>
        <v>78959</v>
      </c>
      <c r="AH69" t="s">
        <v>2</v>
      </c>
      <c r="AJ69" t="s">
        <v>1906</v>
      </c>
      <c r="AK69" t="s">
        <v>1907</v>
      </c>
      <c r="AS69" t="s">
        <v>2105</v>
      </c>
      <c r="AU69" t="s">
        <v>8</v>
      </c>
      <c r="AY69" t="s">
        <v>2106</v>
      </c>
      <c r="AZ69" t="s">
        <v>18</v>
      </c>
      <c r="BA69" t="s">
        <v>1064</v>
      </c>
      <c r="BB69" t="str">
        <f>"7300"</f>
        <v>7300</v>
      </c>
      <c r="BC69" t="str">
        <f>"7300"</f>
        <v>7300</v>
      </c>
      <c r="BD69" t="str">
        <f>"130321500000000000000"</f>
        <v>130321500000000000000</v>
      </c>
      <c r="BE69">
        <v>48177</v>
      </c>
      <c r="BG69">
        <v>100</v>
      </c>
      <c r="BH69">
        <v>2028</v>
      </c>
      <c r="BN69">
        <v>29.6912599640773</v>
      </c>
      <c r="BO69">
        <v>-97.307224626681602</v>
      </c>
      <c r="BX69" t="s">
        <v>22</v>
      </c>
      <c r="CA69" t="str">
        <f>""</f>
        <v/>
      </c>
      <c r="CD69">
        <v>0</v>
      </c>
      <c r="CO69">
        <v>0</v>
      </c>
      <c r="EA69" s="1">
        <v>1</v>
      </c>
      <c r="EC69" t="s">
        <v>23</v>
      </c>
      <c r="ED69" t="s">
        <v>24</v>
      </c>
      <c r="EE69" t="s">
        <v>25</v>
      </c>
      <c r="EG69">
        <v>43560</v>
      </c>
      <c r="EH69">
        <v>1</v>
      </c>
      <c r="EI69">
        <v>35000</v>
      </c>
      <c r="EJ69">
        <f t="shared" si="2"/>
        <v>17500</v>
      </c>
      <c r="EW69" t="s">
        <v>26</v>
      </c>
      <c r="EX69" t="s">
        <v>1223</v>
      </c>
      <c r="EY69" t="s">
        <v>1224</v>
      </c>
      <c r="EZ69" s="2">
        <v>40515</v>
      </c>
      <c r="FA69" t="s">
        <v>143</v>
      </c>
      <c r="FB69" t="str">
        <f>"FALSE"</f>
        <v>FALSE</v>
      </c>
      <c r="FC69">
        <v>2019</v>
      </c>
      <c r="FD69">
        <v>2016</v>
      </c>
      <c r="FE69" t="s">
        <v>205</v>
      </c>
      <c r="FF69" t="s">
        <v>31</v>
      </c>
      <c r="FG69" t="s">
        <v>31</v>
      </c>
      <c r="FH69" t="s">
        <v>31</v>
      </c>
      <c r="FI69" t="s">
        <v>31</v>
      </c>
      <c r="FJ69" t="s">
        <v>31</v>
      </c>
      <c r="FK69" t="s">
        <v>31</v>
      </c>
      <c r="FL69" t="s">
        <v>31</v>
      </c>
      <c r="FM69" t="s">
        <v>31</v>
      </c>
      <c r="FN69" t="s">
        <v>31</v>
      </c>
      <c r="FO69" t="s">
        <v>31</v>
      </c>
      <c r="FP69" t="s">
        <v>31</v>
      </c>
      <c r="FQ69" t="s">
        <v>31</v>
      </c>
      <c r="FR69" t="s">
        <v>31</v>
      </c>
      <c r="FS69" s="3">
        <v>12580</v>
      </c>
      <c r="FT69" s="3">
        <v>12580</v>
      </c>
      <c r="FW69" s="3">
        <v>12580</v>
      </c>
      <c r="FX69" s="3">
        <v>12580</v>
      </c>
      <c r="GE69" s="3">
        <v>279.49</v>
      </c>
      <c r="GG69" s="3">
        <v>12580</v>
      </c>
      <c r="GI69" t="s">
        <v>206</v>
      </c>
      <c r="GL69" t="s">
        <v>207</v>
      </c>
      <c r="GM69" t="s">
        <v>207</v>
      </c>
      <c r="GN69" t="s">
        <v>207</v>
      </c>
      <c r="GS69" t="str">
        <f>""</f>
        <v/>
      </c>
      <c r="GT69" t="str">
        <f>""</f>
        <v/>
      </c>
      <c r="HF69" t="str">
        <f>""</f>
        <v/>
      </c>
      <c r="HK69" t="str">
        <f>""</f>
        <v/>
      </c>
      <c r="HN69" t="s">
        <v>38</v>
      </c>
      <c r="HP69" t="str">
        <f>""</f>
        <v/>
      </c>
      <c r="HZ69" t="str">
        <f>""</f>
        <v/>
      </c>
      <c r="IA69" t="str">
        <f>HYPERLINK("https://web.datatree.com/?/property?propertyId=128804377")</f>
        <v>https://web.datatree.com/?/property?propertyId=128804377</v>
      </c>
    </row>
    <row r="70" spans="1:235" x14ac:dyDescent="0.3">
      <c r="A70" t="s">
        <v>2120</v>
      </c>
      <c r="B70" t="s">
        <v>2121</v>
      </c>
      <c r="C70" t="s">
        <v>2121</v>
      </c>
      <c r="D70" t="s">
        <v>2122</v>
      </c>
      <c r="E70" t="s">
        <v>3</v>
      </c>
      <c r="F70">
        <v>2</v>
      </c>
      <c r="O70" t="s">
        <v>2123</v>
      </c>
      <c r="P70" t="s">
        <v>2120</v>
      </c>
      <c r="T70" t="s">
        <v>137</v>
      </c>
      <c r="W70">
        <v>431</v>
      </c>
      <c r="Z70" t="s">
        <v>227</v>
      </c>
      <c r="AC70" t="s">
        <v>72</v>
      </c>
      <c r="AE70" t="s">
        <v>8</v>
      </c>
      <c r="AF70" t="str">
        <f>"78959"</f>
        <v>78959</v>
      </c>
      <c r="AG70" t="str">
        <f>"78959"</f>
        <v>78959</v>
      </c>
      <c r="AH70" t="s">
        <v>2</v>
      </c>
      <c r="AJ70" t="s">
        <v>1906</v>
      </c>
      <c r="AK70" t="s">
        <v>1907</v>
      </c>
      <c r="AP70" t="s">
        <v>2124</v>
      </c>
      <c r="AS70" t="s">
        <v>72</v>
      </c>
      <c r="AU70" t="s">
        <v>8</v>
      </c>
      <c r="AV70" t="str">
        <f>"78959"</f>
        <v>78959</v>
      </c>
      <c r="AW70" t="s">
        <v>1235</v>
      </c>
      <c r="AX70" t="s">
        <v>2125</v>
      </c>
      <c r="AY70" t="s">
        <v>2126</v>
      </c>
      <c r="AZ70" t="s">
        <v>18</v>
      </c>
      <c r="BA70" t="s">
        <v>2127</v>
      </c>
      <c r="BB70" t="str">
        <f>"7330"</f>
        <v>7330</v>
      </c>
      <c r="BC70" t="str">
        <f>"7330"</f>
        <v>7330</v>
      </c>
      <c r="BD70" t="str">
        <f>"130329000000000000000"</f>
        <v>130329000000000000000</v>
      </c>
      <c r="BE70">
        <v>48177</v>
      </c>
      <c r="BG70">
        <v>100</v>
      </c>
      <c r="BH70">
        <v>2028</v>
      </c>
      <c r="BN70">
        <v>29.6914806892988</v>
      </c>
      <c r="BO70">
        <v>-97.307077028332202</v>
      </c>
      <c r="BX70" t="s">
        <v>22</v>
      </c>
      <c r="CA70" t="str">
        <f>""</f>
        <v/>
      </c>
      <c r="CD70">
        <v>0</v>
      </c>
      <c r="CO70">
        <v>0</v>
      </c>
      <c r="EA70" s="1">
        <v>1</v>
      </c>
      <c r="EC70" t="s">
        <v>23</v>
      </c>
      <c r="ED70" t="s">
        <v>24</v>
      </c>
      <c r="EE70" t="s">
        <v>25</v>
      </c>
      <c r="EG70">
        <v>43560</v>
      </c>
      <c r="EH70">
        <v>1</v>
      </c>
      <c r="EI70">
        <v>35000</v>
      </c>
      <c r="EJ70">
        <f t="shared" si="2"/>
        <v>17500</v>
      </c>
      <c r="EW70" t="s">
        <v>5</v>
      </c>
      <c r="EX70" t="s">
        <v>1223</v>
      </c>
      <c r="EY70" t="s">
        <v>1224</v>
      </c>
      <c r="EZ70" s="2">
        <v>40515</v>
      </c>
      <c r="FA70" t="s">
        <v>143</v>
      </c>
      <c r="FB70" t="str">
        <f>"TRUE"</f>
        <v>TRUE</v>
      </c>
      <c r="FC70">
        <v>2019</v>
      </c>
      <c r="FD70">
        <v>2016</v>
      </c>
      <c r="FE70" t="s">
        <v>205</v>
      </c>
      <c r="FF70" t="s">
        <v>31</v>
      </c>
      <c r="FG70" t="s">
        <v>520</v>
      </c>
      <c r="FH70" t="s">
        <v>31</v>
      </c>
      <c r="FI70" t="s">
        <v>31</v>
      </c>
      <c r="FJ70" t="s">
        <v>31</v>
      </c>
      <c r="FK70" t="s">
        <v>31</v>
      </c>
      <c r="FL70" t="s">
        <v>31</v>
      </c>
      <c r="FM70" t="s">
        <v>31</v>
      </c>
      <c r="FN70" t="s">
        <v>31</v>
      </c>
      <c r="FO70" t="s">
        <v>31</v>
      </c>
      <c r="FP70" t="s">
        <v>31</v>
      </c>
      <c r="FQ70" t="s">
        <v>31</v>
      </c>
      <c r="FR70" t="s">
        <v>31</v>
      </c>
      <c r="FS70" s="3">
        <v>12580</v>
      </c>
      <c r="FT70" s="3">
        <v>12580</v>
      </c>
      <c r="FW70" s="3">
        <v>12580</v>
      </c>
      <c r="FX70" s="3">
        <v>12580</v>
      </c>
      <c r="GE70" s="3">
        <v>279.49</v>
      </c>
      <c r="GG70" s="3">
        <v>12580</v>
      </c>
      <c r="GI70" t="s">
        <v>206</v>
      </c>
      <c r="GL70" t="s">
        <v>207</v>
      </c>
      <c r="GM70" t="s">
        <v>207</v>
      </c>
      <c r="GN70" t="s">
        <v>207</v>
      </c>
      <c r="GS70" t="str">
        <f>""</f>
        <v/>
      </c>
      <c r="GT70" t="str">
        <f>""</f>
        <v/>
      </c>
      <c r="GV70" s="2">
        <v>38807</v>
      </c>
      <c r="GW70" s="3">
        <v>0</v>
      </c>
      <c r="GY70" t="s">
        <v>36</v>
      </c>
      <c r="GZ70" t="s">
        <v>37</v>
      </c>
      <c r="HF70" t="str">
        <f>""</f>
        <v/>
      </c>
      <c r="HK70" t="str">
        <f>""</f>
        <v/>
      </c>
      <c r="HN70" t="s">
        <v>38</v>
      </c>
      <c r="HP70" t="str">
        <f>"0009410307"</f>
        <v>0009410307</v>
      </c>
      <c r="HZ70" t="str">
        <f>""</f>
        <v/>
      </c>
      <c r="IA70" t="str">
        <f>HYPERLINK("https://web.datatree.com/?/property?propertyId=128804406")</f>
        <v>https://web.datatree.com/?/property?propertyId=128804406</v>
      </c>
    </row>
    <row r="71" spans="1:235" x14ac:dyDescent="0.3">
      <c r="A71" t="s">
        <v>2234</v>
      </c>
      <c r="B71" t="s">
        <v>2235</v>
      </c>
      <c r="C71" t="s">
        <v>2236</v>
      </c>
      <c r="D71" t="s">
        <v>2237</v>
      </c>
      <c r="E71" t="s">
        <v>3</v>
      </c>
      <c r="F71">
        <v>2</v>
      </c>
      <c r="G71" t="s">
        <v>2238</v>
      </c>
      <c r="H71" t="s">
        <v>2239</v>
      </c>
      <c r="I71" t="s">
        <v>2239</v>
      </c>
      <c r="J71" t="s">
        <v>540</v>
      </c>
      <c r="K71" t="s">
        <v>3</v>
      </c>
      <c r="L71">
        <v>1</v>
      </c>
      <c r="O71" t="s">
        <v>2240</v>
      </c>
      <c r="P71" t="s">
        <v>2241</v>
      </c>
      <c r="T71" t="s">
        <v>137</v>
      </c>
      <c r="V71" t="s">
        <v>52</v>
      </c>
      <c r="W71">
        <v>500</v>
      </c>
      <c r="Z71" t="s">
        <v>104</v>
      </c>
      <c r="AA71" t="s">
        <v>105</v>
      </c>
      <c r="AC71" t="s">
        <v>106</v>
      </c>
      <c r="AE71" t="s">
        <v>8</v>
      </c>
      <c r="AF71" t="str">
        <f>"78140"</f>
        <v>78140</v>
      </c>
      <c r="AG71" t="str">
        <f>"78140-2928"</f>
        <v>78140-2928</v>
      </c>
      <c r="AH71" t="s">
        <v>2</v>
      </c>
      <c r="AI71" t="s">
        <v>111</v>
      </c>
      <c r="AJ71" t="s">
        <v>2242</v>
      </c>
      <c r="AK71" t="s">
        <v>2243</v>
      </c>
      <c r="AL71" t="s">
        <v>52</v>
      </c>
      <c r="AM71">
        <v>500</v>
      </c>
      <c r="AP71" t="s">
        <v>104</v>
      </c>
      <c r="AQ71" t="s">
        <v>105</v>
      </c>
      <c r="AS71" t="s">
        <v>106</v>
      </c>
      <c r="AU71" t="s">
        <v>8</v>
      </c>
      <c r="AV71" t="str">
        <f>"78140-2928"</f>
        <v>78140-2928</v>
      </c>
      <c r="AW71" t="s">
        <v>111</v>
      </c>
      <c r="AX71" t="s">
        <v>2242</v>
      </c>
      <c r="AY71" t="s">
        <v>2244</v>
      </c>
      <c r="BA71" t="s">
        <v>2245</v>
      </c>
      <c r="BB71" t="str">
        <f>"28610"</f>
        <v>28610</v>
      </c>
      <c r="BC71" t="str">
        <f>"28610"</f>
        <v>28610</v>
      </c>
      <c r="BD71" t="str">
        <f>"17160-10650-10051-000000"</f>
        <v>17160-10650-10051-000000</v>
      </c>
      <c r="BE71">
        <v>48177</v>
      </c>
      <c r="BG71">
        <v>500</v>
      </c>
      <c r="BH71">
        <v>2089</v>
      </c>
      <c r="BI71" t="s">
        <v>20</v>
      </c>
      <c r="BN71">
        <v>29.264390041604901</v>
      </c>
      <c r="BO71">
        <v>-97.759742381879505</v>
      </c>
      <c r="BQ71">
        <v>1</v>
      </c>
      <c r="CA71" t="str">
        <f>""</f>
        <v/>
      </c>
      <c r="CD71">
        <v>0</v>
      </c>
      <c r="CO71">
        <v>0</v>
      </c>
      <c r="CP71">
        <v>0</v>
      </c>
      <c r="EA71" s="1">
        <v>1</v>
      </c>
      <c r="EC71" t="s">
        <v>23</v>
      </c>
      <c r="EE71" t="s">
        <v>25</v>
      </c>
      <c r="EG71">
        <v>43560</v>
      </c>
      <c r="EH71">
        <v>1</v>
      </c>
      <c r="EI71">
        <v>35000</v>
      </c>
      <c r="EJ71">
        <f t="shared" si="2"/>
        <v>17500</v>
      </c>
      <c r="FB71" t="str">
        <f>"UNKNOWN"</f>
        <v>UNKNOWN</v>
      </c>
      <c r="FC71">
        <v>2019</v>
      </c>
      <c r="FD71">
        <v>2016</v>
      </c>
      <c r="FE71" t="s">
        <v>119</v>
      </c>
      <c r="FF71" t="s">
        <v>31</v>
      </c>
      <c r="FG71" t="s">
        <v>31</v>
      </c>
      <c r="FH71" t="s">
        <v>31</v>
      </c>
      <c r="FI71" t="s">
        <v>31</v>
      </c>
      <c r="FJ71" t="s">
        <v>31</v>
      </c>
      <c r="FK71" t="s">
        <v>31</v>
      </c>
      <c r="FL71" t="s">
        <v>31</v>
      </c>
      <c r="FM71" t="s">
        <v>31</v>
      </c>
      <c r="FN71" t="s">
        <v>31</v>
      </c>
      <c r="FO71" t="s">
        <v>31</v>
      </c>
      <c r="FP71" t="s">
        <v>31</v>
      </c>
      <c r="FQ71" t="s">
        <v>31</v>
      </c>
      <c r="FR71" t="s">
        <v>31</v>
      </c>
      <c r="FS71" s="3">
        <v>11190</v>
      </c>
      <c r="FT71" s="3">
        <v>11190</v>
      </c>
      <c r="FW71" s="3">
        <v>11190</v>
      </c>
      <c r="FX71" s="3">
        <v>11190</v>
      </c>
      <c r="GG71" s="3">
        <v>11190</v>
      </c>
      <c r="GI71" t="s">
        <v>120</v>
      </c>
      <c r="GL71" t="s">
        <v>121</v>
      </c>
      <c r="GM71" t="s">
        <v>122</v>
      </c>
      <c r="GN71" t="s">
        <v>123</v>
      </c>
      <c r="GS71" t="str">
        <f>""</f>
        <v/>
      </c>
      <c r="GT71" t="str">
        <f>""</f>
        <v/>
      </c>
      <c r="HF71" t="str">
        <f>""</f>
        <v/>
      </c>
      <c r="HK71" t="str">
        <f>""</f>
        <v/>
      </c>
      <c r="HN71" t="s">
        <v>38</v>
      </c>
      <c r="HP71" t="str">
        <f>""</f>
        <v/>
      </c>
      <c r="HZ71" t="str">
        <f>""</f>
        <v/>
      </c>
      <c r="IA71" t="str">
        <f>HYPERLINK("https://web.datatree.com/?/property?propertyId=226042488")</f>
        <v>https://web.datatree.com/?/property?propertyId=226042488</v>
      </c>
    </row>
    <row r="72" spans="1:235" x14ac:dyDescent="0.3">
      <c r="A72" t="s">
        <v>2128</v>
      </c>
      <c r="B72" t="s">
        <v>2129</v>
      </c>
      <c r="C72" t="s">
        <v>2130</v>
      </c>
      <c r="D72" t="s">
        <v>2131</v>
      </c>
      <c r="E72" t="s">
        <v>3</v>
      </c>
      <c r="F72">
        <v>2</v>
      </c>
      <c r="G72" t="s">
        <v>2132</v>
      </c>
      <c r="H72" t="s">
        <v>2133</v>
      </c>
      <c r="I72" t="s">
        <v>698</v>
      </c>
      <c r="J72" t="s">
        <v>2131</v>
      </c>
      <c r="K72" t="s">
        <v>3</v>
      </c>
      <c r="L72">
        <v>4</v>
      </c>
      <c r="O72" t="s">
        <v>2134</v>
      </c>
      <c r="P72" t="s">
        <v>2135</v>
      </c>
      <c r="T72" t="s">
        <v>55</v>
      </c>
      <c r="W72">
        <v>513</v>
      </c>
      <c r="Z72" t="s">
        <v>227</v>
      </c>
      <c r="AC72" t="s">
        <v>72</v>
      </c>
      <c r="AE72" t="s">
        <v>8</v>
      </c>
      <c r="AF72" t="str">
        <f>"78959"</f>
        <v>78959</v>
      </c>
      <c r="AG72" t="str">
        <f>"78959"</f>
        <v>78959</v>
      </c>
      <c r="AH72" t="s">
        <v>2</v>
      </c>
      <c r="AJ72" t="s">
        <v>2136</v>
      </c>
      <c r="AK72" t="s">
        <v>2137</v>
      </c>
      <c r="AM72">
        <v>5519</v>
      </c>
      <c r="AP72" t="s">
        <v>2138</v>
      </c>
      <c r="AQ72" t="s">
        <v>2139</v>
      </c>
      <c r="AS72" t="s">
        <v>2140</v>
      </c>
      <c r="AU72" t="s">
        <v>2141</v>
      </c>
      <c r="AV72" t="str">
        <f>"26293-5032"</f>
        <v>26293-5032</v>
      </c>
      <c r="AW72" t="s">
        <v>152</v>
      </c>
      <c r="AX72" t="s">
        <v>2142</v>
      </c>
      <c r="AY72" t="s">
        <v>2143</v>
      </c>
      <c r="AZ72" t="s">
        <v>18</v>
      </c>
      <c r="BA72" t="s">
        <v>1064</v>
      </c>
      <c r="BB72" t="str">
        <f>"7331"</f>
        <v>7331</v>
      </c>
      <c r="BC72" t="str">
        <f>"7331"</f>
        <v>7331</v>
      </c>
      <c r="BD72" t="str">
        <f>"130329500000000000000"</f>
        <v>130329500000000000000</v>
      </c>
      <c r="BE72">
        <v>48177</v>
      </c>
      <c r="BG72">
        <v>100</v>
      </c>
      <c r="BH72">
        <v>2028</v>
      </c>
      <c r="BN72">
        <v>29.6872428333401</v>
      </c>
      <c r="BO72">
        <v>-97.302782046035404</v>
      </c>
      <c r="BX72" t="s">
        <v>22</v>
      </c>
      <c r="CA72" t="str">
        <f>""</f>
        <v/>
      </c>
      <c r="CD72">
        <v>0</v>
      </c>
      <c r="CO72">
        <v>0</v>
      </c>
      <c r="EA72" s="1">
        <v>1</v>
      </c>
      <c r="EC72" t="s">
        <v>23</v>
      </c>
      <c r="ED72" t="s">
        <v>24</v>
      </c>
      <c r="EE72" t="s">
        <v>25</v>
      </c>
      <c r="EG72">
        <v>43560</v>
      </c>
      <c r="EH72">
        <v>1</v>
      </c>
      <c r="EI72">
        <v>35000</v>
      </c>
      <c r="EJ72">
        <f t="shared" si="2"/>
        <v>17500</v>
      </c>
      <c r="EW72" t="s">
        <v>26</v>
      </c>
      <c r="EX72" t="s">
        <v>1040</v>
      </c>
      <c r="EY72" t="s">
        <v>1041</v>
      </c>
      <c r="EZ72" s="2">
        <v>40515</v>
      </c>
      <c r="FA72" t="s">
        <v>143</v>
      </c>
      <c r="FB72" t="str">
        <f>"FALSE"</f>
        <v>FALSE</v>
      </c>
      <c r="FC72">
        <v>2019</v>
      </c>
      <c r="FD72">
        <v>2016</v>
      </c>
      <c r="FE72" t="s">
        <v>205</v>
      </c>
      <c r="FF72" t="s">
        <v>31</v>
      </c>
      <c r="FG72" t="s">
        <v>31</v>
      </c>
      <c r="FH72" t="s">
        <v>31</v>
      </c>
      <c r="FI72" t="s">
        <v>31</v>
      </c>
      <c r="FJ72" t="s">
        <v>31</v>
      </c>
      <c r="FK72" t="s">
        <v>31</v>
      </c>
      <c r="FL72" t="s">
        <v>31</v>
      </c>
      <c r="FM72" t="s">
        <v>31</v>
      </c>
      <c r="FN72" t="s">
        <v>31</v>
      </c>
      <c r="FO72" t="s">
        <v>31</v>
      </c>
      <c r="FP72" t="s">
        <v>31</v>
      </c>
      <c r="FQ72" t="s">
        <v>31</v>
      </c>
      <c r="FR72" t="s">
        <v>31</v>
      </c>
      <c r="FS72" s="3">
        <v>12580</v>
      </c>
      <c r="FT72" s="3">
        <v>12580</v>
      </c>
      <c r="FW72" s="3">
        <v>12580</v>
      </c>
      <c r="FX72" s="3">
        <v>12580</v>
      </c>
      <c r="GE72" s="3">
        <v>279.49</v>
      </c>
      <c r="GG72" s="3">
        <v>12580</v>
      </c>
      <c r="GI72" t="s">
        <v>206</v>
      </c>
      <c r="GL72" t="s">
        <v>207</v>
      </c>
      <c r="GM72" t="s">
        <v>207</v>
      </c>
      <c r="GN72" t="s">
        <v>207</v>
      </c>
      <c r="GS72" t="str">
        <f>""</f>
        <v/>
      </c>
      <c r="GT72" t="str">
        <f>""</f>
        <v/>
      </c>
      <c r="HF72" t="str">
        <f>""</f>
        <v/>
      </c>
      <c r="HK72" t="str">
        <f>""</f>
        <v/>
      </c>
      <c r="HN72" t="s">
        <v>38</v>
      </c>
      <c r="HP72" t="str">
        <f>""</f>
        <v/>
      </c>
      <c r="HZ72" t="str">
        <f>""</f>
        <v/>
      </c>
      <c r="IA72" t="str">
        <f>HYPERLINK("https://web.datatree.com/?/property?propertyId=128804407")</f>
        <v>https://web.datatree.com/?/property?propertyId=128804407</v>
      </c>
    </row>
    <row r="73" spans="1:235" x14ac:dyDescent="0.3">
      <c r="A73" t="s">
        <v>95</v>
      </c>
      <c r="B73" t="s">
        <v>96</v>
      </c>
      <c r="C73" t="s">
        <v>96</v>
      </c>
      <c r="D73" t="s">
        <v>97</v>
      </c>
      <c r="E73" t="s">
        <v>3</v>
      </c>
      <c r="F73">
        <v>1</v>
      </c>
      <c r="G73" t="s">
        <v>98</v>
      </c>
      <c r="H73" t="s">
        <v>99</v>
      </c>
      <c r="I73" t="s">
        <v>100</v>
      </c>
      <c r="J73" t="s">
        <v>101</v>
      </c>
      <c r="K73" t="s">
        <v>3</v>
      </c>
      <c r="L73">
        <v>1</v>
      </c>
      <c r="O73" t="s">
        <v>102</v>
      </c>
      <c r="P73" t="s">
        <v>103</v>
      </c>
      <c r="T73" t="s">
        <v>5</v>
      </c>
      <c r="V73" t="s">
        <v>52</v>
      </c>
      <c r="W73">
        <v>602</v>
      </c>
      <c r="Z73" t="s">
        <v>104</v>
      </c>
      <c r="AA73" t="s">
        <v>105</v>
      </c>
      <c r="AC73" t="s">
        <v>106</v>
      </c>
      <c r="AE73" t="s">
        <v>8</v>
      </c>
      <c r="AF73" t="str">
        <f>"78140"</f>
        <v>78140</v>
      </c>
      <c r="AG73" t="str">
        <f>"78140-3013"</f>
        <v>78140-3013</v>
      </c>
      <c r="AH73" t="s">
        <v>2</v>
      </c>
      <c r="AJ73" t="s">
        <v>107</v>
      </c>
      <c r="AK73" t="s">
        <v>108</v>
      </c>
      <c r="AL73" t="s">
        <v>109</v>
      </c>
      <c r="AM73">
        <v>506</v>
      </c>
      <c r="AP73" t="s">
        <v>110</v>
      </c>
      <c r="AQ73" t="s">
        <v>7</v>
      </c>
      <c r="AS73" t="s">
        <v>106</v>
      </c>
      <c r="AT73" t="s">
        <v>106</v>
      </c>
      <c r="AU73" t="s">
        <v>8</v>
      </c>
      <c r="AV73" t="str">
        <f>"78140-3148"</f>
        <v>78140-3148</v>
      </c>
      <c r="AW73" t="s">
        <v>111</v>
      </c>
      <c r="AX73" t="s">
        <v>112</v>
      </c>
      <c r="AY73" t="s">
        <v>113</v>
      </c>
      <c r="AZ73" t="s">
        <v>18</v>
      </c>
      <c r="BA73" t="s">
        <v>114</v>
      </c>
      <c r="BB73" t="str">
        <f>"15702"</f>
        <v>15702</v>
      </c>
      <c r="BC73" t="str">
        <f>"15702"</f>
        <v>15702</v>
      </c>
      <c r="BD73" t="str">
        <f>"171601065000051000000"</f>
        <v>171601065000051000000</v>
      </c>
      <c r="BE73">
        <v>48177</v>
      </c>
      <c r="BG73">
        <v>500</v>
      </c>
      <c r="BH73">
        <v>2089</v>
      </c>
      <c r="BI73" t="s">
        <v>20</v>
      </c>
      <c r="BN73">
        <v>29.263884850713701</v>
      </c>
      <c r="BO73">
        <v>-97.759589287287497</v>
      </c>
      <c r="BP73" t="s">
        <v>115</v>
      </c>
      <c r="BQ73">
        <v>3</v>
      </c>
      <c r="BX73" t="s">
        <v>22</v>
      </c>
      <c r="CA73" t="str">
        <f>""</f>
        <v/>
      </c>
      <c r="CD73">
        <v>0</v>
      </c>
      <c r="CO73">
        <v>0</v>
      </c>
      <c r="EA73" s="1">
        <v>1</v>
      </c>
      <c r="EC73" t="s">
        <v>23</v>
      </c>
      <c r="ED73" t="s">
        <v>24</v>
      </c>
      <c r="EE73" t="s">
        <v>25</v>
      </c>
      <c r="EG73">
        <v>43560</v>
      </c>
      <c r="EH73">
        <v>1</v>
      </c>
      <c r="EI73">
        <v>35000</v>
      </c>
      <c r="EJ73">
        <f t="shared" si="2"/>
        <v>17500</v>
      </c>
      <c r="EW73" t="s">
        <v>26</v>
      </c>
      <c r="EX73" t="s">
        <v>116</v>
      </c>
      <c r="EY73" t="s">
        <v>117</v>
      </c>
      <c r="EZ73" s="2">
        <v>40515</v>
      </c>
      <c r="FA73" t="s">
        <v>118</v>
      </c>
      <c r="FB73" t="str">
        <f>"FALSE"</f>
        <v>FALSE</v>
      </c>
      <c r="FC73">
        <v>2019</v>
      </c>
      <c r="FD73">
        <v>2016</v>
      </c>
      <c r="FE73" t="s">
        <v>119</v>
      </c>
      <c r="FF73" t="s">
        <v>31</v>
      </c>
      <c r="FG73" t="s">
        <v>31</v>
      </c>
      <c r="FH73" t="s">
        <v>31</v>
      </c>
      <c r="FI73" t="s">
        <v>31</v>
      </c>
      <c r="FJ73" t="s">
        <v>31</v>
      </c>
      <c r="FK73" t="s">
        <v>31</v>
      </c>
      <c r="FL73" t="s">
        <v>31</v>
      </c>
      <c r="FM73" t="s">
        <v>31</v>
      </c>
      <c r="FN73" t="s">
        <v>31</v>
      </c>
      <c r="FO73" t="s">
        <v>31</v>
      </c>
      <c r="FP73" t="s">
        <v>31</v>
      </c>
      <c r="FQ73" t="s">
        <v>31</v>
      </c>
      <c r="FR73" t="s">
        <v>31</v>
      </c>
      <c r="FS73" s="3">
        <v>11190</v>
      </c>
      <c r="FT73" s="3">
        <v>11190</v>
      </c>
      <c r="FW73" s="3">
        <v>11190</v>
      </c>
      <c r="FX73" s="3">
        <v>11190</v>
      </c>
      <c r="GE73" s="3">
        <v>361.68</v>
      </c>
      <c r="GG73" s="3">
        <v>11190</v>
      </c>
      <c r="GI73" t="s">
        <v>120</v>
      </c>
      <c r="GL73" t="s">
        <v>121</v>
      </c>
      <c r="GM73" t="s">
        <v>122</v>
      </c>
      <c r="GN73" t="s">
        <v>123</v>
      </c>
      <c r="GS73" t="str">
        <f>""</f>
        <v/>
      </c>
      <c r="GT73" t="str">
        <f>""</f>
        <v/>
      </c>
      <c r="HF73" t="str">
        <f>""</f>
        <v/>
      </c>
      <c r="HK73" t="str">
        <f>""</f>
        <v/>
      </c>
      <c r="HN73" t="s">
        <v>38</v>
      </c>
      <c r="HP73" t="str">
        <f>""</f>
        <v/>
      </c>
      <c r="HZ73" t="str">
        <f>""</f>
        <v/>
      </c>
      <c r="IA73" t="str">
        <f>HYPERLINK("https://web.datatree.com/?/property?propertyId=128794273")</f>
        <v>https://web.datatree.com/?/property?propertyId=128794273</v>
      </c>
    </row>
    <row r="74" spans="1:235" x14ac:dyDescent="0.3">
      <c r="A74" t="s">
        <v>2155</v>
      </c>
      <c r="B74" t="s">
        <v>2156</v>
      </c>
      <c r="C74" t="s">
        <v>2157</v>
      </c>
      <c r="D74" t="s">
        <v>2158</v>
      </c>
      <c r="E74" t="s">
        <v>3</v>
      </c>
      <c r="F74">
        <v>2</v>
      </c>
      <c r="G74" t="s">
        <v>2159</v>
      </c>
      <c r="H74" t="s">
        <v>2160</v>
      </c>
      <c r="I74" t="s">
        <v>2161</v>
      </c>
      <c r="J74" t="s">
        <v>2158</v>
      </c>
      <c r="K74" t="s">
        <v>3</v>
      </c>
      <c r="L74">
        <v>2</v>
      </c>
      <c r="O74" t="s">
        <v>2162</v>
      </c>
      <c r="P74" t="s">
        <v>2163</v>
      </c>
      <c r="T74" t="s">
        <v>137</v>
      </c>
      <c r="V74" t="s">
        <v>52</v>
      </c>
      <c r="W74">
        <v>606</v>
      </c>
      <c r="Z74" t="s">
        <v>104</v>
      </c>
      <c r="AA74" t="s">
        <v>105</v>
      </c>
      <c r="AC74" t="s">
        <v>106</v>
      </c>
      <c r="AE74" t="s">
        <v>8</v>
      </c>
      <c r="AF74" t="str">
        <f>"78140"</f>
        <v>78140</v>
      </c>
      <c r="AG74" t="str">
        <f>"78140-3013"</f>
        <v>78140-3013</v>
      </c>
      <c r="AH74" t="s">
        <v>2</v>
      </c>
      <c r="AI74" t="s">
        <v>111</v>
      </c>
      <c r="AJ74" t="s">
        <v>2164</v>
      </c>
      <c r="AK74" t="s">
        <v>2165</v>
      </c>
      <c r="AL74" t="s">
        <v>52</v>
      </c>
      <c r="AM74">
        <v>606</v>
      </c>
      <c r="AP74" t="s">
        <v>104</v>
      </c>
      <c r="AQ74" t="s">
        <v>105</v>
      </c>
      <c r="AS74" t="s">
        <v>106</v>
      </c>
      <c r="AU74" t="s">
        <v>8</v>
      </c>
      <c r="AV74" t="str">
        <f>"78140-3013"</f>
        <v>78140-3013</v>
      </c>
      <c r="AW74" t="s">
        <v>111</v>
      </c>
      <c r="AX74" t="s">
        <v>2164</v>
      </c>
      <c r="AY74" t="s">
        <v>2166</v>
      </c>
      <c r="BA74" t="s">
        <v>2167</v>
      </c>
      <c r="BB74" t="str">
        <f>"28722"</f>
        <v>28722</v>
      </c>
      <c r="BC74" t="str">
        <f>"28722"</f>
        <v>28722</v>
      </c>
      <c r="BD74" t="str">
        <f>"17160-15650-00051-000000"</f>
        <v>17160-15650-00051-000000</v>
      </c>
      <c r="BE74">
        <v>48177</v>
      </c>
      <c r="BG74">
        <v>500</v>
      </c>
      <c r="BH74">
        <v>2089</v>
      </c>
      <c r="BN74">
        <v>29.263181099207401</v>
      </c>
      <c r="BO74">
        <v>-97.759605613557298</v>
      </c>
      <c r="BQ74">
        <v>5</v>
      </c>
      <c r="CA74" t="str">
        <f>""</f>
        <v/>
      </c>
      <c r="CD74">
        <v>0</v>
      </c>
      <c r="CO74">
        <v>0</v>
      </c>
      <c r="CP74">
        <v>0</v>
      </c>
      <c r="EA74" s="1">
        <v>1</v>
      </c>
      <c r="EC74" t="s">
        <v>23</v>
      </c>
      <c r="EE74" t="s">
        <v>25</v>
      </c>
      <c r="EG74">
        <v>43560</v>
      </c>
      <c r="EH74">
        <v>1</v>
      </c>
      <c r="EI74">
        <v>35000</v>
      </c>
      <c r="EJ74">
        <f t="shared" si="2"/>
        <v>17500</v>
      </c>
      <c r="FB74" t="str">
        <f>"UNKNOWN"</f>
        <v>UNKNOWN</v>
      </c>
      <c r="FC74">
        <v>2019</v>
      </c>
      <c r="FD74">
        <v>2016</v>
      </c>
      <c r="FE74" t="s">
        <v>119</v>
      </c>
      <c r="FF74" t="s">
        <v>31</v>
      </c>
      <c r="FG74" t="s">
        <v>520</v>
      </c>
      <c r="FH74" t="s">
        <v>31</v>
      </c>
      <c r="FI74" t="s">
        <v>31</v>
      </c>
      <c r="FJ74" t="s">
        <v>31</v>
      </c>
      <c r="FK74" t="s">
        <v>31</v>
      </c>
      <c r="FL74" t="s">
        <v>31</v>
      </c>
      <c r="FM74" t="s">
        <v>31</v>
      </c>
      <c r="FN74" t="s">
        <v>31</v>
      </c>
      <c r="FO74" t="s">
        <v>31</v>
      </c>
      <c r="FP74" t="s">
        <v>31</v>
      </c>
      <c r="FQ74" t="s">
        <v>31</v>
      </c>
      <c r="FR74" t="s">
        <v>31</v>
      </c>
      <c r="FS74" s="3">
        <v>21230</v>
      </c>
      <c r="FT74" s="3">
        <v>11190</v>
      </c>
      <c r="FU74" s="3">
        <v>10040</v>
      </c>
      <c r="FV74">
        <v>47.29</v>
      </c>
      <c r="FW74" s="3">
        <v>21230</v>
      </c>
      <c r="FX74" s="3">
        <v>11190</v>
      </c>
      <c r="FY74" s="3">
        <v>10040</v>
      </c>
      <c r="FZ74">
        <v>47.29</v>
      </c>
      <c r="GG74" s="3">
        <v>21230</v>
      </c>
      <c r="GI74" t="s">
        <v>120</v>
      </c>
      <c r="GL74" t="s">
        <v>121</v>
      </c>
      <c r="GM74" t="s">
        <v>122</v>
      </c>
      <c r="GN74" t="s">
        <v>123</v>
      </c>
      <c r="GS74" t="str">
        <f>""</f>
        <v/>
      </c>
      <c r="GT74" t="str">
        <f>""</f>
        <v/>
      </c>
      <c r="HF74" t="str">
        <f>""</f>
        <v/>
      </c>
      <c r="HK74" t="str">
        <f>""</f>
        <v/>
      </c>
      <c r="HN74" t="s">
        <v>38</v>
      </c>
      <c r="HP74" t="str">
        <f>""</f>
        <v/>
      </c>
      <c r="HZ74" t="str">
        <f>""</f>
        <v/>
      </c>
      <c r="IA74" t="str">
        <f>HYPERLINK("https://web.datatree.com/?/property?propertyId=226042573")</f>
        <v>https://web.datatree.com/?/property?propertyId=226042573</v>
      </c>
    </row>
    <row r="75" spans="1:235" x14ac:dyDescent="0.3">
      <c r="A75" t="s">
        <v>2144</v>
      </c>
      <c r="B75" t="s">
        <v>2145</v>
      </c>
      <c r="C75" t="s">
        <v>2145</v>
      </c>
      <c r="D75" t="s">
        <v>2146</v>
      </c>
      <c r="E75" t="s">
        <v>3</v>
      </c>
      <c r="F75">
        <v>3</v>
      </c>
      <c r="G75" t="s">
        <v>2147</v>
      </c>
      <c r="H75" t="s">
        <v>2148</v>
      </c>
      <c r="I75" t="s">
        <v>2148</v>
      </c>
      <c r="J75" t="s">
        <v>2146</v>
      </c>
      <c r="K75" t="s">
        <v>3</v>
      </c>
      <c r="L75">
        <v>3</v>
      </c>
      <c r="O75" t="s">
        <v>2149</v>
      </c>
      <c r="P75" t="s">
        <v>2150</v>
      </c>
      <c r="T75" t="s">
        <v>137</v>
      </c>
      <c r="V75" t="s">
        <v>52</v>
      </c>
      <c r="W75">
        <v>608</v>
      </c>
      <c r="Z75" t="s">
        <v>104</v>
      </c>
      <c r="AA75" t="s">
        <v>105</v>
      </c>
      <c r="AC75" t="s">
        <v>106</v>
      </c>
      <c r="AE75" t="s">
        <v>8</v>
      </c>
      <c r="AF75" t="str">
        <f>"78140"</f>
        <v>78140</v>
      </c>
      <c r="AG75" t="str">
        <f>"78140-3013"</f>
        <v>78140-3013</v>
      </c>
      <c r="AH75" t="s">
        <v>2</v>
      </c>
      <c r="AI75" t="s">
        <v>111</v>
      </c>
      <c r="AJ75" t="s">
        <v>2151</v>
      </c>
      <c r="AK75" t="s">
        <v>2152</v>
      </c>
      <c r="AL75" t="s">
        <v>52</v>
      </c>
      <c r="AM75">
        <v>608</v>
      </c>
      <c r="AP75" t="s">
        <v>104</v>
      </c>
      <c r="AQ75" t="s">
        <v>105</v>
      </c>
      <c r="AS75" t="s">
        <v>106</v>
      </c>
      <c r="AU75" t="s">
        <v>8</v>
      </c>
      <c r="AV75" t="str">
        <f>"78140-3013"</f>
        <v>78140-3013</v>
      </c>
      <c r="AW75" t="s">
        <v>111</v>
      </c>
      <c r="AX75" t="s">
        <v>2151</v>
      </c>
      <c r="AY75" t="s">
        <v>2153</v>
      </c>
      <c r="BA75" t="s">
        <v>2154</v>
      </c>
      <c r="BB75" t="str">
        <f>"28721"</f>
        <v>28721</v>
      </c>
      <c r="BC75" t="str">
        <f>"28721"</f>
        <v>28721</v>
      </c>
      <c r="BD75" t="str">
        <f>"17160-15650-30050-000000"</f>
        <v>17160-15650-30050-000000</v>
      </c>
      <c r="BE75">
        <v>48177</v>
      </c>
      <c r="BG75">
        <v>500</v>
      </c>
      <c r="BH75">
        <v>2089</v>
      </c>
      <c r="BN75">
        <v>29.2629599812823</v>
      </c>
      <c r="BO75">
        <v>-97.7593122206668</v>
      </c>
      <c r="CA75" t="str">
        <f>""</f>
        <v/>
      </c>
      <c r="CD75">
        <v>0</v>
      </c>
      <c r="CO75">
        <v>0</v>
      </c>
      <c r="CP75">
        <v>0</v>
      </c>
      <c r="EA75" s="1">
        <v>1</v>
      </c>
      <c r="EC75" t="s">
        <v>23</v>
      </c>
      <c r="EE75" t="s">
        <v>25</v>
      </c>
      <c r="EG75">
        <v>43560</v>
      </c>
      <c r="EH75">
        <v>1</v>
      </c>
      <c r="EI75">
        <v>35000</v>
      </c>
      <c r="EJ75">
        <f t="shared" si="2"/>
        <v>17500</v>
      </c>
      <c r="FB75" t="str">
        <f>"UNKNOWN"</f>
        <v>UNKNOWN</v>
      </c>
      <c r="FC75">
        <v>2019</v>
      </c>
      <c r="FD75">
        <v>2016</v>
      </c>
      <c r="FE75" t="s">
        <v>119</v>
      </c>
      <c r="FF75" t="s">
        <v>31</v>
      </c>
      <c r="FG75" t="s">
        <v>520</v>
      </c>
      <c r="FH75" t="s">
        <v>31</v>
      </c>
      <c r="FI75" t="s">
        <v>31</v>
      </c>
      <c r="FJ75" t="s">
        <v>31</v>
      </c>
      <c r="FK75" t="s">
        <v>31</v>
      </c>
      <c r="FL75" t="s">
        <v>31</v>
      </c>
      <c r="FM75" t="s">
        <v>31</v>
      </c>
      <c r="FN75" t="s">
        <v>31</v>
      </c>
      <c r="FO75" t="s">
        <v>31</v>
      </c>
      <c r="FP75" t="s">
        <v>31</v>
      </c>
      <c r="FQ75" t="s">
        <v>31</v>
      </c>
      <c r="FR75" t="s">
        <v>31</v>
      </c>
      <c r="FS75" s="3">
        <v>11190</v>
      </c>
      <c r="FT75" s="3">
        <v>11190</v>
      </c>
      <c r="FW75" s="3">
        <v>11190</v>
      </c>
      <c r="FX75" s="3">
        <v>11190</v>
      </c>
      <c r="GG75" s="3">
        <v>11190</v>
      </c>
      <c r="GI75" t="s">
        <v>120</v>
      </c>
      <c r="GL75" t="s">
        <v>121</v>
      </c>
      <c r="GM75" t="s">
        <v>122</v>
      </c>
      <c r="GN75" t="s">
        <v>123</v>
      </c>
      <c r="GS75" t="str">
        <f>""</f>
        <v/>
      </c>
      <c r="GT75" t="str">
        <f>""</f>
        <v/>
      </c>
      <c r="HF75" t="str">
        <f>""</f>
        <v/>
      </c>
      <c r="HK75" t="str">
        <f>""</f>
        <v/>
      </c>
      <c r="HN75" t="s">
        <v>38</v>
      </c>
      <c r="HP75" t="str">
        <f>""</f>
        <v/>
      </c>
      <c r="HZ75" t="str">
        <f>""</f>
        <v/>
      </c>
      <c r="IA75" t="str">
        <f>HYPERLINK("https://web.datatree.com/?/property?propertyId=226042572")</f>
        <v>https://web.datatree.com/?/property?propertyId=226042572</v>
      </c>
    </row>
    <row r="76" spans="1:235" x14ac:dyDescent="0.3">
      <c r="A76" t="s">
        <v>1552</v>
      </c>
      <c r="B76" t="s">
        <v>1553</v>
      </c>
      <c r="C76" t="s">
        <v>1553</v>
      </c>
      <c r="D76" t="s">
        <v>1554</v>
      </c>
      <c r="E76" t="s">
        <v>3</v>
      </c>
      <c r="F76">
        <v>2</v>
      </c>
      <c r="O76" t="s">
        <v>1555</v>
      </c>
      <c r="P76" t="s">
        <v>1552</v>
      </c>
      <c r="T76" t="s">
        <v>55</v>
      </c>
      <c r="Z76" t="s">
        <v>1556</v>
      </c>
      <c r="AC76" t="s">
        <v>106</v>
      </c>
      <c r="AE76" t="s">
        <v>8</v>
      </c>
      <c r="AF76" t="str">
        <f>"78140"</f>
        <v>78140</v>
      </c>
      <c r="AG76" t="str">
        <f>"78140"</f>
        <v>78140</v>
      </c>
      <c r="AH76" t="s">
        <v>2</v>
      </c>
      <c r="AJ76" t="s">
        <v>1557</v>
      </c>
      <c r="AK76" t="s">
        <v>1558</v>
      </c>
      <c r="AM76">
        <v>206</v>
      </c>
      <c r="AP76" t="s">
        <v>1559</v>
      </c>
      <c r="AQ76" t="s">
        <v>7</v>
      </c>
      <c r="AS76" t="s">
        <v>1560</v>
      </c>
      <c r="AT76" t="s">
        <v>1560</v>
      </c>
      <c r="AU76" t="s">
        <v>8</v>
      </c>
      <c r="AV76" t="str">
        <f>"77954-2708"</f>
        <v>77954-2708</v>
      </c>
      <c r="AW76" t="s">
        <v>9</v>
      </c>
      <c r="AX76" t="s">
        <v>1561</v>
      </c>
      <c r="AY76" t="s">
        <v>1562</v>
      </c>
      <c r="AZ76" t="s">
        <v>18</v>
      </c>
      <c r="BA76" t="s">
        <v>1563</v>
      </c>
      <c r="BB76" t="str">
        <f>"10129"</f>
        <v>10129</v>
      </c>
      <c r="BC76" t="str">
        <f>"10129"</f>
        <v>10129</v>
      </c>
      <c r="BD76" t="str">
        <f>"146436000000000000000"</f>
        <v>146436000000000000000</v>
      </c>
      <c r="BE76">
        <v>48177</v>
      </c>
      <c r="BG76">
        <v>500</v>
      </c>
      <c r="BH76">
        <v>1154</v>
      </c>
      <c r="BN76">
        <v>29.267648895107001</v>
      </c>
      <c r="BO76">
        <v>-97.629061788460604</v>
      </c>
      <c r="BX76" t="s">
        <v>22</v>
      </c>
      <c r="CA76" t="str">
        <f>""</f>
        <v/>
      </c>
      <c r="CD76">
        <v>0</v>
      </c>
      <c r="CO76">
        <v>0</v>
      </c>
      <c r="DL76" t="s">
        <v>289</v>
      </c>
      <c r="DM76">
        <v>120</v>
      </c>
      <c r="EA76" s="1">
        <v>1</v>
      </c>
      <c r="EC76" t="s">
        <v>23</v>
      </c>
      <c r="ED76" t="s">
        <v>24</v>
      </c>
      <c r="EE76" t="s">
        <v>25</v>
      </c>
      <c r="EG76">
        <v>43560</v>
      </c>
      <c r="EH76">
        <v>1</v>
      </c>
      <c r="EI76">
        <v>35000</v>
      </c>
      <c r="EJ76">
        <f t="shared" si="2"/>
        <v>17500</v>
      </c>
      <c r="ER76">
        <v>1</v>
      </c>
      <c r="EW76" t="s">
        <v>26</v>
      </c>
      <c r="EX76" t="s">
        <v>491</v>
      </c>
      <c r="EY76" t="s">
        <v>492</v>
      </c>
      <c r="EZ76" s="2">
        <v>40515</v>
      </c>
      <c r="FA76" t="s">
        <v>143</v>
      </c>
      <c r="FB76" t="str">
        <f>"FALSE"</f>
        <v>FALSE</v>
      </c>
      <c r="FC76">
        <v>2019</v>
      </c>
      <c r="FD76">
        <v>2016</v>
      </c>
      <c r="FE76" t="s">
        <v>119</v>
      </c>
      <c r="FF76" t="s">
        <v>31</v>
      </c>
      <c r="FG76" t="s">
        <v>31</v>
      </c>
      <c r="FH76" t="s">
        <v>31</v>
      </c>
      <c r="FI76" t="s">
        <v>31</v>
      </c>
      <c r="FJ76" t="s">
        <v>31</v>
      </c>
      <c r="FK76" t="s">
        <v>31</v>
      </c>
      <c r="FL76" t="s">
        <v>31</v>
      </c>
      <c r="FM76" t="s">
        <v>31</v>
      </c>
      <c r="FN76" t="s">
        <v>31</v>
      </c>
      <c r="FO76" t="s">
        <v>31</v>
      </c>
      <c r="FP76" t="s">
        <v>31</v>
      </c>
      <c r="FQ76" t="s">
        <v>31</v>
      </c>
      <c r="FR76" t="s">
        <v>31</v>
      </c>
      <c r="FS76" s="3">
        <v>11190</v>
      </c>
      <c r="FT76" s="3">
        <v>11190</v>
      </c>
      <c r="FW76" s="3">
        <v>11190</v>
      </c>
      <c r="FX76" s="3">
        <v>11190</v>
      </c>
      <c r="GE76" s="3">
        <v>232.15</v>
      </c>
      <c r="GG76" s="3">
        <v>11190</v>
      </c>
      <c r="GI76" t="s">
        <v>120</v>
      </c>
      <c r="GL76" t="s">
        <v>121</v>
      </c>
      <c r="GM76" t="s">
        <v>122</v>
      </c>
      <c r="GN76" t="s">
        <v>123</v>
      </c>
      <c r="GS76" t="str">
        <f>""</f>
        <v/>
      </c>
      <c r="GT76" t="str">
        <f>""</f>
        <v/>
      </c>
      <c r="HF76" t="str">
        <f>""</f>
        <v/>
      </c>
      <c r="HK76" t="str">
        <f>""</f>
        <v/>
      </c>
      <c r="HN76" t="s">
        <v>38</v>
      </c>
      <c r="HP76" t="str">
        <f>""</f>
        <v/>
      </c>
      <c r="HZ76" t="str">
        <f>""</f>
        <v/>
      </c>
      <c r="IA76" t="str">
        <f>HYPERLINK("https://web.datatree.com/?/property?propertyId=128789055")</f>
        <v>https://web.datatree.com/?/property?propertyId=128789055</v>
      </c>
    </row>
    <row r="77" spans="1:235" x14ac:dyDescent="0.3">
      <c r="A77" t="s">
        <v>1640</v>
      </c>
      <c r="B77" t="s">
        <v>1641</v>
      </c>
      <c r="C77" t="s">
        <v>1641</v>
      </c>
      <c r="D77" t="s">
        <v>1642</v>
      </c>
      <c r="E77" t="s">
        <v>3</v>
      </c>
      <c r="F77">
        <v>1</v>
      </c>
      <c r="O77" t="s">
        <v>1643</v>
      </c>
      <c r="P77" t="s">
        <v>1640</v>
      </c>
      <c r="T77" t="s">
        <v>55</v>
      </c>
      <c r="Z77" t="s">
        <v>1644</v>
      </c>
      <c r="AE77" t="s">
        <v>8</v>
      </c>
      <c r="AH77" t="s">
        <v>2</v>
      </c>
      <c r="AJ77" t="s">
        <v>1645</v>
      </c>
      <c r="AK77" t="s">
        <v>1646</v>
      </c>
      <c r="AP77" t="s">
        <v>1647</v>
      </c>
      <c r="AS77" t="s">
        <v>72</v>
      </c>
      <c r="AT77" t="s">
        <v>72</v>
      </c>
      <c r="AU77" t="s">
        <v>8</v>
      </c>
      <c r="AV77" t="str">
        <f>"78959"</f>
        <v>78959</v>
      </c>
      <c r="AW77" t="s">
        <v>436</v>
      </c>
      <c r="AX77" t="s">
        <v>1648</v>
      </c>
      <c r="AY77" t="s">
        <v>1649</v>
      </c>
      <c r="AZ77" t="s">
        <v>18</v>
      </c>
      <c r="BA77" t="s">
        <v>1064</v>
      </c>
      <c r="BB77" t="str">
        <f>"7232"</f>
        <v>7232</v>
      </c>
      <c r="BC77" t="str">
        <f>"7232"</f>
        <v>7232</v>
      </c>
      <c r="BD77" t="str">
        <f>"130303500000000000000"</f>
        <v>130303500000000000000</v>
      </c>
      <c r="BE77">
        <v>48177</v>
      </c>
      <c r="BN77">
        <v>29.6962512480386</v>
      </c>
      <c r="BO77">
        <v>-97.310932445698398</v>
      </c>
      <c r="BX77" t="s">
        <v>22</v>
      </c>
      <c r="CA77" t="str">
        <f>""</f>
        <v/>
      </c>
      <c r="CD77">
        <v>0</v>
      </c>
      <c r="CO77">
        <v>0</v>
      </c>
      <c r="EA77" s="1">
        <v>1</v>
      </c>
      <c r="EC77" t="s">
        <v>23</v>
      </c>
      <c r="ED77" t="s">
        <v>24</v>
      </c>
      <c r="EE77" t="s">
        <v>25</v>
      </c>
      <c r="EG77">
        <v>43560</v>
      </c>
      <c r="EH77">
        <v>1</v>
      </c>
      <c r="EI77">
        <v>35000</v>
      </c>
      <c r="EJ77">
        <f t="shared" si="2"/>
        <v>17500</v>
      </c>
      <c r="EW77" t="s">
        <v>26</v>
      </c>
      <c r="EX77" t="s">
        <v>202</v>
      </c>
      <c r="EY77" t="s">
        <v>203</v>
      </c>
      <c r="EZ77" s="2">
        <v>40515</v>
      </c>
      <c r="FA77" t="s">
        <v>204</v>
      </c>
      <c r="FB77" t="str">
        <f>"FALSE"</f>
        <v>FALSE</v>
      </c>
      <c r="FC77">
        <v>2019</v>
      </c>
      <c r="FD77">
        <v>2016</v>
      </c>
      <c r="FE77" t="s">
        <v>205</v>
      </c>
      <c r="FF77" t="s">
        <v>31</v>
      </c>
      <c r="FG77" t="s">
        <v>31</v>
      </c>
      <c r="FH77" t="s">
        <v>31</v>
      </c>
      <c r="FI77" t="s">
        <v>31</v>
      </c>
      <c r="FJ77" t="s">
        <v>31</v>
      </c>
      <c r="FK77" t="s">
        <v>31</v>
      </c>
      <c r="FL77" t="s">
        <v>31</v>
      </c>
      <c r="FM77" t="s">
        <v>31</v>
      </c>
      <c r="FN77" t="s">
        <v>31</v>
      </c>
      <c r="FO77" t="s">
        <v>31</v>
      </c>
      <c r="FP77" t="s">
        <v>31</v>
      </c>
      <c r="FQ77" t="s">
        <v>31</v>
      </c>
      <c r="FR77" t="s">
        <v>31</v>
      </c>
      <c r="FS77" s="3">
        <v>12580</v>
      </c>
      <c r="FT77" s="3">
        <v>12580</v>
      </c>
      <c r="FW77" s="3">
        <v>12580</v>
      </c>
      <c r="FX77" s="3">
        <v>12580</v>
      </c>
      <c r="GE77" s="3">
        <v>252.93</v>
      </c>
      <c r="GG77" s="3">
        <v>12580</v>
      </c>
      <c r="GI77" t="s">
        <v>206</v>
      </c>
      <c r="GL77" t="s">
        <v>207</v>
      </c>
      <c r="GM77" t="s">
        <v>207</v>
      </c>
      <c r="GN77" t="s">
        <v>207</v>
      </c>
      <c r="GS77" t="str">
        <f>""</f>
        <v/>
      </c>
      <c r="GT77" t="str">
        <f>""</f>
        <v/>
      </c>
      <c r="HF77" t="str">
        <f>""</f>
        <v/>
      </c>
      <c r="HK77" t="str">
        <f>""</f>
        <v/>
      </c>
      <c r="HN77" t="s">
        <v>38</v>
      </c>
      <c r="HP77" t="str">
        <f>""</f>
        <v/>
      </c>
      <c r="HZ77" t="str">
        <f>""</f>
        <v/>
      </c>
      <c r="IA77" t="str">
        <f>HYPERLINK("https://web.datatree.com/?/property?propertyId=128804308")</f>
        <v>https://web.datatree.com/?/property?propertyId=128804308</v>
      </c>
    </row>
    <row r="78" spans="1:235" x14ac:dyDescent="0.3">
      <c r="A78" t="s">
        <v>1301</v>
      </c>
      <c r="B78" t="s">
        <v>1302</v>
      </c>
      <c r="C78" t="s">
        <v>1303</v>
      </c>
      <c r="D78" t="s">
        <v>1304</v>
      </c>
      <c r="E78" t="s">
        <v>3</v>
      </c>
      <c r="F78">
        <v>1</v>
      </c>
      <c r="O78" t="s">
        <v>1305</v>
      </c>
      <c r="P78" t="s">
        <v>1301</v>
      </c>
      <c r="T78" t="s">
        <v>55</v>
      </c>
      <c r="Z78" t="s">
        <v>1306</v>
      </c>
      <c r="AC78" t="s">
        <v>779</v>
      </c>
      <c r="AE78" t="s">
        <v>8</v>
      </c>
      <c r="AF78" t="str">
        <f>"77984"</f>
        <v>77984</v>
      </c>
      <c r="AG78" t="str">
        <f>"77984"</f>
        <v>77984</v>
      </c>
      <c r="AH78" t="s">
        <v>2</v>
      </c>
      <c r="AJ78" t="s">
        <v>1307</v>
      </c>
      <c r="AK78" t="s">
        <v>1308</v>
      </c>
      <c r="AM78">
        <v>1647</v>
      </c>
      <c r="AP78" t="s">
        <v>1309</v>
      </c>
      <c r="AQ78" t="s">
        <v>77</v>
      </c>
      <c r="AS78" t="s">
        <v>928</v>
      </c>
      <c r="AT78" t="s">
        <v>928</v>
      </c>
      <c r="AU78" t="s">
        <v>8</v>
      </c>
      <c r="AV78" t="str">
        <f>"75149-1671"</f>
        <v>75149-1671</v>
      </c>
      <c r="AW78" t="s">
        <v>1310</v>
      </c>
      <c r="AX78" t="s">
        <v>1311</v>
      </c>
      <c r="AY78" t="s">
        <v>1312</v>
      </c>
      <c r="AZ78" t="s">
        <v>18</v>
      </c>
      <c r="BA78" t="s">
        <v>1038</v>
      </c>
      <c r="BB78" t="str">
        <f>"4212"</f>
        <v>4212</v>
      </c>
      <c r="BC78" t="str">
        <f>"4212"</f>
        <v>4212</v>
      </c>
      <c r="BD78" t="str">
        <f>"110805500000000000000"</f>
        <v>110805500000000000000</v>
      </c>
      <c r="BE78">
        <v>48177</v>
      </c>
      <c r="BG78">
        <v>400</v>
      </c>
      <c r="BH78">
        <v>1032</v>
      </c>
      <c r="BN78">
        <v>29.680994543674601</v>
      </c>
      <c r="BO78">
        <v>-97.299067086648094</v>
      </c>
      <c r="BX78" t="s">
        <v>22</v>
      </c>
      <c r="CA78" t="str">
        <f>""</f>
        <v/>
      </c>
      <c r="CD78">
        <v>0</v>
      </c>
      <c r="CO78">
        <v>0</v>
      </c>
      <c r="EA78" s="1">
        <v>1</v>
      </c>
      <c r="EC78" t="s">
        <v>23</v>
      </c>
      <c r="ED78" t="s">
        <v>24</v>
      </c>
      <c r="EE78" t="s">
        <v>25</v>
      </c>
      <c r="EG78">
        <v>43560</v>
      </c>
      <c r="EH78">
        <v>1</v>
      </c>
      <c r="EI78">
        <v>35000</v>
      </c>
      <c r="EJ78">
        <f t="shared" si="2"/>
        <v>17500</v>
      </c>
      <c r="EW78" t="s">
        <v>26</v>
      </c>
      <c r="EX78" t="s">
        <v>1040</v>
      </c>
      <c r="EY78" t="s">
        <v>1041</v>
      </c>
      <c r="EZ78" s="2">
        <v>40515</v>
      </c>
      <c r="FA78" t="s">
        <v>143</v>
      </c>
      <c r="FB78" t="str">
        <f>"FALSE"</f>
        <v>FALSE</v>
      </c>
      <c r="FC78">
        <v>2019</v>
      </c>
      <c r="FD78">
        <v>2016</v>
      </c>
      <c r="FE78" t="s">
        <v>205</v>
      </c>
      <c r="FF78" t="s">
        <v>31</v>
      </c>
      <c r="FG78" t="s">
        <v>31</v>
      </c>
      <c r="FH78" t="s">
        <v>31</v>
      </c>
      <c r="FI78" t="s">
        <v>31</v>
      </c>
      <c r="FJ78" t="s">
        <v>31</v>
      </c>
      <c r="FK78" t="s">
        <v>31</v>
      </c>
      <c r="FL78" t="s">
        <v>31</v>
      </c>
      <c r="FM78" t="s">
        <v>31</v>
      </c>
      <c r="FN78" t="s">
        <v>31</v>
      </c>
      <c r="FO78" t="s">
        <v>31</v>
      </c>
      <c r="FP78" t="s">
        <v>31</v>
      </c>
      <c r="FQ78" t="s">
        <v>31</v>
      </c>
      <c r="FR78" t="s">
        <v>31</v>
      </c>
      <c r="FS78" s="3">
        <v>14810</v>
      </c>
      <c r="FT78" s="3">
        <v>14810</v>
      </c>
      <c r="FW78" s="3">
        <v>14810</v>
      </c>
      <c r="FX78" s="3">
        <v>14810</v>
      </c>
      <c r="GE78" s="3">
        <v>297.77</v>
      </c>
      <c r="GG78" s="3">
        <v>14810</v>
      </c>
      <c r="GI78" t="s">
        <v>206</v>
      </c>
      <c r="GL78" t="s">
        <v>207</v>
      </c>
      <c r="GM78" t="s">
        <v>207</v>
      </c>
      <c r="GN78" t="s">
        <v>207</v>
      </c>
      <c r="GS78" t="str">
        <f>""</f>
        <v/>
      </c>
      <c r="GT78" t="str">
        <f>""</f>
        <v/>
      </c>
      <c r="HF78" t="str">
        <f>""</f>
        <v/>
      </c>
      <c r="HK78" t="str">
        <f>""</f>
        <v/>
      </c>
      <c r="HN78" t="s">
        <v>38</v>
      </c>
      <c r="HP78" t="str">
        <f>""</f>
        <v/>
      </c>
      <c r="HZ78" t="str">
        <f>""</f>
        <v/>
      </c>
      <c r="IA78" t="str">
        <f>HYPERLINK("https://web.datatree.com/?/property?propertyId=128801265")</f>
        <v>https://web.datatree.com/?/property?propertyId=128801265</v>
      </c>
    </row>
    <row r="79" spans="1:235" x14ac:dyDescent="0.3">
      <c r="A79" t="s">
        <v>1274</v>
      </c>
      <c r="B79" t="s">
        <v>1275</v>
      </c>
      <c r="C79" t="s">
        <v>1058</v>
      </c>
      <c r="D79" t="s">
        <v>1276</v>
      </c>
      <c r="E79" t="s">
        <v>3</v>
      </c>
      <c r="F79">
        <v>1</v>
      </c>
      <c r="G79" t="s">
        <v>1277</v>
      </c>
      <c r="H79" t="s">
        <v>1278</v>
      </c>
      <c r="I79" t="s">
        <v>1278</v>
      </c>
      <c r="J79" t="s">
        <v>1276</v>
      </c>
      <c r="K79" t="s">
        <v>3</v>
      </c>
      <c r="L79">
        <v>1</v>
      </c>
      <c r="O79" t="s">
        <v>1279</v>
      </c>
      <c r="P79" t="s">
        <v>1280</v>
      </c>
      <c r="T79" t="s">
        <v>55</v>
      </c>
      <c r="V79" t="s">
        <v>109</v>
      </c>
      <c r="Z79" t="s">
        <v>484</v>
      </c>
      <c r="AC79" t="s">
        <v>72</v>
      </c>
      <c r="AE79" t="s">
        <v>8</v>
      </c>
      <c r="AF79" t="str">
        <f>"78959"</f>
        <v>78959</v>
      </c>
      <c r="AG79" t="str">
        <f>"78959"</f>
        <v>78959</v>
      </c>
      <c r="AH79" t="s">
        <v>2</v>
      </c>
      <c r="AJ79" t="s">
        <v>1281</v>
      </c>
      <c r="AK79" t="s">
        <v>1282</v>
      </c>
      <c r="AM79">
        <v>6014</v>
      </c>
      <c r="AP79" t="s">
        <v>1283</v>
      </c>
      <c r="AQ79" t="s">
        <v>7</v>
      </c>
      <c r="AS79" t="s">
        <v>374</v>
      </c>
      <c r="AT79" t="s">
        <v>374</v>
      </c>
      <c r="AU79" t="s">
        <v>8</v>
      </c>
      <c r="AV79" t="str">
        <f>"77087-2002"</f>
        <v>77087-2002</v>
      </c>
      <c r="AW79" t="s">
        <v>1284</v>
      </c>
      <c r="AX79" t="s">
        <v>1285</v>
      </c>
      <c r="AY79" t="s">
        <v>1286</v>
      </c>
      <c r="AZ79" t="s">
        <v>18</v>
      </c>
      <c r="BA79" t="s">
        <v>1064</v>
      </c>
      <c r="BB79" t="str">
        <f>"21102"</f>
        <v>21102</v>
      </c>
      <c r="BC79" t="str">
        <f>"21102"</f>
        <v>21102</v>
      </c>
      <c r="BD79" t="str">
        <f>"130302000000050000000"</f>
        <v>130302000000050000000</v>
      </c>
      <c r="BE79">
        <v>48177</v>
      </c>
      <c r="BG79">
        <v>100</v>
      </c>
      <c r="BH79">
        <v>2028</v>
      </c>
      <c r="BN79">
        <v>29.682976925122802</v>
      </c>
      <c r="BO79">
        <v>-97.302708684095904</v>
      </c>
      <c r="BX79" t="s">
        <v>22</v>
      </c>
      <c r="CA79" t="str">
        <f>""</f>
        <v/>
      </c>
      <c r="CD79">
        <v>0</v>
      </c>
      <c r="CO79">
        <v>0</v>
      </c>
      <c r="EA79" s="1">
        <v>1</v>
      </c>
      <c r="EC79" t="s">
        <v>23</v>
      </c>
      <c r="ED79" t="s">
        <v>24</v>
      </c>
      <c r="EE79" t="s">
        <v>25</v>
      </c>
      <c r="EG79">
        <v>43560</v>
      </c>
      <c r="EH79">
        <v>1</v>
      </c>
      <c r="EI79">
        <v>35000</v>
      </c>
      <c r="EJ79">
        <f t="shared" si="2"/>
        <v>17500</v>
      </c>
      <c r="EW79" t="s">
        <v>26</v>
      </c>
      <c r="EX79" t="s">
        <v>1287</v>
      </c>
      <c r="EY79" t="s">
        <v>1288</v>
      </c>
      <c r="EZ79" s="2">
        <v>40515</v>
      </c>
      <c r="FA79" t="s">
        <v>143</v>
      </c>
      <c r="FB79" t="str">
        <f>"FALSE"</f>
        <v>FALSE</v>
      </c>
      <c r="FC79">
        <v>2019</v>
      </c>
      <c r="FD79">
        <v>2016</v>
      </c>
      <c r="FE79" t="s">
        <v>205</v>
      </c>
      <c r="FF79" t="s">
        <v>31</v>
      </c>
      <c r="FG79" t="s">
        <v>31</v>
      </c>
      <c r="FH79" t="s">
        <v>31</v>
      </c>
      <c r="FI79" t="s">
        <v>31</v>
      </c>
      <c r="FJ79" t="s">
        <v>31</v>
      </c>
      <c r="FK79" t="s">
        <v>31</v>
      </c>
      <c r="FL79" t="s">
        <v>31</v>
      </c>
      <c r="FM79" t="s">
        <v>31</v>
      </c>
      <c r="FN79" t="s">
        <v>31</v>
      </c>
      <c r="FO79" t="s">
        <v>31</v>
      </c>
      <c r="FP79" t="s">
        <v>31</v>
      </c>
      <c r="FQ79" t="s">
        <v>31</v>
      </c>
      <c r="FR79" t="s">
        <v>31</v>
      </c>
      <c r="FS79" s="3">
        <v>14810</v>
      </c>
      <c r="FT79" s="3">
        <v>14810</v>
      </c>
      <c r="FW79" s="3">
        <v>14810</v>
      </c>
      <c r="FX79" s="3">
        <v>14810</v>
      </c>
      <c r="GE79" s="3">
        <v>329.03</v>
      </c>
      <c r="GG79" s="3">
        <v>14810</v>
      </c>
      <c r="GI79" t="s">
        <v>206</v>
      </c>
      <c r="GL79" t="s">
        <v>207</v>
      </c>
      <c r="GM79" t="s">
        <v>207</v>
      </c>
      <c r="GN79" t="s">
        <v>207</v>
      </c>
      <c r="GS79" t="str">
        <f>""</f>
        <v/>
      </c>
      <c r="GT79" t="str">
        <f>""</f>
        <v/>
      </c>
      <c r="GV79" s="2">
        <v>36753</v>
      </c>
      <c r="GW79" s="3">
        <v>0</v>
      </c>
      <c r="GY79" t="s">
        <v>36</v>
      </c>
      <c r="GZ79" t="s">
        <v>37</v>
      </c>
      <c r="HF79" t="str">
        <f>""</f>
        <v/>
      </c>
      <c r="HK79" t="str">
        <f>""</f>
        <v/>
      </c>
      <c r="HN79" t="s">
        <v>38</v>
      </c>
      <c r="HP79" t="str">
        <f>"0008300609"</f>
        <v>0008300609</v>
      </c>
      <c r="HZ79" t="str">
        <f>""</f>
        <v/>
      </c>
      <c r="IA79" t="str">
        <f>HYPERLINK("https://web.datatree.com/?/property?propertyId=128796927")</f>
        <v>https://web.datatree.com/?/property?propertyId=128796927</v>
      </c>
    </row>
    <row r="80" spans="1:235" x14ac:dyDescent="0.3">
      <c r="A80" t="s">
        <v>1056</v>
      </c>
      <c r="B80" t="s">
        <v>1057</v>
      </c>
      <c r="C80" t="s">
        <v>1057</v>
      </c>
      <c r="D80" t="s">
        <v>1058</v>
      </c>
      <c r="E80" t="s">
        <v>3</v>
      </c>
      <c r="F80">
        <v>6</v>
      </c>
      <c r="O80" t="s">
        <v>1059</v>
      </c>
      <c r="P80" t="s">
        <v>1056</v>
      </c>
      <c r="T80" t="s">
        <v>55</v>
      </c>
      <c r="Z80" t="s">
        <v>484</v>
      </c>
      <c r="AC80" t="s">
        <v>72</v>
      </c>
      <c r="AE80" t="s">
        <v>8</v>
      </c>
      <c r="AF80" t="str">
        <f>"78959"</f>
        <v>78959</v>
      </c>
      <c r="AG80" t="str">
        <f>"78959"</f>
        <v>78959</v>
      </c>
      <c r="AH80" t="s">
        <v>2</v>
      </c>
      <c r="AJ80" t="s">
        <v>485</v>
      </c>
      <c r="AK80" t="s">
        <v>1033</v>
      </c>
      <c r="AM80">
        <v>16650</v>
      </c>
      <c r="AP80" t="s">
        <v>1060</v>
      </c>
      <c r="AQ80" t="s">
        <v>703</v>
      </c>
      <c r="AS80" t="s">
        <v>374</v>
      </c>
      <c r="AU80" t="s">
        <v>8</v>
      </c>
      <c r="AV80" t="str">
        <f>"77084-2840"</f>
        <v>77084-2840</v>
      </c>
      <c r="AW80" t="s">
        <v>1061</v>
      </c>
      <c r="AX80" t="s">
        <v>1062</v>
      </c>
      <c r="AY80" t="s">
        <v>1063</v>
      </c>
      <c r="AZ80" t="s">
        <v>18</v>
      </c>
      <c r="BA80" t="s">
        <v>1064</v>
      </c>
      <c r="BB80" t="str">
        <f>"7262"</f>
        <v>7262</v>
      </c>
      <c r="BC80" t="str">
        <f>"7262"</f>
        <v>7262</v>
      </c>
      <c r="BD80" t="str">
        <f>"130310200000000000000"</f>
        <v>130310200000000000000</v>
      </c>
      <c r="BE80">
        <v>48177</v>
      </c>
      <c r="BG80">
        <v>100</v>
      </c>
      <c r="BH80">
        <v>2028</v>
      </c>
      <c r="BN80">
        <v>29.687026619229101</v>
      </c>
      <c r="BO80">
        <v>-97.300773035647893</v>
      </c>
      <c r="BX80" t="s">
        <v>22</v>
      </c>
      <c r="CA80" t="str">
        <f>""</f>
        <v/>
      </c>
      <c r="CD80">
        <v>0</v>
      </c>
      <c r="CO80">
        <v>0</v>
      </c>
      <c r="EA80" s="1">
        <v>1</v>
      </c>
      <c r="EC80" t="s">
        <v>23</v>
      </c>
      <c r="ED80" t="s">
        <v>24</v>
      </c>
      <c r="EE80" t="s">
        <v>25</v>
      </c>
      <c r="EG80">
        <v>43560</v>
      </c>
      <c r="EH80">
        <v>1</v>
      </c>
      <c r="EI80">
        <v>35000</v>
      </c>
      <c r="EJ80">
        <f t="shared" si="2"/>
        <v>17500</v>
      </c>
      <c r="EW80" t="s">
        <v>26</v>
      </c>
      <c r="EX80" t="s">
        <v>1040</v>
      </c>
      <c r="EY80" t="s">
        <v>1041</v>
      </c>
      <c r="EZ80" s="2">
        <v>40515</v>
      </c>
      <c r="FA80" t="s">
        <v>204</v>
      </c>
      <c r="FB80" t="str">
        <f>"FALSE"</f>
        <v>FALSE</v>
      </c>
      <c r="FC80">
        <v>2019</v>
      </c>
      <c r="FD80">
        <v>2016</v>
      </c>
      <c r="FE80" t="s">
        <v>205</v>
      </c>
      <c r="FF80" t="s">
        <v>31</v>
      </c>
      <c r="FG80" t="s">
        <v>31</v>
      </c>
      <c r="FH80" t="s">
        <v>31</v>
      </c>
      <c r="FI80" t="s">
        <v>31</v>
      </c>
      <c r="FJ80" t="s">
        <v>31</v>
      </c>
      <c r="FK80" t="s">
        <v>31</v>
      </c>
      <c r="FL80" t="s">
        <v>31</v>
      </c>
      <c r="FM80" t="s">
        <v>31</v>
      </c>
      <c r="FN80" t="s">
        <v>31</v>
      </c>
      <c r="FO80" t="s">
        <v>31</v>
      </c>
      <c r="FP80" t="s">
        <v>31</v>
      </c>
      <c r="FQ80" t="s">
        <v>31</v>
      </c>
      <c r="FR80" t="s">
        <v>31</v>
      </c>
      <c r="FS80" s="3">
        <v>12580</v>
      </c>
      <c r="FT80" s="3">
        <v>12580</v>
      </c>
      <c r="FW80" s="3">
        <v>12580</v>
      </c>
      <c r="FX80" s="3">
        <v>12580</v>
      </c>
      <c r="GE80" s="3">
        <v>279.49</v>
      </c>
      <c r="GG80" s="3">
        <v>12580</v>
      </c>
      <c r="GI80" t="s">
        <v>206</v>
      </c>
      <c r="GL80" t="s">
        <v>207</v>
      </c>
      <c r="GM80" t="s">
        <v>207</v>
      </c>
      <c r="GN80" t="s">
        <v>207</v>
      </c>
      <c r="GS80" t="str">
        <f>""</f>
        <v/>
      </c>
      <c r="GT80" t="str">
        <f>""</f>
        <v/>
      </c>
      <c r="HF80" t="str">
        <f>""</f>
        <v/>
      </c>
      <c r="HK80" t="str">
        <f>""</f>
        <v/>
      </c>
      <c r="HN80" t="s">
        <v>38</v>
      </c>
      <c r="HP80" t="str">
        <f>""</f>
        <v/>
      </c>
      <c r="HZ80" t="str">
        <f>""</f>
        <v/>
      </c>
      <c r="IA80" t="str">
        <f>HYPERLINK("https://web.datatree.com/?/property?propertyId=128804337")</f>
        <v>https://web.datatree.com/?/property?propertyId=128804337</v>
      </c>
    </row>
    <row r="81" spans="1:235" x14ac:dyDescent="0.3">
      <c r="A81" t="s">
        <v>1946</v>
      </c>
      <c r="D81" t="s">
        <v>1946</v>
      </c>
      <c r="E81" t="s">
        <v>84</v>
      </c>
      <c r="F81">
        <v>201</v>
      </c>
      <c r="O81" t="s">
        <v>1946</v>
      </c>
      <c r="P81" t="s">
        <v>1946</v>
      </c>
      <c r="T81" t="s">
        <v>55</v>
      </c>
      <c r="AE81" t="s">
        <v>8</v>
      </c>
      <c r="AH81" t="s">
        <v>2</v>
      </c>
      <c r="AK81" t="s">
        <v>1113</v>
      </c>
      <c r="AS81" t="s">
        <v>979</v>
      </c>
      <c r="AY81" t="s">
        <v>1947</v>
      </c>
      <c r="AZ81" t="s">
        <v>18</v>
      </c>
      <c r="BA81" t="s">
        <v>1391</v>
      </c>
      <c r="BB81" t="str">
        <f>"9906"</f>
        <v>9906</v>
      </c>
      <c r="BC81" t="str">
        <f>"9906"</f>
        <v>9906</v>
      </c>
      <c r="BD81" t="str">
        <f>"144833300000000000000"</f>
        <v>144833300000000000000</v>
      </c>
      <c r="BE81">
        <v>48177</v>
      </c>
      <c r="BN81">
        <v>29.456733307786301</v>
      </c>
      <c r="BO81">
        <v>-97.492523753148106</v>
      </c>
      <c r="BX81" t="s">
        <v>22</v>
      </c>
      <c r="CA81" t="str">
        <f>""</f>
        <v/>
      </c>
      <c r="CD81">
        <v>0</v>
      </c>
      <c r="CO81">
        <v>0</v>
      </c>
      <c r="EA81" s="1">
        <v>1</v>
      </c>
      <c r="EC81" t="s">
        <v>23</v>
      </c>
      <c r="ED81" t="s">
        <v>24</v>
      </c>
      <c r="EE81" t="s">
        <v>25</v>
      </c>
      <c r="EG81">
        <v>43560</v>
      </c>
      <c r="EH81">
        <v>1</v>
      </c>
      <c r="EI81">
        <v>35000</v>
      </c>
      <c r="EJ81">
        <f t="shared" si="2"/>
        <v>17500</v>
      </c>
      <c r="EW81" t="s">
        <v>5</v>
      </c>
      <c r="EX81" t="s">
        <v>1287</v>
      </c>
      <c r="EY81" t="s">
        <v>1288</v>
      </c>
      <c r="EZ81" s="2">
        <v>40515</v>
      </c>
      <c r="FA81" t="s">
        <v>143</v>
      </c>
      <c r="FB81" t="str">
        <f>"TRUE"</f>
        <v>TRUE</v>
      </c>
      <c r="FC81">
        <v>2019</v>
      </c>
      <c r="FD81">
        <v>2016</v>
      </c>
      <c r="FE81" t="s">
        <v>119</v>
      </c>
      <c r="FF81" t="s">
        <v>31</v>
      </c>
      <c r="FG81" t="s">
        <v>31</v>
      </c>
      <c r="FH81" t="s">
        <v>31</v>
      </c>
      <c r="FI81" t="s">
        <v>31</v>
      </c>
      <c r="FJ81" t="s">
        <v>31</v>
      </c>
      <c r="FK81" t="s">
        <v>31</v>
      </c>
      <c r="FL81" t="s">
        <v>31</v>
      </c>
      <c r="FM81" t="s">
        <v>31</v>
      </c>
      <c r="FN81" t="s">
        <v>31</v>
      </c>
      <c r="FO81" t="s">
        <v>31</v>
      </c>
      <c r="FP81" t="s">
        <v>31</v>
      </c>
      <c r="FQ81" t="s">
        <v>31</v>
      </c>
      <c r="FR81" t="s">
        <v>31</v>
      </c>
      <c r="FS81" s="3">
        <v>13170</v>
      </c>
      <c r="FT81" s="3">
        <v>13170</v>
      </c>
      <c r="FW81" s="3">
        <v>13170</v>
      </c>
      <c r="FX81" s="3">
        <v>13170</v>
      </c>
      <c r="GE81" s="3">
        <v>233.32</v>
      </c>
      <c r="GG81" s="3">
        <v>13170</v>
      </c>
      <c r="GI81" t="s">
        <v>32</v>
      </c>
      <c r="GL81" t="s">
        <v>273</v>
      </c>
      <c r="GM81" t="s">
        <v>34</v>
      </c>
      <c r="GN81" t="s">
        <v>35</v>
      </c>
      <c r="GS81" t="str">
        <f>""</f>
        <v/>
      </c>
      <c r="GT81" t="str">
        <f>""</f>
        <v/>
      </c>
      <c r="HF81" t="str">
        <f>""</f>
        <v/>
      </c>
      <c r="HK81" t="str">
        <f>""</f>
        <v/>
      </c>
      <c r="HN81" t="s">
        <v>38</v>
      </c>
      <c r="HP81" t="str">
        <f>""</f>
        <v/>
      </c>
      <c r="HZ81" t="str">
        <f>""</f>
        <v/>
      </c>
      <c r="IA81" t="str">
        <f>HYPERLINK("https://web.datatree.com/?/property?propertyId=128807027")</f>
        <v>https://web.datatree.com/?/property?propertyId=128807027</v>
      </c>
    </row>
    <row r="82" spans="1:235" x14ac:dyDescent="0.3">
      <c r="A82" t="s">
        <v>2092</v>
      </c>
      <c r="B82" t="s">
        <v>2093</v>
      </c>
      <c r="C82" t="s">
        <v>2093</v>
      </c>
      <c r="D82" t="s">
        <v>2094</v>
      </c>
      <c r="E82" t="s">
        <v>3</v>
      </c>
      <c r="F82">
        <v>3</v>
      </c>
      <c r="O82" t="s">
        <v>2095</v>
      </c>
      <c r="P82" t="s">
        <v>2092</v>
      </c>
      <c r="T82" t="s">
        <v>137</v>
      </c>
      <c r="W82">
        <v>13318</v>
      </c>
      <c r="Y82" t="s">
        <v>148</v>
      </c>
      <c r="Z82" t="s">
        <v>2096</v>
      </c>
      <c r="AC82" t="s">
        <v>317</v>
      </c>
      <c r="AE82" t="s">
        <v>8</v>
      </c>
      <c r="AF82" t="str">
        <f>"78632"</f>
        <v>78632</v>
      </c>
      <c r="AG82" t="str">
        <f>"78632"</f>
        <v>78632</v>
      </c>
      <c r="AH82" t="s">
        <v>2</v>
      </c>
      <c r="AJ82" t="s">
        <v>2097</v>
      </c>
      <c r="AK82" t="s">
        <v>2098</v>
      </c>
      <c r="AP82" t="s">
        <v>2099</v>
      </c>
      <c r="AS82" t="s">
        <v>317</v>
      </c>
      <c r="AU82" t="s">
        <v>8</v>
      </c>
      <c r="AV82" t="str">
        <f>"78632"</f>
        <v>78632</v>
      </c>
      <c r="AW82" t="s">
        <v>254</v>
      </c>
      <c r="AX82" t="s">
        <v>2100</v>
      </c>
      <c r="AY82" t="s">
        <v>2101</v>
      </c>
      <c r="AZ82" t="s">
        <v>18</v>
      </c>
      <c r="BA82" t="s">
        <v>2102</v>
      </c>
      <c r="BB82" t="str">
        <f>"9774"</f>
        <v>9774</v>
      </c>
      <c r="BC82" t="str">
        <f>"9774"</f>
        <v>9774</v>
      </c>
      <c r="BD82" t="str">
        <f>"144710500000000000000"</f>
        <v>144710500000000000000</v>
      </c>
      <c r="BE82">
        <v>48177</v>
      </c>
      <c r="BG82">
        <v>100</v>
      </c>
      <c r="BH82">
        <v>1006</v>
      </c>
      <c r="BN82">
        <v>29.6660381445603</v>
      </c>
      <c r="BO82">
        <v>-97.508570444481805</v>
      </c>
      <c r="BX82" t="s">
        <v>22</v>
      </c>
      <c r="CA82" t="str">
        <f>""</f>
        <v/>
      </c>
      <c r="CC82">
        <v>910</v>
      </c>
      <c r="CD82">
        <v>910</v>
      </c>
      <c r="CH82">
        <v>910</v>
      </c>
      <c r="CJ82">
        <v>1986</v>
      </c>
      <c r="CO82">
        <v>0</v>
      </c>
      <c r="DJ82" t="s">
        <v>1128</v>
      </c>
      <c r="DK82">
        <v>64</v>
      </c>
      <c r="DL82" t="s">
        <v>289</v>
      </c>
      <c r="DM82">
        <v>100</v>
      </c>
      <c r="DU82" t="s">
        <v>721</v>
      </c>
      <c r="EA82" s="1">
        <v>1</v>
      </c>
      <c r="EC82" t="s">
        <v>23</v>
      </c>
      <c r="ED82" t="s">
        <v>24</v>
      </c>
      <c r="EE82" t="s">
        <v>25</v>
      </c>
      <c r="EG82">
        <v>43865</v>
      </c>
      <c r="EH82">
        <v>1.01</v>
      </c>
      <c r="EI82">
        <v>35000</v>
      </c>
      <c r="EJ82">
        <f t="shared" si="2"/>
        <v>17500</v>
      </c>
      <c r="ER82">
        <v>1</v>
      </c>
      <c r="EW82" t="s">
        <v>26</v>
      </c>
      <c r="EX82" t="s">
        <v>327</v>
      </c>
      <c r="EY82" t="s">
        <v>328</v>
      </c>
      <c r="EZ82" s="2">
        <v>40515</v>
      </c>
      <c r="FA82" t="s">
        <v>143</v>
      </c>
      <c r="FB82" t="str">
        <f>"FALSE"</f>
        <v>FALSE</v>
      </c>
      <c r="FC82">
        <v>2019</v>
      </c>
      <c r="FD82">
        <v>2016</v>
      </c>
      <c r="FE82" t="s">
        <v>30</v>
      </c>
      <c r="FF82" t="s">
        <v>31</v>
      </c>
      <c r="FG82" t="s">
        <v>520</v>
      </c>
      <c r="FH82" t="s">
        <v>31</v>
      </c>
      <c r="FI82" t="s">
        <v>31</v>
      </c>
      <c r="FJ82" t="s">
        <v>31</v>
      </c>
      <c r="FK82" t="s">
        <v>31</v>
      </c>
      <c r="FL82" t="s">
        <v>31</v>
      </c>
      <c r="FM82" t="s">
        <v>31</v>
      </c>
      <c r="FN82" t="s">
        <v>31</v>
      </c>
      <c r="FO82" t="s">
        <v>31</v>
      </c>
      <c r="FP82" t="s">
        <v>31</v>
      </c>
      <c r="FQ82" t="s">
        <v>31</v>
      </c>
      <c r="FR82" t="s">
        <v>31</v>
      </c>
      <c r="FS82" s="3">
        <v>18630</v>
      </c>
      <c r="FT82" s="3">
        <v>13840</v>
      </c>
      <c r="FU82" s="3">
        <v>4790</v>
      </c>
      <c r="FV82">
        <v>25.71</v>
      </c>
      <c r="FW82" s="3">
        <v>18630</v>
      </c>
      <c r="FX82" s="3">
        <v>13840</v>
      </c>
      <c r="FY82" s="3">
        <v>4790</v>
      </c>
      <c r="FZ82">
        <v>25.71</v>
      </c>
      <c r="GE82" s="3">
        <v>333.31</v>
      </c>
      <c r="GG82" s="3">
        <v>18630</v>
      </c>
      <c r="GI82" t="s">
        <v>32</v>
      </c>
      <c r="GL82" t="s">
        <v>33</v>
      </c>
      <c r="GM82" t="s">
        <v>34</v>
      </c>
      <c r="GN82" t="s">
        <v>35</v>
      </c>
      <c r="GS82" t="str">
        <f>""</f>
        <v/>
      </c>
      <c r="GT82" t="str">
        <f>""</f>
        <v/>
      </c>
      <c r="GV82" s="2">
        <v>38776</v>
      </c>
      <c r="GW82" s="3">
        <v>0</v>
      </c>
      <c r="GY82" t="s">
        <v>36</v>
      </c>
      <c r="GZ82" t="s">
        <v>37</v>
      </c>
      <c r="HA82" s="3">
        <v>0</v>
      </c>
      <c r="HF82" t="str">
        <f>""</f>
        <v/>
      </c>
      <c r="HK82" t="str">
        <f>""</f>
        <v/>
      </c>
      <c r="HN82" t="s">
        <v>38</v>
      </c>
      <c r="HP82" t="str">
        <f>"0009390901"</f>
        <v>0009390901</v>
      </c>
      <c r="HZ82" t="str">
        <f>""</f>
        <v/>
      </c>
      <c r="IA82" t="str">
        <f>HYPERLINK("https://web.datatree.com/?/property?propertyId=128806887")</f>
        <v>https://web.datatree.com/?/property?propertyId=128806887</v>
      </c>
    </row>
    <row r="83" spans="1:235" x14ac:dyDescent="0.3">
      <c r="A83" t="s">
        <v>493</v>
      </c>
      <c r="D83" t="s">
        <v>493</v>
      </c>
      <c r="E83" t="s">
        <v>84</v>
      </c>
      <c r="F83">
        <v>1</v>
      </c>
      <c r="O83" t="s">
        <v>493</v>
      </c>
      <c r="P83" t="s">
        <v>493</v>
      </c>
      <c r="R83" t="s">
        <v>85</v>
      </c>
      <c r="T83" t="s">
        <v>55</v>
      </c>
      <c r="Z83" t="s">
        <v>494</v>
      </c>
      <c r="AC83" t="s">
        <v>2</v>
      </c>
      <c r="AE83" t="s">
        <v>8</v>
      </c>
      <c r="AF83" t="str">
        <f>"78629"</f>
        <v>78629</v>
      </c>
      <c r="AG83" t="str">
        <f>"78629"</f>
        <v>78629</v>
      </c>
      <c r="AH83" t="s">
        <v>2</v>
      </c>
      <c r="AJ83" t="s">
        <v>495</v>
      </c>
      <c r="AK83" t="s">
        <v>496</v>
      </c>
      <c r="AP83" t="s">
        <v>497</v>
      </c>
      <c r="AS83" t="s">
        <v>498</v>
      </c>
      <c r="AT83" t="s">
        <v>498</v>
      </c>
      <c r="AU83" t="s">
        <v>8</v>
      </c>
      <c r="AV83" t="str">
        <f>"78611"</f>
        <v>78611</v>
      </c>
      <c r="AW83" t="s">
        <v>499</v>
      </c>
      <c r="AX83" t="s">
        <v>500</v>
      </c>
      <c r="AY83" t="s">
        <v>501</v>
      </c>
      <c r="AZ83" t="s">
        <v>18</v>
      </c>
      <c r="BA83" t="s">
        <v>502</v>
      </c>
      <c r="BB83" t="str">
        <f>"20244"</f>
        <v>20244</v>
      </c>
      <c r="BC83" t="str">
        <f>"20244"</f>
        <v>20244</v>
      </c>
      <c r="BD83" t="str">
        <f>"165405004613000000000"</f>
        <v>165405004613000000000</v>
      </c>
      <c r="BE83">
        <v>48177</v>
      </c>
      <c r="BG83">
        <v>400</v>
      </c>
      <c r="BH83">
        <v>2001</v>
      </c>
      <c r="BI83" t="s">
        <v>20</v>
      </c>
      <c r="BN83">
        <v>29.5153662202524</v>
      </c>
      <c r="BO83">
        <v>-97.438854574851007</v>
      </c>
      <c r="BP83" t="s">
        <v>503</v>
      </c>
      <c r="BX83" t="s">
        <v>22</v>
      </c>
      <c r="CA83" t="str">
        <f>""</f>
        <v/>
      </c>
      <c r="CD83">
        <v>0</v>
      </c>
      <c r="CO83">
        <v>0</v>
      </c>
      <c r="EA83" s="1">
        <v>1</v>
      </c>
      <c r="EC83" t="s">
        <v>23</v>
      </c>
      <c r="ED83" t="s">
        <v>24</v>
      </c>
      <c r="EE83" t="s">
        <v>25</v>
      </c>
      <c r="EF83" t="s">
        <v>469</v>
      </c>
      <c r="EG83">
        <v>44401</v>
      </c>
      <c r="EH83">
        <v>1.02</v>
      </c>
      <c r="EI83">
        <v>35000</v>
      </c>
      <c r="EJ83">
        <f t="shared" si="2"/>
        <v>17500</v>
      </c>
      <c r="EK83">
        <v>185</v>
      </c>
      <c r="EL83">
        <v>240</v>
      </c>
      <c r="EW83" t="s">
        <v>26</v>
      </c>
      <c r="EX83" t="s">
        <v>27</v>
      </c>
      <c r="EY83" t="s">
        <v>28</v>
      </c>
      <c r="EZ83" s="2">
        <v>40515</v>
      </c>
      <c r="FA83" t="s">
        <v>29</v>
      </c>
      <c r="FB83" t="str">
        <f>"FALSE"</f>
        <v>FALSE</v>
      </c>
      <c r="FC83">
        <v>2019</v>
      </c>
      <c r="FD83">
        <v>2016</v>
      </c>
      <c r="FE83" t="s">
        <v>30</v>
      </c>
      <c r="FF83" t="s">
        <v>31</v>
      </c>
      <c r="FG83" t="s">
        <v>31</v>
      </c>
      <c r="FH83" t="s">
        <v>31</v>
      </c>
      <c r="FI83" t="s">
        <v>31</v>
      </c>
      <c r="FJ83" t="s">
        <v>31</v>
      </c>
      <c r="FK83" t="s">
        <v>31</v>
      </c>
      <c r="FL83" t="s">
        <v>31</v>
      </c>
      <c r="FM83" t="s">
        <v>31</v>
      </c>
      <c r="FN83" t="s">
        <v>31</v>
      </c>
      <c r="FO83" t="s">
        <v>31</v>
      </c>
      <c r="FP83" t="s">
        <v>31</v>
      </c>
      <c r="FQ83" t="s">
        <v>31</v>
      </c>
      <c r="FR83" t="s">
        <v>31</v>
      </c>
      <c r="FS83" s="3">
        <v>37550</v>
      </c>
      <c r="FT83" s="3">
        <v>37550</v>
      </c>
      <c r="FW83" s="3">
        <v>37550</v>
      </c>
      <c r="FX83" s="3">
        <v>37550</v>
      </c>
      <c r="GE83" s="3">
        <v>832.86</v>
      </c>
      <c r="GG83" s="3">
        <v>37550</v>
      </c>
      <c r="GI83" t="s">
        <v>32</v>
      </c>
      <c r="GL83" t="s">
        <v>33</v>
      </c>
      <c r="GM83" t="s">
        <v>34</v>
      </c>
      <c r="GN83" t="s">
        <v>35</v>
      </c>
      <c r="GS83" t="str">
        <f>""</f>
        <v/>
      </c>
      <c r="GT83" t="str">
        <f>""</f>
        <v/>
      </c>
      <c r="GV83" s="2">
        <v>36342</v>
      </c>
      <c r="GW83" s="3">
        <v>0</v>
      </c>
      <c r="GY83" t="s">
        <v>36</v>
      </c>
      <c r="GZ83" t="s">
        <v>37</v>
      </c>
      <c r="HF83" t="str">
        <f>""</f>
        <v/>
      </c>
      <c r="HK83" t="str">
        <f>""</f>
        <v/>
      </c>
      <c r="HN83" t="s">
        <v>38</v>
      </c>
      <c r="HP83" t="str">
        <f>"0004520080"</f>
        <v>0004520080</v>
      </c>
      <c r="HZ83" t="str">
        <f>""</f>
        <v/>
      </c>
      <c r="IA83" t="str">
        <f>HYPERLINK("https://web.datatree.com/?/property?propertyId=128796434")</f>
        <v>https://web.datatree.com/?/property?propertyId=128796434</v>
      </c>
    </row>
    <row r="84" spans="1:235" x14ac:dyDescent="0.3">
      <c r="A84" t="s">
        <v>470</v>
      </c>
      <c r="B84" t="s">
        <v>471</v>
      </c>
      <c r="C84" t="s">
        <v>472</v>
      </c>
      <c r="D84" t="s">
        <v>302</v>
      </c>
      <c r="E84" t="s">
        <v>3</v>
      </c>
      <c r="F84">
        <v>2</v>
      </c>
      <c r="O84" t="s">
        <v>473</v>
      </c>
      <c r="P84" t="s">
        <v>470</v>
      </c>
      <c r="T84" t="s">
        <v>137</v>
      </c>
      <c r="W84">
        <v>2105</v>
      </c>
      <c r="Z84" t="s">
        <v>317</v>
      </c>
      <c r="AA84" t="s">
        <v>73</v>
      </c>
      <c r="AC84" t="s">
        <v>2</v>
      </c>
      <c r="AE84" t="s">
        <v>8</v>
      </c>
      <c r="AF84" t="str">
        <f>"78629"</f>
        <v>78629</v>
      </c>
      <c r="AG84" t="str">
        <f>"78629-6317"</f>
        <v>78629-6317</v>
      </c>
      <c r="AH84" t="s">
        <v>2</v>
      </c>
      <c r="AI84" t="s">
        <v>217</v>
      </c>
      <c r="AJ84" t="s">
        <v>474</v>
      </c>
      <c r="AK84" t="s">
        <v>475</v>
      </c>
      <c r="AM84">
        <v>2105</v>
      </c>
      <c r="AP84" t="s">
        <v>317</v>
      </c>
      <c r="AQ84" t="s">
        <v>73</v>
      </c>
      <c r="AS84" t="s">
        <v>2</v>
      </c>
      <c r="AU84" t="s">
        <v>8</v>
      </c>
      <c r="AV84" t="str">
        <f>"78629-6317"</f>
        <v>78629-6317</v>
      </c>
      <c r="AW84" t="s">
        <v>217</v>
      </c>
      <c r="AX84" t="s">
        <v>474</v>
      </c>
      <c r="AY84" t="s">
        <v>476</v>
      </c>
      <c r="BA84" t="s">
        <v>477</v>
      </c>
      <c r="BB84" t="str">
        <f>"13100"</f>
        <v>13100</v>
      </c>
      <c r="BC84" t="str">
        <f>"13100"</f>
        <v>13100</v>
      </c>
      <c r="BD84" t="str">
        <f>"164307100000650000000"</f>
        <v>164307100000650000000</v>
      </c>
      <c r="BE84">
        <v>48177</v>
      </c>
      <c r="BG84">
        <v>200</v>
      </c>
      <c r="BH84">
        <v>3128</v>
      </c>
      <c r="BN84">
        <v>29.520921914212</v>
      </c>
      <c r="BO84">
        <v>-97.458000530658893</v>
      </c>
      <c r="BP84" t="s">
        <v>478</v>
      </c>
      <c r="BX84" t="s">
        <v>22</v>
      </c>
      <c r="CA84" t="str">
        <f>"6"</f>
        <v>6</v>
      </c>
      <c r="CD84">
        <v>0</v>
      </c>
      <c r="CO84">
        <v>0</v>
      </c>
      <c r="EA84" s="1">
        <v>1</v>
      </c>
      <c r="EC84" t="s">
        <v>23</v>
      </c>
      <c r="ED84" t="s">
        <v>24</v>
      </c>
      <c r="EE84" t="s">
        <v>25</v>
      </c>
      <c r="EG84">
        <v>45058</v>
      </c>
      <c r="EH84">
        <v>1.03</v>
      </c>
      <c r="EI84">
        <v>35000</v>
      </c>
      <c r="EJ84">
        <f t="shared" si="2"/>
        <v>17500</v>
      </c>
      <c r="EK84">
        <v>111.1</v>
      </c>
      <c r="EL84">
        <v>202.8</v>
      </c>
      <c r="EM84">
        <v>22531.08</v>
      </c>
      <c r="EN84">
        <v>22531.08</v>
      </c>
      <c r="EW84" t="s">
        <v>26</v>
      </c>
      <c r="EX84" t="s">
        <v>27</v>
      </c>
      <c r="EY84" t="s">
        <v>28</v>
      </c>
      <c r="EZ84" s="2">
        <v>40515</v>
      </c>
      <c r="FA84" t="s">
        <v>29</v>
      </c>
      <c r="FB84" t="str">
        <f>"FALSE"</f>
        <v>FALSE</v>
      </c>
      <c r="FC84">
        <v>2019</v>
      </c>
      <c r="FD84">
        <v>2016</v>
      </c>
      <c r="FE84" t="s">
        <v>30</v>
      </c>
      <c r="FF84" t="s">
        <v>31</v>
      </c>
      <c r="FG84" t="s">
        <v>31</v>
      </c>
      <c r="FH84" t="s">
        <v>31</v>
      </c>
      <c r="FI84" t="s">
        <v>31</v>
      </c>
      <c r="FJ84" t="s">
        <v>31</v>
      </c>
      <c r="FK84" t="s">
        <v>31</v>
      </c>
      <c r="FL84" t="s">
        <v>31</v>
      </c>
      <c r="FM84" t="s">
        <v>31</v>
      </c>
      <c r="FN84" t="s">
        <v>31</v>
      </c>
      <c r="FO84" t="s">
        <v>31</v>
      </c>
      <c r="FP84" t="s">
        <v>31</v>
      </c>
      <c r="FQ84" t="s">
        <v>31</v>
      </c>
      <c r="FR84" t="s">
        <v>31</v>
      </c>
      <c r="FS84" s="3">
        <v>13470</v>
      </c>
      <c r="FT84" s="3">
        <v>13470</v>
      </c>
      <c r="FW84" s="3">
        <v>13470</v>
      </c>
      <c r="FX84" s="3">
        <v>13470</v>
      </c>
      <c r="GE84" s="3">
        <v>298.76</v>
      </c>
      <c r="GG84" s="3">
        <v>13470</v>
      </c>
      <c r="GI84" t="s">
        <v>32</v>
      </c>
      <c r="GL84" t="s">
        <v>33</v>
      </c>
      <c r="GM84" t="s">
        <v>34</v>
      </c>
      <c r="GN84" t="s">
        <v>35</v>
      </c>
      <c r="GS84" t="str">
        <f>""</f>
        <v/>
      </c>
      <c r="GT84" t="str">
        <f>""</f>
        <v/>
      </c>
      <c r="GV84" s="2">
        <v>38644</v>
      </c>
      <c r="GW84" s="3">
        <v>0</v>
      </c>
      <c r="GY84" t="s">
        <v>36</v>
      </c>
      <c r="GZ84" t="s">
        <v>37</v>
      </c>
      <c r="HF84" t="str">
        <f>""</f>
        <v/>
      </c>
      <c r="HK84" t="str">
        <f>""</f>
        <v/>
      </c>
      <c r="HN84" t="s">
        <v>38</v>
      </c>
      <c r="HP84" t="str">
        <f>"0009320357"</f>
        <v>0009320357</v>
      </c>
      <c r="HZ84" t="str">
        <f>""</f>
        <v/>
      </c>
      <c r="IA84" t="str">
        <f>HYPERLINK("https://web.datatree.com/?/property?propertyId=128792067")</f>
        <v>https://web.datatree.com/?/property?propertyId=128792067</v>
      </c>
    </row>
    <row r="85" spans="1:235" x14ac:dyDescent="0.3">
      <c r="A85" t="s">
        <v>612</v>
      </c>
      <c r="B85" t="s">
        <v>613</v>
      </c>
      <c r="C85" t="s">
        <v>614</v>
      </c>
      <c r="D85" t="s">
        <v>615</v>
      </c>
      <c r="E85" t="s">
        <v>3</v>
      </c>
      <c r="F85">
        <v>4</v>
      </c>
      <c r="O85" t="s">
        <v>616</v>
      </c>
      <c r="P85" t="s">
        <v>612</v>
      </c>
      <c r="T85" t="s">
        <v>137</v>
      </c>
      <c r="W85">
        <v>318</v>
      </c>
      <c r="Z85" t="s">
        <v>617</v>
      </c>
      <c r="AA85" t="s">
        <v>77</v>
      </c>
      <c r="AC85" t="s">
        <v>2</v>
      </c>
      <c r="AE85" t="s">
        <v>8</v>
      </c>
      <c r="AF85" t="str">
        <f>"78629"</f>
        <v>78629</v>
      </c>
      <c r="AG85" t="str">
        <f>"78629-4732"</f>
        <v>78629-4732</v>
      </c>
      <c r="AH85" t="s">
        <v>2</v>
      </c>
      <c r="AI85" t="s">
        <v>9</v>
      </c>
      <c r="AJ85" t="s">
        <v>618</v>
      </c>
      <c r="AK85" t="s">
        <v>619</v>
      </c>
      <c r="AM85">
        <v>318</v>
      </c>
      <c r="AP85" t="s">
        <v>617</v>
      </c>
      <c r="AQ85" t="s">
        <v>77</v>
      </c>
      <c r="AS85" t="s">
        <v>2</v>
      </c>
      <c r="AU85" t="s">
        <v>8</v>
      </c>
      <c r="AV85" t="str">
        <f>"78629-4732"</f>
        <v>78629-4732</v>
      </c>
      <c r="AW85" t="s">
        <v>9</v>
      </c>
      <c r="AX85" t="s">
        <v>618</v>
      </c>
      <c r="AY85" t="s">
        <v>620</v>
      </c>
      <c r="BA85" t="s">
        <v>621</v>
      </c>
      <c r="BB85" t="str">
        <f>"31"</f>
        <v>31</v>
      </c>
      <c r="BC85" t="str">
        <f>"31"</f>
        <v>31</v>
      </c>
      <c r="BD85" t="str">
        <f>"100201500000000000000"</f>
        <v>100201500000000000000</v>
      </c>
      <c r="BE85">
        <v>48177</v>
      </c>
      <c r="BG85">
        <v>200</v>
      </c>
      <c r="BH85">
        <v>1056</v>
      </c>
      <c r="BN85">
        <v>29.499021542594601</v>
      </c>
      <c r="BO85">
        <v>-97.4404425132564</v>
      </c>
      <c r="BX85" t="s">
        <v>22</v>
      </c>
      <c r="CA85" t="str">
        <f>""</f>
        <v/>
      </c>
      <c r="CD85">
        <v>0</v>
      </c>
      <c r="CO85">
        <v>0</v>
      </c>
      <c r="EA85" s="1">
        <v>1</v>
      </c>
      <c r="EC85" t="s">
        <v>23</v>
      </c>
      <c r="ED85" t="s">
        <v>24</v>
      </c>
      <c r="EE85" t="s">
        <v>25</v>
      </c>
      <c r="EG85">
        <v>45738</v>
      </c>
      <c r="EH85">
        <v>1.05</v>
      </c>
      <c r="EI85">
        <v>35000</v>
      </c>
      <c r="EJ85">
        <f t="shared" si="2"/>
        <v>17500</v>
      </c>
      <c r="ER85">
        <v>1</v>
      </c>
      <c r="EW85" t="s">
        <v>270</v>
      </c>
      <c r="EX85" t="s">
        <v>271</v>
      </c>
      <c r="EY85" t="s">
        <v>272</v>
      </c>
      <c r="EZ85" s="2">
        <v>40515</v>
      </c>
      <c r="FA85" t="s">
        <v>143</v>
      </c>
      <c r="FB85" t="str">
        <f>"TRUE"</f>
        <v>TRUE</v>
      </c>
      <c r="FC85">
        <v>2019</v>
      </c>
      <c r="FD85">
        <v>2016</v>
      </c>
      <c r="FE85" t="s">
        <v>30</v>
      </c>
      <c r="FF85" t="s">
        <v>31</v>
      </c>
      <c r="FG85" t="s">
        <v>31</v>
      </c>
      <c r="FH85" t="s">
        <v>31</v>
      </c>
      <c r="FI85" t="s">
        <v>31</v>
      </c>
      <c r="FJ85" t="s">
        <v>31</v>
      </c>
      <c r="FK85" t="s">
        <v>31</v>
      </c>
      <c r="FL85" t="s">
        <v>31</v>
      </c>
      <c r="FM85" t="s">
        <v>31</v>
      </c>
      <c r="FN85" t="s">
        <v>31</v>
      </c>
      <c r="FO85" t="s">
        <v>31</v>
      </c>
      <c r="FP85" t="s">
        <v>31</v>
      </c>
      <c r="FQ85" t="s">
        <v>31</v>
      </c>
      <c r="FR85" t="s">
        <v>31</v>
      </c>
      <c r="FS85" s="3">
        <v>19060</v>
      </c>
      <c r="FT85" s="3">
        <v>13520</v>
      </c>
      <c r="FU85" s="3">
        <v>5540</v>
      </c>
      <c r="FV85">
        <v>29.07</v>
      </c>
      <c r="FW85" s="3">
        <v>19060</v>
      </c>
      <c r="FX85" s="3">
        <v>13520</v>
      </c>
      <c r="FY85" s="3">
        <v>5540</v>
      </c>
      <c r="FZ85">
        <v>29.07</v>
      </c>
      <c r="GE85" s="3">
        <v>365.15</v>
      </c>
      <c r="GG85" s="3">
        <v>19060</v>
      </c>
      <c r="GI85" t="s">
        <v>32</v>
      </c>
      <c r="GL85" t="s">
        <v>273</v>
      </c>
      <c r="GM85" t="s">
        <v>34</v>
      </c>
      <c r="GN85" t="s">
        <v>35</v>
      </c>
      <c r="GS85" t="str">
        <f>""</f>
        <v/>
      </c>
      <c r="GT85" t="str">
        <f>""</f>
        <v/>
      </c>
      <c r="GV85" s="2">
        <v>27677</v>
      </c>
      <c r="GW85" s="3">
        <v>0</v>
      </c>
      <c r="GY85" t="s">
        <v>36</v>
      </c>
      <c r="GZ85" t="s">
        <v>37</v>
      </c>
      <c r="HF85" t="str">
        <f>""</f>
        <v/>
      </c>
      <c r="HK85" t="str">
        <f>""</f>
        <v/>
      </c>
      <c r="HN85" t="s">
        <v>38</v>
      </c>
      <c r="HP85" t="str">
        <f>"0004140094"</f>
        <v>0004140094</v>
      </c>
      <c r="HZ85" t="str">
        <f>""</f>
        <v/>
      </c>
      <c r="IA85" t="str">
        <f>HYPERLINK("https://web.datatree.com/?/property?propertyId=128800122")</f>
        <v>https://web.datatree.com/?/property?propertyId=128800122</v>
      </c>
    </row>
    <row r="86" spans="1:235" x14ac:dyDescent="0.3">
      <c r="A86" t="s">
        <v>1200</v>
      </c>
      <c r="B86" t="s">
        <v>1201</v>
      </c>
      <c r="C86" t="s">
        <v>1202</v>
      </c>
      <c r="D86" t="s">
        <v>1203</v>
      </c>
      <c r="E86" t="s">
        <v>3</v>
      </c>
      <c r="F86">
        <v>4</v>
      </c>
      <c r="O86" t="s">
        <v>1204</v>
      </c>
      <c r="P86" t="s">
        <v>1200</v>
      </c>
      <c r="T86" t="s">
        <v>5</v>
      </c>
      <c r="U86" t="s">
        <v>520</v>
      </c>
      <c r="V86" t="s">
        <v>52</v>
      </c>
      <c r="W86">
        <v>175</v>
      </c>
      <c r="Z86" t="s">
        <v>1205</v>
      </c>
      <c r="AA86" t="s">
        <v>7</v>
      </c>
      <c r="AC86" t="s">
        <v>317</v>
      </c>
      <c r="AE86" t="s">
        <v>8</v>
      </c>
      <c r="AF86" t="str">
        <f>"78632"</f>
        <v>78632</v>
      </c>
      <c r="AG86" t="str">
        <f>"78632"</f>
        <v>78632</v>
      </c>
      <c r="AH86" t="s">
        <v>2</v>
      </c>
      <c r="AJ86" t="s">
        <v>1206</v>
      </c>
      <c r="AK86" t="s">
        <v>1207</v>
      </c>
      <c r="AM86">
        <v>1032</v>
      </c>
      <c r="AP86" t="s">
        <v>1208</v>
      </c>
      <c r="AQ86" t="s">
        <v>77</v>
      </c>
      <c r="AS86" t="s">
        <v>769</v>
      </c>
      <c r="AT86" t="s">
        <v>769</v>
      </c>
      <c r="AU86" t="s">
        <v>8</v>
      </c>
      <c r="AV86" t="str">
        <f>"78648-4810"</f>
        <v>78648-4810</v>
      </c>
      <c r="AW86" t="s">
        <v>60</v>
      </c>
      <c r="AX86" t="s">
        <v>1209</v>
      </c>
      <c r="AY86" t="s">
        <v>1210</v>
      </c>
      <c r="AZ86" t="s">
        <v>18</v>
      </c>
      <c r="BA86" t="s">
        <v>1211</v>
      </c>
      <c r="BB86" t="str">
        <f>"14033"</f>
        <v>14033</v>
      </c>
      <c r="BC86" t="str">
        <f>"14033"</f>
        <v>14033</v>
      </c>
      <c r="BD86" t="str">
        <f>"166811059011400000000"</f>
        <v>166811059011400000000</v>
      </c>
      <c r="BE86">
        <v>48177</v>
      </c>
      <c r="BG86">
        <v>100</v>
      </c>
      <c r="BH86">
        <v>1006</v>
      </c>
      <c r="BN86">
        <v>29.664869087828599</v>
      </c>
      <c r="BO86">
        <v>-97.501323292856696</v>
      </c>
      <c r="BP86" t="s">
        <v>1212</v>
      </c>
      <c r="BX86" t="s">
        <v>22</v>
      </c>
      <c r="CA86" t="str">
        <f>""</f>
        <v/>
      </c>
      <c r="CD86">
        <v>0</v>
      </c>
      <c r="CO86">
        <v>0</v>
      </c>
      <c r="EA86" s="1">
        <v>1</v>
      </c>
      <c r="EC86" t="s">
        <v>23</v>
      </c>
      <c r="ED86" t="s">
        <v>24</v>
      </c>
      <c r="EE86" t="s">
        <v>25</v>
      </c>
      <c r="EG86">
        <v>46609</v>
      </c>
      <c r="EH86">
        <v>1.07</v>
      </c>
      <c r="EI86">
        <v>35000</v>
      </c>
      <c r="EJ86">
        <f t="shared" si="2"/>
        <v>17500</v>
      </c>
      <c r="EW86" t="s">
        <v>26</v>
      </c>
      <c r="EX86" t="s">
        <v>327</v>
      </c>
      <c r="EY86" t="s">
        <v>328</v>
      </c>
      <c r="EZ86" s="2">
        <v>40515</v>
      </c>
      <c r="FA86" t="s">
        <v>143</v>
      </c>
      <c r="FB86" t="str">
        <f>"FALSE"</f>
        <v>FALSE</v>
      </c>
      <c r="FC86">
        <v>2019</v>
      </c>
      <c r="FD86">
        <v>2016</v>
      </c>
      <c r="FE86" t="s">
        <v>30</v>
      </c>
      <c r="FF86" t="s">
        <v>31</v>
      </c>
      <c r="FG86" t="s">
        <v>31</v>
      </c>
      <c r="FH86" t="s">
        <v>31</v>
      </c>
      <c r="FI86" t="s">
        <v>31</v>
      </c>
      <c r="FJ86" t="s">
        <v>31</v>
      </c>
      <c r="FK86" t="s">
        <v>31</v>
      </c>
      <c r="FL86" t="s">
        <v>31</v>
      </c>
      <c r="FM86" t="s">
        <v>31</v>
      </c>
      <c r="FN86" t="s">
        <v>31</v>
      </c>
      <c r="FO86" t="s">
        <v>31</v>
      </c>
      <c r="FP86" t="s">
        <v>31</v>
      </c>
      <c r="FQ86" t="s">
        <v>31</v>
      </c>
      <c r="FR86" t="s">
        <v>31</v>
      </c>
      <c r="FS86" s="3">
        <v>13310</v>
      </c>
      <c r="FT86" s="3">
        <v>12500</v>
      </c>
      <c r="FU86" s="3">
        <v>810</v>
      </c>
      <c r="FV86">
        <v>6.09</v>
      </c>
      <c r="FW86" s="3">
        <v>13310</v>
      </c>
      <c r="FX86" s="3">
        <v>12500</v>
      </c>
      <c r="FY86" s="3">
        <v>810</v>
      </c>
      <c r="FZ86">
        <v>6.09</v>
      </c>
      <c r="GE86" s="3">
        <v>255.14</v>
      </c>
      <c r="GG86" s="3">
        <v>13310</v>
      </c>
      <c r="GI86" t="s">
        <v>32</v>
      </c>
      <c r="GL86" t="s">
        <v>33</v>
      </c>
      <c r="GM86" t="s">
        <v>34</v>
      </c>
      <c r="GN86" t="s">
        <v>35</v>
      </c>
      <c r="GS86" t="str">
        <f>""</f>
        <v/>
      </c>
      <c r="GT86" t="str">
        <f>""</f>
        <v/>
      </c>
      <c r="GV86" s="2">
        <v>38035</v>
      </c>
      <c r="GW86" s="3">
        <v>0</v>
      </c>
      <c r="GY86" t="s">
        <v>36</v>
      </c>
      <c r="GZ86" t="s">
        <v>37</v>
      </c>
      <c r="HF86" t="str">
        <f>""</f>
        <v/>
      </c>
      <c r="HK86" t="str">
        <f>""</f>
        <v/>
      </c>
      <c r="HN86" t="s">
        <v>38</v>
      </c>
      <c r="HP86" t="str">
        <f>"0008990175"</f>
        <v>0008990175</v>
      </c>
      <c r="HZ86" t="str">
        <f>""</f>
        <v/>
      </c>
      <c r="IA86" t="str">
        <f>HYPERLINK("https://web.datatree.com/?/property?propertyId=128793025")</f>
        <v>https://web.datatree.com/?/property?propertyId=128793025</v>
      </c>
    </row>
    <row r="87" spans="1:235" x14ac:dyDescent="0.3">
      <c r="A87" t="s">
        <v>1249</v>
      </c>
      <c r="B87" t="s">
        <v>904</v>
      </c>
      <c r="C87" t="s">
        <v>904</v>
      </c>
      <c r="D87" t="s">
        <v>1250</v>
      </c>
      <c r="E87" t="s">
        <v>3</v>
      </c>
      <c r="F87">
        <v>2</v>
      </c>
      <c r="G87" t="s">
        <v>1251</v>
      </c>
      <c r="H87" t="s">
        <v>1252</v>
      </c>
      <c r="I87" t="s">
        <v>1252</v>
      </c>
      <c r="J87" t="s">
        <v>1250</v>
      </c>
      <c r="K87" t="s">
        <v>3</v>
      </c>
      <c r="L87">
        <v>1</v>
      </c>
      <c r="O87" t="s">
        <v>1253</v>
      </c>
      <c r="P87" t="s">
        <v>1254</v>
      </c>
      <c r="T87" t="s">
        <v>5</v>
      </c>
      <c r="V87" t="s">
        <v>31</v>
      </c>
      <c r="W87">
        <v>200</v>
      </c>
      <c r="Z87" t="s">
        <v>1255</v>
      </c>
      <c r="AC87" t="s">
        <v>72</v>
      </c>
      <c r="AE87" t="s">
        <v>8</v>
      </c>
      <c r="AF87" t="str">
        <f>"78959"</f>
        <v>78959</v>
      </c>
      <c r="AG87" t="str">
        <f>"78959"</f>
        <v>78959</v>
      </c>
      <c r="AH87" t="s">
        <v>2</v>
      </c>
      <c r="AJ87" t="s">
        <v>1256</v>
      </c>
      <c r="AK87" t="s">
        <v>1257</v>
      </c>
      <c r="AM87">
        <v>2305</v>
      </c>
      <c r="AP87" t="s">
        <v>1258</v>
      </c>
      <c r="AQ87" t="s">
        <v>703</v>
      </c>
      <c r="AS87" t="s">
        <v>90</v>
      </c>
      <c r="AT87" t="s">
        <v>90</v>
      </c>
      <c r="AU87" t="s">
        <v>8</v>
      </c>
      <c r="AV87" t="str">
        <f>"78745-3510"</f>
        <v>78745-3510</v>
      </c>
      <c r="AW87" t="s">
        <v>1259</v>
      </c>
      <c r="AX87" t="s">
        <v>1260</v>
      </c>
      <c r="AY87" t="s">
        <v>1261</v>
      </c>
      <c r="AZ87" t="s">
        <v>18</v>
      </c>
      <c r="BA87" t="s">
        <v>1262</v>
      </c>
      <c r="BB87" t="str">
        <f>"16318"</f>
        <v>16318</v>
      </c>
      <c r="BC87" t="str">
        <f>"16318"</f>
        <v>16318</v>
      </c>
      <c r="BD87" t="str">
        <f>"180146434152801000000"</f>
        <v>180146434152801000000</v>
      </c>
      <c r="BE87">
        <v>48177</v>
      </c>
      <c r="BG87">
        <v>100</v>
      </c>
      <c r="BH87">
        <v>2028</v>
      </c>
      <c r="BN87">
        <v>29.693424130635002</v>
      </c>
      <c r="BO87">
        <v>-97.295358610549798</v>
      </c>
      <c r="BX87" t="s">
        <v>22</v>
      </c>
      <c r="CA87" t="str">
        <f>""</f>
        <v/>
      </c>
      <c r="CD87">
        <v>0</v>
      </c>
      <c r="CO87">
        <v>0</v>
      </c>
      <c r="DA87" t="s">
        <v>131</v>
      </c>
      <c r="DC87" t="s">
        <v>131</v>
      </c>
      <c r="EA87" s="1">
        <v>1</v>
      </c>
      <c r="EC87" t="s">
        <v>23</v>
      </c>
      <c r="ED87" t="s">
        <v>24</v>
      </c>
      <c r="EE87" t="s">
        <v>25</v>
      </c>
      <c r="EG87">
        <v>46801</v>
      </c>
      <c r="EH87">
        <v>1.07</v>
      </c>
      <c r="EI87">
        <v>35000</v>
      </c>
      <c r="EJ87">
        <f t="shared" si="2"/>
        <v>17500</v>
      </c>
      <c r="EK87">
        <v>130</v>
      </c>
      <c r="EL87">
        <v>90</v>
      </c>
      <c r="EM87">
        <v>11700</v>
      </c>
      <c r="EN87">
        <v>11700</v>
      </c>
      <c r="ER87">
        <v>1</v>
      </c>
      <c r="EW87" t="s">
        <v>26</v>
      </c>
      <c r="EX87" t="s">
        <v>202</v>
      </c>
      <c r="EY87" t="s">
        <v>203</v>
      </c>
      <c r="EZ87" s="2">
        <v>40515</v>
      </c>
      <c r="FA87" t="s">
        <v>204</v>
      </c>
      <c r="FB87" t="str">
        <f>"FALSE"</f>
        <v>FALSE</v>
      </c>
      <c r="FC87">
        <v>2019</v>
      </c>
      <c r="FD87">
        <v>2016</v>
      </c>
      <c r="FE87" t="s">
        <v>205</v>
      </c>
      <c r="FF87" t="s">
        <v>31</v>
      </c>
      <c r="FG87" t="s">
        <v>31</v>
      </c>
      <c r="FH87" t="s">
        <v>31</v>
      </c>
      <c r="FI87" t="s">
        <v>31</v>
      </c>
      <c r="FJ87" t="s">
        <v>31</v>
      </c>
      <c r="FK87" t="s">
        <v>31</v>
      </c>
      <c r="FL87" t="s">
        <v>31</v>
      </c>
      <c r="FM87" t="s">
        <v>31</v>
      </c>
      <c r="FN87" t="s">
        <v>31</v>
      </c>
      <c r="FO87" t="s">
        <v>31</v>
      </c>
      <c r="FP87" t="s">
        <v>31</v>
      </c>
      <c r="FQ87" t="s">
        <v>31</v>
      </c>
      <c r="FR87" t="s">
        <v>31</v>
      </c>
      <c r="FS87" s="3">
        <v>10870</v>
      </c>
      <c r="FT87" s="3">
        <v>10740</v>
      </c>
      <c r="FU87" s="3">
        <v>130</v>
      </c>
      <c r="FV87">
        <v>1.2</v>
      </c>
      <c r="FW87" s="3">
        <v>10870</v>
      </c>
      <c r="FX87" s="3">
        <v>10740</v>
      </c>
      <c r="FY87" s="3">
        <v>130</v>
      </c>
      <c r="FZ87">
        <v>1.2</v>
      </c>
      <c r="GE87" s="3">
        <v>241.5</v>
      </c>
      <c r="GG87" s="3">
        <v>10870</v>
      </c>
      <c r="GI87" t="s">
        <v>206</v>
      </c>
      <c r="GL87" t="s">
        <v>207</v>
      </c>
      <c r="GM87" t="s">
        <v>207</v>
      </c>
      <c r="GN87" t="s">
        <v>207</v>
      </c>
      <c r="GS87" t="str">
        <f>""</f>
        <v/>
      </c>
      <c r="GT87" t="str">
        <f>""</f>
        <v/>
      </c>
      <c r="GV87" s="2">
        <v>36678</v>
      </c>
      <c r="GW87" s="3">
        <v>0</v>
      </c>
      <c r="GY87" t="s">
        <v>36</v>
      </c>
      <c r="GZ87" t="s">
        <v>37</v>
      </c>
      <c r="HF87" t="str">
        <f>""</f>
        <v/>
      </c>
      <c r="HK87" t="str">
        <f>""</f>
        <v/>
      </c>
      <c r="HN87" t="s">
        <v>38</v>
      </c>
      <c r="HP87" t="str">
        <f>"0008340785"</f>
        <v>0008340785</v>
      </c>
      <c r="HZ87" t="str">
        <f>""</f>
        <v/>
      </c>
      <c r="IA87" t="str">
        <f>HYPERLINK("https://web.datatree.com/?/property?propertyId=128794811")</f>
        <v>https://web.datatree.com/?/property?propertyId=128794811</v>
      </c>
    </row>
    <row r="88" spans="1:235" x14ac:dyDescent="0.3">
      <c r="A88" t="s">
        <v>1130</v>
      </c>
      <c r="B88" t="s">
        <v>1131</v>
      </c>
      <c r="C88" t="s">
        <v>1132</v>
      </c>
      <c r="D88" t="s">
        <v>1133</v>
      </c>
      <c r="E88" t="s">
        <v>3</v>
      </c>
      <c r="F88">
        <v>1</v>
      </c>
      <c r="O88" t="s">
        <v>1134</v>
      </c>
      <c r="P88" t="s">
        <v>1130</v>
      </c>
      <c r="T88" t="s">
        <v>55</v>
      </c>
      <c r="Z88" t="s">
        <v>1135</v>
      </c>
      <c r="AE88" t="s">
        <v>8</v>
      </c>
      <c r="AH88" t="s">
        <v>2</v>
      </c>
      <c r="AJ88" t="s">
        <v>1136</v>
      </c>
      <c r="AK88" t="s">
        <v>1137</v>
      </c>
      <c r="AM88">
        <v>121</v>
      </c>
      <c r="AP88" t="s">
        <v>1138</v>
      </c>
      <c r="AQ88" t="s">
        <v>77</v>
      </c>
      <c r="AS88" t="s">
        <v>1139</v>
      </c>
      <c r="AU88" t="s">
        <v>8</v>
      </c>
      <c r="AV88" t="str">
        <f>"78621-9561"</f>
        <v>78621-9561</v>
      </c>
      <c r="AW88" t="s">
        <v>217</v>
      </c>
      <c r="AX88" t="s">
        <v>1140</v>
      </c>
      <c r="AY88" t="s">
        <v>1141</v>
      </c>
      <c r="AZ88" t="s">
        <v>18</v>
      </c>
      <c r="BA88" t="s">
        <v>1142</v>
      </c>
      <c r="BB88" t="str">
        <f>"1564"</f>
        <v>1564</v>
      </c>
      <c r="BC88" t="str">
        <f>"1564"</f>
        <v>1564</v>
      </c>
      <c r="BD88" t="str">
        <f>"103221500000000000000"</f>
        <v>103221500000000000000</v>
      </c>
      <c r="BE88">
        <v>48177</v>
      </c>
      <c r="BI88" t="s">
        <v>20</v>
      </c>
      <c r="BN88">
        <v>29.511190950700001</v>
      </c>
      <c r="BO88">
        <v>-97.688339388667401</v>
      </c>
      <c r="BX88" t="s">
        <v>22</v>
      </c>
      <c r="CA88" t="str">
        <f>""</f>
        <v/>
      </c>
      <c r="CD88">
        <v>0</v>
      </c>
      <c r="CO88">
        <v>0</v>
      </c>
      <c r="EA88" s="1">
        <v>1</v>
      </c>
      <c r="EC88" t="s">
        <v>23</v>
      </c>
      <c r="ED88" t="s">
        <v>24</v>
      </c>
      <c r="EE88" t="s">
        <v>25</v>
      </c>
      <c r="EG88">
        <v>46609</v>
      </c>
      <c r="EH88">
        <v>1.07</v>
      </c>
      <c r="EI88">
        <v>35000</v>
      </c>
      <c r="EJ88">
        <f t="shared" si="2"/>
        <v>17500</v>
      </c>
      <c r="EW88" t="s">
        <v>26</v>
      </c>
      <c r="EX88" t="s">
        <v>708</v>
      </c>
      <c r="EY88" t="s">
        <v>709</v>
      </c>
      <c r="EZ88" s="2">
        <v>40515</v>
      </c>
      <c r="FA88" t="s">
        <v>143</v>
      </c>
      <c r="FB88" t="str">
        <f>"FALSE"</f>
        <v>FALSE</v>
      </c>
      <c r="FC88">
        <v>2019</v>
      </c>
      <c r="FD88">
        <v>2016</v>
      </c>
      <c r="FE88" t="s">
        <v>119</v>
      </c>
      <c r="FF88" t="s">
        <v>31</v>
      </c>
      <c r="FG88" t="s">
        <v>31</v>
      </c>
      <c r="FH88" t="s">
        <v>31</v>
      </c>
      <c r="FI88" t="s">
        <v>31</v>
      </c>
      <c r="FJ88" t="s">
        <v>31</v>
      </c>
      <c r="FK88" t="s">
        <v>31</v>
      </c>
      <c r="FL88" t="s">
        <v>31</v>
      </c>
      <c r="FM88" t="s">
        <v>31</v>
      </c>
      <c r="FN88" t="s">
        <v>31</v>
      </c>
      <c r="FO88" t="s">
        <v>31</v>
      </c>
      <c r="FP88" t="s">
        <v>31</v>
      </c>
      <c r="FQ88" t="s">
        <v>31</v>
      </c>
      <c r="FR88" t="s">
        <v>31</v>
      </c>
      <c r="FS88" s="3">
        <v>16170</v>
      </c>
      <c r="FT88" s="3">
        <v>16170</v>
      </c>
      <c r="FW88" s="3">
        <v>16170</v>
      </c>
      <c r="FX88" s="3">
        <v>16170</v>
      </c>
      <c r="GE88" s="3">
        <v>286.47000000000003</v>
      </c>
      <c r="GG88" s="3">
        <v>16170</v>
      </c>
      <c r="GI88" t="s">
        <v>120</v>
      </c>
      <c r="GL88" t="s">
        <v>121</v>
      </c>
      <c r="GM88" t="s">
        <v>122</v>
      </c>
      <c r="GN88" t="s">
        <v>123</v>
      </c>
      <c r="GS88" t="str">
        <f>""</f>
        <v/>
      </c>
      <c r="GT88" t="str">
        <f>""</f>
        <v/>
      </c>
      <c r="GV88" s="2">
        <v>40218</v>
      </c>
      <c r="GW88" s="3">
        <v>0</v>
      </c>
      <c r="GY88" t="s">
        <v>36</v>
      </c>
      <c r="GZ88" t="s">
        <v>37</v>
      </c>
      <c r="HF88" t="str">
        <f>""</f>
        <v/>
      </c>
      <c r="HK88" t="str">
        <f>""</f>
        <v/>
      </c>
      <c r="HN88" t="s">
        <v>38</v>
      </c>
      <c r="HP88" t="str">
        <f>"0010270750"</f>
        <v>0010270750</v>
      </c>
      <c r="HZ88" t="str">
        <f>""</f>
        <v/>
      </c>
      <c r="IA88" t="str">
        <f>HYPERLINK("https://web.datatree.com/?/property?propertyId=128794208")</f>
        <v>https://web.datatree.com/?/property?propertyId=128794208</v>
      </c>
    </row>
    <row r="89" spans="1:235" x14ac:dyDescent="0.3">
      <c r="A89" t="s">
        <v>406</v>
      </c>
      <c r="B89" t="s">
        <v>407</v>
      </c>
      <c r="C89" t="s">
        <v>407</v>
      </c>
      <c r="D89" t="s">
        <v>408</v>
      </c>
      <c r="E89" t="s">
        <v>3</v>
      </c>
      <c r="F89">
        <v>39</v>
      </c>
      <c r="G89" t="s">
        <v>409</v>
      </c>
      <c r="H89" t="s">
        <v>410</v>
      </c>
      <c r="I89" t="s">
        <v>411</v>
      </c>
      <c r="J89" t="s">
        <v>408</v>
      </c>
      <c r="K89" t="s">
        <v>3</v>
      </c>
      <c r="L89">
        <v>4</v>
      </c>
      <c r="O89" t="s">
        <v>412</v>
      </c>
      <c r="P89" t="s">
        <v>413</v>
      </c>
      <c r="T89" t="s">
        <v>55</v>
      </c>
      <c r="Z89" t="s">
        <v>317</v>
      </c>
      <c r="AA89" t="s">
        <v>73</v>
      </c>
      <c r="AC89" t="s">
        <v>2</v>
      </c>
      <c r="AE89" t="s">
        <v>8</v>
      </c>
      <c r="AF89" t="str">
        <f>"78629"</f>
        <v>78629</v>
      </c>
      <c r="AG89" t="str">
        <f>"78629"</f>
        <v>78629</v>
      </c>
      <c r="AH89" t="s">
        <v>2</v>
      </c>
      <c r="AJ89" t="s">
        <v>414</v>
      </c>
      <c r="AK89" t="s">
        <v>415</v>
      </c>
      <c r="AP89" t="s">
        <v>416</v>
      </c>
      <c r="AS89" t="s">
        <v>2</v>
      </c>
      <c r="AT89" t="s">
        <v>2</v>
      </c>
      <c r="AU89" t="s">
        <v>8</v>
      </c>
      <c r="AV89" t="str">
        <f>"78629"</f>
        <v>78629</v>
      </c>
      <c r="AW89" t="s">
        <v>254</v>
      </c>
      <c r="AX89" t="s">
        <v>417</v>
      </c>
      <c r="AY89" t="s">
        <v>418</v>
      </c>
      <c r="AZ89" t="s">
        <v>18</v>
      </c>
      <c r="BA89" t="s">
        <v>419</v>
      </c>
      <c r="BB89" t="str">
        <f>"12863"</f>
        <v>12863</v>
      </c>
      <c r="BC89" t="str">
        <f>"12863"</f>
        <v>12863</v>
      </c>
      <c r="BD89" t="str">
        <f>"163301500091100000000"</f>
        <v>163301500091100000000</v>
      </c>
      <c r="BE89">
        <v>48177</v>
      </c>
      <c r="BG89">
        <v>400</v>
      </c>
      <c r="BH89">
        <v>2001</v>
      </c>
      <c r="BN89">
        <v>29.5186635346688</v>
      </c>
      <c r="BO89">
        <v>-97.458800026039299</v>
      </c>
      <c r="BP89" t="s">
        <v>420</v>
      </c>
      <c r="BX89" t="s">
        <v>22</v>
      </c>
      <c r="CA89" t="str">
        <f>"1|2"</f>
        <v>1|2</v>
      </c>
      <c r="CD89">
        <v>0</v>
      </c>
      <c r="CO89">
        <v>0</v>
      </c>
      <c r="EA89" s="1">
        <v>1</v>
      </c>
      <c r="EC89" t="s">
        <v>23</v>
      </c>
      <c r="ED89" t="s">
        <v>24</v>
      </c>
      <c r="EE89" t="s">
        <v>25</v>
      </c>
      <c r="EG89">
        <v>47737</v>
      </c>
      <c r="EH89">
        <v>1.1000000000000001</v>
      </c>
      <c r="EI89">
        <v>35000</v>
      </c>
      <c r="EJ89">
        <f t="shared" si="2"/>
        <v>17500</v>
      </c>
      <c r="EK89">
        <v>351</v>
      </c>
      <c r="EL89">
        <v>136</v>
      </c>
      <c r="EW89" t="s">
        <v>26</v>
      </c>
      <c r="EX89" t="s">
        <v>27</v>
      </c>
      <c r="EY89" t="s">
        <v>28</v>
      </c>
      <c r="EZ89" s="2">
        <v>40515</v>
      </c>
      <c r="FA89" t="s">
        <v>29</v>
      </c>
      <c r="FB89" t="str">
        <f>"FALSE"</f>
        <v>FALSE</v>
      </c>
      <c r="FC89">
        <v>2019</v>
      </c>
      <c r="FD89">
        <v>2016</v>
      </c>
      <c r="FE89" t="s">
        <v>30</v>
      </c>
      <c r="FF89" t="s">
        <v>31</v>
      </c>
      <c r="FG89" t="s">
        <v>31</v>
      </c>
      <c r="FH89" t="s">
        <v>31</v>
      </c>
      <c r="FI89" t="s">
        <v>31</v>
      </c>
      <c r="FJ89" t="s">
        <v>31</v>
      </c>
      <c r="FK89" t="s">
        <v>31</v>
      </c>
      <c r="FL89" t="s">
        <v>31</v>
      </c>
      <c r="FM89" t="s">
        <v>31</v>
      </c>
      <c r="FN89" t="s">
        <v>31</v>
      </c>
      <c r="FO89" t="s">
        <v>31</v>
      </c>
      <c r="FP89" t="s">
        <v>31</v>
      </c>
      <c r="FQ89" t="s">
        <v>31</v>
      </c>
      <c r="FR89" t="s">
        <v>31</v>
      </c>
      <c r="FS89" s="3">
        <v>18730</v>
      </c>
      <c r="FT89" s="3">
        <v>18730</v>
      </c>
      <c r="FW89" s="3">
        <v>18730</v>
      </c>
      <c r="FX89" s="3">
        <v>18730</v>
      </c>
      <c r="GE89" s="3">
        <v>415.43</v>
      </c>
      <c r="GG89" s="3">
        <v>18730</v>
      </c>
      <c r="GI89" t="s">
        <v>32</v>
      </c>
      <c r="GL89" t="s">
        <v>33</v>
      </c>
      <c r="GM89" t="s">
        <v>34</v>
      </c>
      <c r="GN89" t="s">
        <v>35</v>
      </c>
      <c r="GS89" t="str">
        <f>""</f>
        <v/>
      </c>
      <c r="GT89" t="str">
        <f>""</f>
        <v/>
      </c>
      <c r="HF89" t="str">
        <f>""</f>
        <v/>
      </c>
      <c r="HK89" t="str">
        <f>""</f>
        <v/>
      </c>
      <c r="HN89" t="s">
        <v>38</v>
      </c>
      <c r="HP89" t="str">
        <f>""</f>
        <v/>
      </c>
      <c r="HZ89" t="str">
        <f>""</f>
        <v/>
      </c>
      <c r="IA89" t="str">
        <f>HYPERLINK("https://web.datatree.com/?/property?propertyId=128791839")</f>
        <v>https://web.datatree.com/?/property?propertyId=128791839</v>
      </c>
    </row>
    <row r="90" spans="1:235" x14ac:dyDescent="0.3">
      <c r="A90" t="s">
        <v>958</v>
      </c>
      <c r="B90" t="s">
        <v>443</v>
      </c>
      <c r="C90" t="s">
        <v>443</v>
      </c>
      <c r="D90" t="s">
        <v>959</v>
      </c>
      <c r="E90" t="s">
        <v>3</v>
      </c>
      <c r="F90">
        <v>2</v>
      </c>
      <c r="O90" t="s">
        <v>960</v>
      </c>
      <c r="P90" t="s">
        <v>958</v>
      </c>
      <c r="T90" t="s">
        <v>55</v>
      </c>
      <c r="Z90" t="s">
        <v>961</v>
      </c>
      <c r="AE90" t="s">
        <v>8</v>
      </c>
      <c r="AH90" t="s">
        <v>2</v>
      </c>
      <c r="AJ90" t="s">
        <v>962</v>
      </c>
      <c r="AK90" t="s">
        <v>963</v>
      </c>
      <c r="AP90" t="s">
        <v>964</v>
      </c>
      <c r="AS90" t="s">
        <v>607</v>
      </c>
      <c r="AU90" t="s">
        <v>8</v>
      </c>
      <c r="AV90" t="str">
        <f>"78122"</f>
        <v>78122</v>
      </c>
      <c r="AW90" t="s">
        <v>254</v>
      </c>
      <c r="AX90" t="s">
        <v>965</v>
      </c>
      <c r="AY90" t="s">
        <v>966</v>
      </c>
      <c r="AZ90" t="s">
        <v>18</v>
      </c>
      <c r="BA90" t="s">
        <v>729</v>
      </c>
      <c r="BB90" t="str">
        <f>"19318"</f>
        <v>19318</v>
      </c>
      <c r="BC90" t="str">
        <f>"19318"</f>
        <v>19318</v>
      </c>
      <c r="BD90" t="str">
        <f>"114832300000002000000"</f>
        <v>114832300000002000000</v>
      </c>
      <c r="BE90">
        <v>48177</v>
      </c>
      <c r="BI90" t="s">
        <v>20</v>
      </c>
      <c r="BN90">
        <v>29.394017856626999</v>
      </c>
      <c r="BO90">
        <v>-97.748059866732504</v>
      </c>
      <c r="BX90" t="s">
        <v>22</v>
      </c>
      <c r="CA90" t="str">
        <f>""</f>
        <v/>
      </c>
      <c r="CD90">
        <v>0</v>
      </c>
      <c r="CO90">
        <v>0</v>
      </c>
      <c r="EA90" s="1">
        <v>1</v>
      </c>
      <c r="EC90" t="s">
        <v>23</v>
      </c>
      <c r="ED90" t="s">
        <v>24</v>
      </c>
      <c r="EE90" t="s">
        <v>25</v>
      </c>
      <c r="EF90" t="s">
        <v>26</v>
      </c>
      <c r="EG90">
        <v>49528</v>
      </c>
      <c r="EH90">
        <v>1.1399999999999999</v>
      </c>
      <c r="EI90">
        <v>35000</v>
      </c>
      <c r="EJ90">
        <f t="shared" si="2"/>
        <v>17500</v>
      </c>
      <c r="ER90">
        <v>1</v>
      </c>
      <c r="EW90" t="s">
        <v>26</v>
      </c>
      <c r="EX90" t="s">
        <v>733</v>
      </c>
      <c r="EY90" t="s">
        <v>734</v>
      </c>
      <c r="EZ90" s="2">
        <v>40515</v>
      </c>
      <c r="FA90" t="s">
        <v>143</v>
      </c>
      <c r="FB90" t="str">
        <f>"FALSE"</f>
        <v>FALSE</v>
      </c>
      <c r="FC90">
        <v>2019</v>
      </c>
      <c r="FD90">
        <v>2016</v>
      </c>
      <c r="FE90" t="s">
        <v>119</v>
      </c>
      <c r="FF90" t="s">
        <v>31</v>
      </c>
      <c r="FG90" t="s">
        <v>31</v>
      </c>
      <c r="FH90" t="s">
        <v>31</v>
      </c>
      <c r="FI90" t="s">
        <v>31</v>
      </c>
      <c r="FJ90" t="s">
        <v>31</v>
      </c>
      <c r="FK90" t="s">
        <v>31</v>
      </c>
      <c r="FL90" t="s">
        <v>31</v>
      </c>
      <c r="FM90" t="s">
        <v>31</v>
      </c>
      <c r="FN90" t="s">
        <v>31</v>
      </c>
      <c r="FO90" t="s">
        <v>31</v>
      </c>
      <c r="FP90" t="s">
        <v>31</v>
      </c>
      <c r="FQ90" t="s">
        <v>31</v>
      </c>
      <c r="FR90" t="s">
        <v>31</v>
      </c>
      <c r="FS90" s="3">
        <v>18970</v>
      </c>
      <c r="FT90" s="3">
        <v>14030</v>
      </c>
      <c r="FU90" s="3">
        <v>4940</v>
      </c>
      <c r="FV90">
        <v>26.04</v>
      </c>
      <c r="FW90" s="3">
        <v>18970</v>
      </c>
      <c r="FX90" s="3">
        <v>14030</v>
      </c>
      <c r="FY90" s="3">
        <v>4940</v>
      </c>
      <c r="FZ90">
        <v>26.04</v>
      </c>
      <c r="GE90" s="3">
        <v>251.21</v>
      </c>
      <c r="GG90" s="3">
        <v>18970</v>
      </c>
      <c r="GI90" t="s">
        <v>120</v>
      </c>
      <c r="GL90" t="s">
        <v>121</v>
      </c>
      <c r="GM90" t="s">
        <v>122</v>
      </c>
      <c r="GN90" t="s">
        <v>123</v>
      </c>
      <c r="GS90" t="str">
        <f>""</f>
        <v/>
      </c>
      <c r="GT90" t="str">
        <f>""</f>
        <v/>
      </c>
      <c r="GV90" s="2">
        <v>37985</v>
      </c>
      <c r="GW90" s="3">
        <v>0</v>
      </c>
      <c r="GY90" t="s">
        <v>36</v>
      </c>
      <c r="GZ90" t="s">
        <v>37</v>
      </c>
      <c r="HF90" t="str">
        <f>""</f>
        <v/>
      </c>
      <c r="HK90" t="str">
        <f>""</f>
        <v/>
      </c>
      <c r="HN90" t="s">
        <v>38</v>
      </c>
      <c r="HP90" t="str">
        <f>"0008960222"</f>
        <v>0008960222</v>
      </c>
      <c r="HZ90" t="str">
        <f>""</f>
        <v/>
      </c>
      <c r="IA90" t="str">
        <f>HYPERLINK("https://web.datatree.com/?/property?propertyId=128795985")</f>
        <v>https://web.datatree.com/?/property?propertyId=128795985</v>
      </c>
    </row>
    <row r="91" spans="1:235" x14ac:dyDescent="0.3">
      <c r="A91" t="s">
        <v>1032</v>
      </c>
      <c r="D91" t="s">
        <v>1032</v>
      </c>
      <c r="E91" t="s">
        <v>84</v>
      </c>
      <c r="F91">
        <v>1</v>
      </c>
      <c r="O91" t="s">
        <v>1032</v>
      </c>
      <c r="P91" t="s">
        <v>1032</v>
      </c>
      <c r="R91" t="s">
        <v>85</v>
      </c>
      <c r="T91" t="s">
        <v>55</v>
      </c>
      <c r="Z91" t="s">
        <v>484</v>
      </c>
      <c r="AC91" t="s">
        <v>72</v>
      </c>
      <c r="AE91" t="s">
        <v>8</v>
      </c>
      <c r="AF91" t="str">
        <f>"78959"</f>
        <v>78959</v>
      </c>
      <c r="AG91" t="str">
        <f>"78959"</f>
        <v>78959</v>
      </c>
      <c r="AH91" t="s">
        <v>2</v>
      </c>
      <c r="AJ91" t="s">
        <v>485</v>
      </c>
      <c r="AK91" t="s">
        <v>1033</v>
      </c>
      <c r="AL91" t="s">
        <v>52</v>
      </c>
      <c r="AM91">
        <v>100</v>
      </c>
      <c r="AP91" t="s">
        <v>1034</v>
      </c>
      <c r="AQ91" t="s">
        <v>7</v>
      </c>
      <c r="AS91" t="s">
        <v>1035</v>
      </c>
      <c r="AT91" t="s">
        <v>1035</v>
      </c>
      <c r="AU91" t="s">
        <v>8</v>
      </c>
      <c r="AV91" t="str">
        <f>"78956-2225"</f>
        <v>78956-2225</v>
      </c>
      <c r="AW91" t="s">
        <v>80</v>
      </c>
      <c r="AX91" t="s">
        <v>1036</v>
      </c>
      <c r="AY91" t="s">
        <v>1037</v>
      </c>
      <c r="AZ91" t="s">
        <v>18</v>
      </c>
      <c r="BA91" t="s">
        <v>1038</v>
      </c>
      <c r="BB91" t="str">
        <f>"7245"</f>
        <v>7245</v>
      </c>
      <c r="BC91" t="str">
        <f>"7245"</f>
        <v>7245</v>
      </c>
      <c r="BD91" t="str">
        <f>"110806500000000000000"</f>
        <v>110806500000000000000</v>
      </c>
      <c r="BE91">
        <v>48177</v>
      </c>
      <c r="BG91">
        <v>100</v>
      </c>
      <c r="BH91">
        <v>2028</v>
      </c>
      <c r="BN91">
        <v>29.680831798660002</v>
      </c>
      <c r="BO91">
        <v>-97.301072212146494</v>
      </c>
      <c r="BP91" t="s">
        <v>1039</v>
      </c>
      <c r="BX91" t="s">
        <v>22</v>
      </c>
      <c r="CA91" t="str">
        <f>""</f>
        <v/>
      </c>
      <c r="CD91">
        <v>0</v>
      </c>
      <c r="CO91">
        <v>0</v>
      </c>
      <c r="EA91" s="1">
        <v>1</v>
      </c>
      <c r="EC91" t="s">
        <v>23</v>
      </c>
      <c r="ED91" t="s">
        <v>24</v>
      </c>
      <c r="EE91" t="s">
        <v>25</v>
      </c>
      <c r="EG91">
        <v>50007</v>
      </c>
      <c r="EH91">
        <v>1.1499999999999999</v>
      </c>
      <c r="EI91">
        <v>35000</v>
      </c>
      <c r="EJ91">
        <f t="shared" si="2"/>
        <v>17500</v>
      </c>
      <c r="EW91" t="s">
        <v>26</v>
      </c>
      <c r="EX91" t="s">
        <v>1040</v>
      </c>
      <c r="EY91" t="s">
        <v>1041</v>
      </c>
      <c r="EZ91" s="2">
        <v>40515</v>
      </c>
      <c r="FA91" t="s">
        <v>143</v>
      </c>
      <c r="FB91" t="str">
        <f>"FALSE"</f>
        <v>FALSE</v>
      </c>
      <c r="FC91">
        <v>2019</v>
      </c>
      <c r="FD91">
        <v>2016</v>
      </c>
      <c r="FE91" t="s">
        <v>205</v>
      </c>
      <c r="FF91" t="s">
        <v>31</v>
      </c>
      <c r="FG91" t="s">
        <v>31</v>
      </c>
      <c r="FH91" t="s">
        <v>31</v>
      </c>
      <c r="FI91" t="s">
        <v>31</v>
      </c>
      <c r="FJ91" t="s">
        <v>31</v>
      </c>
      <c r="FK91" t="s">
        <v>31</v>
      </c>
      <c r="FL91" t="s">
        <v>31</v>
      </c>
      <c r="FM91" t="s">
        <v>31</v>
      </c>
      <c r="FN91" t="s">
        <v>31</v>
      </c>
      <c r="FO91" t="s">
        <v>31</v>
      </c>
      <c r="FP91" t="s">
        <v>31</v>
      </c>
      <c r="FQ91" t="s">
        <v>31</v>
      </c>
      <c r="FR91" t="s">
        <v>31</v>
      </c>
      <c r="FS91" s="3">
        <v>15930</v>
      </c>
      <c r="FT91" s="3">
        <v>15930</v>
      </c>
      <c r="FW91" s="3">
        <v>15930</v>
      </c>
      <c r="FX91" s="3">
        <v>15930</v>
      </c>
      <c r="GE91" s="3">
        <v>353.92</v>
      </c>
      <c r="GG91" s="3">
        <v>15930</v>
      </c>
      <c r="GI91" t="s">
        <v>206</v>
      </c>
      <c r="GL91" t="s">
        <v>207</v>
      </c>
      <c r="GM91" t="s">
        <v>207</v>
      </c>
      <c r="GN91" t="s">
        <v>207</v>
      </c>
      <c r="GS91" t="str">
        <f>""</f>
        <v/>
      </c>
      <c r="GT91" t="str">
        <f>""</f>
        <v/>
      </c>
      <c r="GV91" s="2">
        <v>40479</v>
      </c>
      <c r="GW91" s="3">
        <v>0</v>
      </c>
      <c r="GY91" t="s">
        <v>36</v>
      </c>
      <c r="GZ91" t="s">
        <v>37</v>
      </c>
      <c r="HF91" t="str">
        <f>""</f>
        <v/>
      </c>
      <c r="HK91" t="str">
        <f>""</f>
        <v/>
      </c>
      <c r="HN91" t="s">
        <v>38</v>
      </c>
      <c r="HP91" t="str">
        <f>"0010340015"</f>
        <v>0010340015</v>
      </c>
      <c r="HZ91" t="str">
        <f>""</f>
        <v/>
      </c>
      <c r="IA91" t="str">
        <f>HYPERLINK("https://web.datatree.com/?/property?propertyId=128804320")</f>
        <v>https://web.datatree.com/?/property?propertyId=128804320</v>
      </c>
    </row>
    <row r="92" spans="1:235" x14ac:dyDescent="0.3">
      <c r="A92" t="s">
        <v>809</v>
      </c>
      <c r="D92" t="s">
        <v>809</v>
      </c>
      <c r="E92" t="s">
        <v>84</v>
      </c>
      <c r="F92">
        <v>3</v>
      </c>
      <c r="O92" t="s">
        <v>809</v>
      </c>
      <c r="P92" t="s">
        <v>809</v>
      </c>
      <c r="R92" t="s">
        <v>85</v>
      </c>
      <c r="T92" t="s">
        <v>137</v>
      </c>
      <c r="W92">
        <v>487</v>
      </c>
      <c r="Z92" t="s">
        <v>575</v>
      </c>
      <c r="AA92" t="s">
        <v>77</v>
      </c>
      <c r="AC92" t="s">
        <v>2</v>
      </c>
      <c r="AE92" t="s">
        <v>8</v>
      </c>
      <c r="AF92" t="str">
        <f>"78629"</f>
        <v>78629</v>
      </c>
      <c r="AG92" t="str">
        <f>"78629-6366"</f>
        <v>78629-6366</v>
      </c>
      <c r="AH92" t="s">
        <v>2</v>
      </c>
      <c r="AI92" t="s">
        <v>330</v>
      </c>
      <c r="AJ92" t="s">
        <v>810</v>
      </c>
      <c r="AK92" t="s">
        <v>811</v>
      </c>
      <c r="AM92">
        <v>487</v>
      </c>
      <c r="AP92" t="s">
        <v>575</v>
      </c>
      <c r="AQ92" t="s">
        <v>77</v>
      </c>
      <c r="AS92" t="s">
        <v>2</v>
      </c>
      <c r="AU92" t="s">
        <v>8</v>
      </c>
      <c r="AV92" t="str">
        <f>"78629-6366"</f>
        <v>78629-6366</v>
      </c>
      <c r="AW92" t="s">
        <v>330</v>
      </c>
      <c r="AX92" t="s">
        <v>810</v>
      </c>
      <c r="AY92" t="s">
        <v>812</v>
      </c>
      <c r="BA92" t="s">
        <v>813</v>
      </c>
      <c r="BB92" t="str">
        <f>"23906"</f>
        <v>23906</v>
      </c>
      <c r="BC92" t="str">
        <f>"23906"</f>
        <v>23906</v>
      </c>
      <c r="BD92" t="str">
        <f>"90590-00021-00000-000000"</f>
        <v>90590-00021-00000-000000</v>
      </c>
      <c r="BE92">
        <v>48177</v>
      </c>
      <c r="BG92">
        <v>200</v>
      </c>
      <c r="BH92">
        <v>2073</v>
      </c>
      <c r="BN92">
        <v>29.503858000000001</v>
      </c>
      <c r="BO92">
        <v>-97.53192</v>
      </c>
      <c r="CA92" t="str">
        <f>""</f>
        <v/>
      </c>
      <c r="CD92">
        <v>0</v>
      </c>
      <c r="CO92">
        <v>0</v>
      </c>
      <c r="CP92">
        <v>0</v>
      </c>
      <c r="EA92" s="1">
        <v>1</v>
      </c>
      <c r="EC92" t="s">
        <v>731</v>
      </c>
      <c r="EE92" t="s">
        <v>732</v>
      </c>
      <c r="EG92">
        <v>51836</v>
      </c>
      <c r="EH92">
        <v>1.19</v>
      </c>
      <c r="EI92">
        <v>35000</v>
      </c>
      <c r="EJ92">
        <f t="shared" si="2"/>
        <v>17500</v>
      </c>
      <c r="EW92" t="s">
        <v>26</v>
      </c>
      <c r="EX92" t="s">
        <v>683</v>
      </c>
      <c r="EY92" t="s">
        <v>684</v>
      </c>
      <c r="EZ92" s="2">
        <v>40515</v>
      </c>
      <c r="FA92" t="s">
        <v>143</v>
      </c>
      <c r="FB92" t="str">
        <f>"FALSE"</f>
        <v>FALSE</v>
      </c>
      <c r="FC92">
        <v>2019</v>
      </c>
      <c r="FE92" t="s">
        <v>30</v>
      </c>
      <c r="FF92" t="s">
        <v>31</v>
      </c>
      <c r="FG92" t="s">
        <v>31</v>
      </c>
      <c r="FH92" t="s">
        <v>31</v>
      </c>
      <c r="FI92" t="s">
        <v>31</v>
      </c>
      <c r="FJ92" t="s">
        <v>31</v>
      </c>
      <c r="FK92" t="s">
        <v>31</v>
      </c>
      <c r="FL92" t="s">
        <v>31</v>
      </c>
      <c r="FM92" t="s">
        <v>31</v>
      </c>
      <c r="FN92" t="s">
        <v>31</v>
      </c>
      <c r="FO92" t="s">
        <v>31</v>
      </c>
      <c r="FP92" t="s">
        <v>31</v>
      </c>
      <c r="FQ92" t="s">
        <v>31</v>
      </c>
      <c r="FR92" t="s">
        <v>31</v>
      </c>
      <c r="FS92" s="3">
        <v>13960</v>
      </c>
      <c r="FT92" s="3">
        <v>13960</v>
      </c>
      <c r="FW92" s="3">
        <v>13960</v>
      </c>
      <c r="FX92" s="3">
        <v>13960</v>
      </c>
      <c r="GG92" s="3">
        <v>13960</v>
      </c>
      <c r="GS92" t="str">
        <f>""</f>
        <v/>
      </c>
      <c r="GT92" t="str">
        <f>""</f>
        <v/>
      </c>
      <c r="GV92" s="2">
        <v>38640</v>
      </c>
      <c r="GW92" s="3">
        <v>0</v>
      </c>
      <c r="GY92" t="s">
        <v>36</v>
      </c>
      <c r="GZ92" t="s">
        <v>37</v>
      </c>
      <c r="HF92" t="str">
        <f>""</f>
        <v/>
      </c>
      <c r="HK92" t="str">
        <f>""</f>
        <v/>
      </c>
      <c r="HN92" t="s">
        <v>38</v>
      </c>
      <c r="HP92" t="str">
        <f>"0009240322"</f>
        <v>0009240322</v>
      </c>
      <c r="HZ92" t="str">
        <f>""</f>
        <v/>
      </c>
      <c r="IA92" t="str">
        <f>HYPERLINK("https://web.datatree.com/?/property?propertyId=128798431")</f>
        <v>https://web.datatree.com/?/property?propertyId=128798431</v>
      </c>
    </row>
    <row r="93" spans="1:235" x14ac:dyDescent="0.3">
      <c r="A93" t="s">
        <v>1658</v>
      </c>
      <c r="D93" t="s">
        <v>1658</v>
      </c>
      <c r="E93" t="s">
        <v>84</v>
      </c>
      <c r="F93">
        <v>2</v>
      </c>
      <c r="O93" t="s">
        <v>1658</v>
      </c>
      <c r="P93" t="s">
        <v>1658</v>
      </c>
      <c r="R93" t="s">
        <v>85</v>
      </c>
      <c r="T93" t="s">
        <v>5</v>
      </c>
      <c r="W93">
        <v>1200</v>
      </c>
      <c r="Z93" t="s">
        <v>652</v>
      </c>
      <c r="AA93" t="s">
        <v>77</v>
      </c>
      <c r="AC93" t="s">
        <v>2</v>
      </c>
      <c r="AE93" t="s">
        <v>8</v>
      </c>
      <c r="AF93" t="str">
        <f>"78629"</f>
        <v>78629</v>
      </c>
      <c r="AG93" t="str">
        <f>"78629"</f>
        <v>78629</v>
      </c>
      <c r="AH93" t="s">
        <v>2</v>
      </c>
      <c r="AJ93" t="s">
        <v>653</v>
      </c>
      <c r="AK93" t="s">
        <v>654</v>
      </c>
      <c r="AM93">
        <v>10540</v>
      </c>
      <c r="AP93" t="s">
        <v>1659</v>
      </c>
      <c r="AQ93" t="s">
        <v>1660</v>
      </c>
      <c r="AS93" t="s">
        <v>374</v>
      </c>
      <c r="AT93" t="s">
        <v>374</v>
      </c>
      <c r="AU93" t="s">
        <v>8</v>
      </c>
      <c r="AV93" t="str">
        <f>"77070-6339"</f>
        <v>77070-6339</v>
      </c>
      <c r="AW93" t="s">
        <v>1661</v>
      </c>
      <c r="AX93" t="s">
        <v>1662</v>
      </c>
      <c r="AY93" t="s">
        <v>1663</v>
      </c>
      <c r="AZ93" t="s">
        <v>18</v>
      </c>
      <c r="BA93" t="s">
        <v>1664</v>
      </c>
      <c r="BB93" t="str">
        <f>"27380"</f>
        <v>27380</v>
      </c>
      <c r="BC93" t="str">
        <f>"27380"</f>
        <v>27380</v>
      </c>
      <c r="BD93" t="str">
        <f>"992501000500050000000"</f>
        <v>992501000500050000000</v>
      </c>
      <c r="BE93">
        <v>48177</v>
      </c>
      <c r="BG93">
        <v>400</v>
      </c>
      <c r="BH93">
        <v>2001</v>
      </c>
      <c r="BN93">
        <v>29.521760300218201</v>
      </c>
      <c r="BO93">
        <v>-97.448734814035106</v>
      </c>
      <c r="BP93" t="s">
        <v>661</v>
      </c>
      <c r="BX93" t="s">
        <v>22</v>
      </c>
      <c r="CA93" t="str">
        <f>""</f>
        <v/>
      </c>
      <c r="CD93">
        <v>0</v>
      </c>
      <c r="CO93">
        <v>0</v>
      </c>
      <c r="EA93" s="1">
        <v>1</v>
      </c>
      <c r="EC93" t="s">
        <v>23</v>
      </c>
      <c r="ED93" t="s">
        <v>24</v>
      </c>
      <c r="EE93" t="s">
        <v>25</v>
      </c>
      <c r="EG93">
        <v>52708</v>
      </c>
      <c r="EH93">
        <v>1.21</v>
      </c>
      <c r="EI93">
        <v>35000</v>
      </c>
      <c r="EJ93">
        <f t="shared" si="2"/>
        <v>17500</v>
      </c>
      <c r="EW93" t="s">
        <v>5</v>
      </c>
      <c r="EX93" t="s">
        <v>27</v>
      </c>
      <c r="EY93" t="s">
        <v>28</v>
      </c>
      <c r="EZ93" s="2">
        <v>40515</v>
      </c>
      <c r="FA93" t="s">
        <v>29</v>
      </c>
      <c r="FB93" t="str">
        <f>"TRUE"</f>
        <v>TRUE</v>
      </c>
      <c r="FC93">
        <v>2019</v>
      </c>
      <c r="FD93">
        <v>2016</v>
      </c>
      <c r="FE93" t="s">
        <v>30</v>
      </c>
      <c r="FF93" t="s">
        <v>31</v>
      </c>
      <c r="FG93" t="s">
        <v>31</v>
      </c>
      <c r="FH93" t="s">
        <v>31</v>
      </c>
      <c r="FI93" t="s">
        <v>31</v>
      </c>
      <c r="FJ93" t="s">
        <v>31</v>
      </c>
      <c r="FK93" t="s">
        <v>31</v>
      </c>
      <c r="FL93" t="s">
        <v>31</v>
      </c>
      <c r="FM93" t="s">
        <v>31</v>
      </c>
      <c r="FN93" t="s">
        <v>31</v>
      </c>
      <c r="FO93" t="s">
        <v>31</v>
      </c>
      <c r="FP93" t="s">
        <v>31</v>
      </c>
      <c r="FQ93" t="s">
        <v>31</v>
      </c>
      <c r="FR93" t="s">
        <v>31</v>
      </c>
      <c r="FS93" s="3">
        <v>163180</v>
      </c>
      <c r="FT93" s="3">
        <v>163180</v>
      </c>
      <c r="FW93" s="3">
        <v>163180</v>
      </c>
      <c r="FX93" s="3">
        <v>163180</v>
      </c>
      <c r="GE93" s="3">
        <v>2053.1999999999998</v>
      </c>
      <c r="GG93" s="3">
        <v>163180</v>
      </c>
      <c r="GI93" t="s">
        <v>32</v>
      </c>
      <c r="GL93" t="s">
        <v>33</v>
      </c>
      <c r="GM93" t="s">
        <v>34</v>
      </c>
      <c r="GN93" t="s">
        <v>35</v>
      </c>
      <c r="GS93" t="str">
        <f>""</f>
        <v/>
      </c>
      <c r="GT93" t="str">
        <f>""</f>
        <v/>
      </c>
      <c r="HF93" t="str">
        <f>""</f>
        <v/>
      </c>
      <c r="HK93" t="str">
        <f>""</f>
        <v/>
      </c>
      <c r="HN93" t="s">
        <v>38</v>
      </c>
      <c r="HP93" t="str">
        <f>""</f>
        <v/>
      </c>
      <c r="HZ93" t="str">
        <f>""</f>
        <v/>
      </c>
      <c r="IA93" t="str">
        <f>HYPERLINK("https://web.datatree.com/?/property?propertyId=199634366")</f>
        <v>https://web.datatree.com/?/property?propertyId=199634366</v>
      </c>
    </row>
    <row r="94" spans="1:235" x14ac:dyDescent="0.3">
      <c r="A94" t="s">
        <v>456</v>
      </c>
      <c r="B94" t="s">
        <v>457</v>
      </c>
      <c r="C94" t="s">
        <v>457</v>
      </c>
      <c r="D94" t="s">
        <v>458</v>
      </c>
      <c r="E94" t="s">
        <v>3</v>
      </c>
      <c r="F94">
        <v>13</v>
      </c>
      <c r="G94" t="s">
        <v>459</v>
      </c>
      <c r="H94" t="s">
        <v>460</v>
      </c>
      <c r="I94" t="s">
        <v>460</v>
      </c>
      <c r="J94" t="s">
        <v>458</v>
      </c>
      <c r="K94" t="s">
        <v>3</v>
      </c>
      <c r="L94">
        <v>16</v>
      </c>
      <c r="O94" t="s">
        <v>461</v>
      </c>
      <c r="P94" t="s">
        <v>462</v>
      </c>
      <c r="T94" t="s">
        <v>5</v>
      </c>
      <c r="W94">
        <v>108</v>
      </c>
      <c r="Z94" t="s">
        <v>463</v>
      </c>
      <c r="AA94" t="s">
        <v>7</v>
      </c>
      <c r="AC94" t="s">
        <v>2</v>
      </c>
      <c r="AE94" t="s">
        <v>8</v>
      </c>
      <c r="AF94" t="str">
        <f>"78629"</f>
        <v>78629</v>
      </c>
      <c r="AG94" t="str">
        <f>"78629-6026"</f>
        <v>78629-6026</v>
      </c>
      <c r="AH94" t="s">
        <v>2</v>
      </c>
      <c r="AI94" t="s">
        <v>60</v>
      </c>
      <c r="AJ94" t="s">
        <v>464</v>
      </c>
      <c r="AK94" t="s">
        <v>465</v>
      </c>
      <c r="AM94">
        <v>5240</v>
      </c>
      <c r="AP94" t="s">
        <v>213</v>
      </c>
      <c r="AS94" t="s">
        <v>2</v>
      </c>
      <c r="AT94" t="s">
        <v>2</v>
      </c>
      <c r="AU94" t="s">
        <v>8</v>
      </c>
      <c r="AV94" t="str">
        <f>"78629-5286"</f>
        <v>78629-5286</v>
      </c>
      <c r="AW94" t="s">
        <v>217</v>
      </c>
      <c r="AX94" t="s">
        <v>466</v>
      </c>
      <c r="AY94" t="s">
        <v>467</v>
      </c>
      <c r="AZ94" t="s">
        <v>18</v>
      </c>
      <c r="BA94" t="s">
        <v>468</v>
      </c>
      <c r="BB94" t="str">
        <f>"13065"</f>
        <v>13065</v>
      </c>
      <c r="BC94" t="str">
        <f>"13065"</f>
        <v>13065</v>
      </c>
      <c r="BD94" t="str">
        <f>"164209000131470000000"</f>
        <v>164209000131470000000</v>
      </c>
      <c r="BE94">
        <v>48177</v>
      </c>
      <c r="BG94">
        <v>400</v>
      </c>
      <c r="BH94">
        <v>1062</v>
      </c>
      <c r="BN94">
        <v>29.508290314544698</v>
      </c>
      <c r="BO94">
        <v>-97.460746063190001</v>
      </c>
      <c r="BX94" t="s">
        <v>22</v>
      </c>
      <c r="CA94" t="str">
        <f>"15"</f>
        <v>15</v>
      </c>
      <c r="CD94">
        <v>0</v>
      </c>
      <c r="CO94">
        <v>0</v>
      </c>
      <c r="EA94" s="1">
        <v>1</v>
      </c>
      <c r="EC94" t="s">
        <v>23</v>
      </c>
      <c r="ED94" t="s">
        <v>24</v>
      </c>
      <c r="EE94" t="s">
        <v>25</v>
      </c>
      <c r="EF94" t="s">
        <v>469</v>
      </c>
      <c r="EG94">
        <v>56628</v>
      </c>
      <c r="EH94">
        <v>1.3</v>
      </c>
      <c r="EI94">
        <v>35000</v>
      </c>
      <c r="EJ94">
        <f t="shared" si="2"/>
        <v>17500</v>
      </c>
      <c r="EW94" t="s">
        <v>26</v>
      </c>
      <c r="EX94" t="s">
        <v>27</v>
      </c>
      <c r="EY94" t="s">
        <v>28</v>
      </c>
      <c r="EZ94" s="2">
        <v>40515</v>
      </c>
      <c r="FA94" t="s">
        <v>29</v>
      </c>
      <c r="FB94" t="str">
        <f>"FALSE"</f>
        <v>FALSE</v>
      </c>
      <c r="FC94">
        <v>2019</v>
      </c>
      <c r="FD94">
        <v>2016</v>
      </c>
      <c r="FE94" t="s">
        <v>30</v>
      </c>
      <c r="FF94" t="s">
        <v>31</v>
      </c>
      <c r="FG94" t="s">
        <v>31</v>
      </c>
      <c r="FH94" t="s">
        <v>31</v>
      </c>
      <c r="FI94" t="s">
        <v>31</v>
      </c>
      <c r="FJ94" t="s">
        <v>31</v>
      </c>
      <c r="FK94" t="s">
        <v>31</v>
      </c>
      <c r="FL94" t="s">
        <v>31</v>
      </c>
      <c r="FM94" t="s">
        <v>31</v>
      </c>
      <c r="FN94" t="s">
        <v>31</v>
      </c>
      <c r="FO94" t="s">
        <v>31</v>
      </c>
      <c r="FP94" t="s">
        <v>31</v>
      </c>
      <c r="FQ94" t="s">
        <v>31</v>
      </c>
      <c r="FR94" t="s">
        <v>31</v>
      </c>
      <c r="FS94" s="3">
        <v>58500</v>
      </c>
      <c r="FT94" s="3">
        <v>58500</v>
      </c>
      <c r="FW94" s="3">
        <v>58500</v>
      </c>
      <c r="FX94" s="3">
        <v>58500</v>
      </c>
      <c r="GE94" s="3">
        <v>1297.53</v>
      </c>
      <c r="GG94" s="3">
        <v>58500</v>
      </c>
      <c r="GI94" t="s">
        <v>32</v>
      </c>
      <c r="GL94" t="s">
        <v>33</v>
      </c>
      <c r="GM94" t="s">
        <v>34</v>
      </c>
      <c r="GN94" t="s">
        <v>35</v>
      </c>
      <c r="GS94" t="str">
        <f>""</f>
        <v/>
      </c>
      <c r="GT94" t="str">
        <f>""</f>
        <v/>
      </c>
      <c r="GV94" s="2">
        <v>39136</v>
      </c>
      <c r="GW94" s="3">
        <v>0</v>
      </c>
      <c r="GY94" t="s">
        <v>36</v>
      </c>
      <c r="GZ94" t="s">
        <v>37</v>
      </c>
      <c r="HF94" t="str">
        <f>""</f>
        <v/>
      </c>
      <c r="HK94" t="str">
        <f>""</f>
        <v/>
      </c>
      <c r="HN94" t="s">
        <v>38</v>
      </c>
      <c r="HP94" t="str">
        <f>"0009590280"</f>
        <v>0009590280</v>
      </c>
      <c r="HZ94" t="str">
        <f>""</f>
        <v/>
      </c>
      <c r="IA94" t="str">
        <f>HYPERLINK("https://web.datatree.com/?/property?propertyId=128792028")</f>
        <v>https://web.datatree.com/?/property?propertyId=128792028</v>
      </c>
    </row>
    <row r="95" spans="1:235" x14ac:dyDescent="0.3">
      <c r="A95" t="s">
        <v>622</v>
      </c>
      <c r="B95" t="s">
        <v>623</v>
      </c>
      <c r="C95" t="s">
        <v>624</v>
      </c>
      <c r="D95" t="s">
        <v>625</v>
      </c>
      <c r="E95" t="s">
        <v>3</v>
      </c>
      <c r="F95">
        <v>14</v>
      </c>
      <c r="O95" t="s">
        <v>626</v>
      </c>
      <c r="P95" t="s">
        <v>622</v>
      </c>
      <c r="T95" t="s">
        <v>137</v>
      </c>
      <c r="W95">
        <v>1714</v>
      </c>
      <c r="Z95" t="s">
        <v>627</v>
      </c>
      <c r="AA95" t="s">
        <v>7</v>
      </c>
      <c r="AC95" t="s">
        <v>2</v>
      </c>
      <c r="AE95" t="s">
        <v>8</v>
      </c>
      <c r="AF95" t="str">
        <f>"78629"</f>
        <v>78629</v>
      </c>
      <c r="AG95" t="str">
        <f>"78629-4346"</f>
        <v>78629-4346</v>
      </c>
      <c r="AH95" t="s">
        <v>2</v>
      </c>
      <c r="AI95" t="s">
        <v>9</v>
      </c>
      <c r="AJ95" t="s">
        <v>628</v>
      </c>
      <c r="AK95" t="s">
        <v>629</v>
      </c>
      <c r="AM95">
        <v>1714</v>
      </c>
      <c r="AP95" t="s">
        <v>627</v>
      </c>
      <c r="AQ95" t="s">
        <v>7</v>
      </c>
      <c r="AS95" t="s">
        <v>2</v>
      </c>
      <c r="AU95" t="s">
        <v>8</v>
      </c>
      <c r="AV95" t="str">
        <f>"78629-4346"</f>
        <v>78629-4346</v>
      </c>
      <c r="AW95" t="s">
        <v>9</v>
      </c>
      <c r="AX95" t="s">
        <v>628</v>
      </c>
      <c r="AY95" t="s">
        <v>630</v>
      </c>
      <c r="BA95" t="s">
        <v>631</v>
      </c>
      <c r="BB95" t="str">
        <f>"3620"</f>
        <v>3620</v>
      </c>
      <c r="BC95" t="str">
        <f>"3620"</f>
        <v>3620</v>
      </c>
      <c r="BD95" t="str">
        <f>"108501500000000000000"</f>
        <v>108501500000000000000</v>
      </c>
      <c r="BE95">
        <v>48177</v>
      </c>
      <c r="BG95">
        <v>200</v>
      </c>
      <c r="BH95">
        <v>1042</v>
      </c>
      <c r="BN95">
        <v>29.500203508336099</v>
      </c>
      <c r="BO95">
        <v>-97.433473376471895</v>
      </c>
      <c r="BV95" t="s">
        <v>632</v>
      </c>
      <c r="BX95" t="s">
        <v>22</v>
      </c>
      <c r="CA95" t="str">
        <f>""</f>
        <v/>
      </c>
      <c r="CD95">
        <v>0</v>
      </c>
      <c r="CO95">
        <v>0</v>
      </c>
      <c r="EA95" s="1">
        <v>1</v>
      </c>
      <c r="EC95" t="s">
        <v>23</v>
      </c>
      <c r="ED95" t="s">
        <v>24</v>
      </c>
      <c r="EE95" t="s">
        <v>25</v>
      </c>
      <c r="EG95">
        <v>56628</v>
      </c>
      <c r="EH95">
        <v>1.3</v>
      </c>
      <c r="EI95">
        <v>35000</v>
      </c>
      <c r="EJ95">
        <f t="shared" si="2"/>
        <v>17500</v>
      </c>
      <c r="EW95" t="s">
        <v>270</v>
      </c>
      <c r="EX95" t="s">
        <v>64</v>
      </c>
      <c r="EY95" t="s">
        <v>65</v>
      </c>
      <c r="EZ95" s="2">
        <v>40515</v>
      </c>
      <c r="FA95" t="s">
        <v>143</v>
      </c>
      <c r="FB95" t="str">
        <f>"TRUE"</f>
        <v>TRUE</v>
      </c>
      <c r="FC95">
        <v>2019</v>
      </c>
      <c r="FD95">
        <v>2016</v>
      </c>
      <c r="FE95" t="s">
        <v>30</v>
      </c>
      <c r="FF95" t="s">
        <v>31</v>
      </c>
      <c r="FG95" t="s">
        <v>31</v>
      </c>
      <c r="FH95" t="s">
        <v>31</v>
      </c>
      <c r="FI95" t="s">
        <v>31</v>
      </c>
      <c r="FJ95" t="s">
        <v>31</v>
      </c>
      <c r="FK95" t="s">
        <v>31</v>
      </c>
      <c r="FL95" t="s">
        <v>31</v>
      </c>
      <c r="FM95" t="s">
        <v>31</v>
      </c>
      <c r="FN95" t="s">
        <v>31</v>
      </c>
      <c r="FO95" t="s">
        <v>31</v>
      </c>
      <c r="FP95" t="s">
        <v>31</v>
      </c>
      <c r="FQ95" t="s">
        <v>31</v>
      </c>
      <c r="FR95" t="s">
        <v>31</v>
      </c>
      <c r="FS95" s="3">
        <v>16740</v>
      </c>
      <c r="FT95" s="3">
        <v>16740</v>
      </c>
      <c r="FW95" s="3">
        <v>16740</v>
      </c>
      <c r="FX95" s="3">
        <v>16740</v>
      </c>
      <c r="GE95" s="3">
        <v>341.68</v>
      </c>
      <c r="GG95" s="3">
        <v>16740</v>
      </c>
      <c r="GI95" t="s">
        <v>32</v>
      </c>
      <c r="GL95" t="s">
        <v>273</v>
      </c>
      <c r="GM95" t="s">
        <v>34</v>
      </c>
      <c r="GN95" t="s">
        <v>35</v>
      </c>
      <c r="GS95" t="str">
        <f>""</f>
        <v/>
      </c>
      <c r="GT95" t="str">
        <f>""</f>
        <v/>
      </c>
      <c r="HF95" t="str">
        <f>""</f>
        <v/>
      </c>
      <c r="HK95" t="str">
        <f>""</f>
        <v/>
      </c>
      <c r="HN95" t="s">
        <v>38</v>
      </c>
      <c r="HP95" t="str">
        <f>""</f>
        <v/>
      </c>
      <c r="HZ95" t="str">
        <f>""</f>
        <v/>
      </c>
      <c r="IA95" t="str">
        <f>HYPERLINK("https://web.datatree.com/?/property?propertyId=128800649")</f>
        <v>https://web.datatree.com/?/property?propertyId=128800649</v>
      </c>
    </row>
    <row r="96" spans="1:235" x14ac:dyDescent="0.3">
      <c r="A96" t="s">
        <v>1490</v>
      </c>
      <c r="B96" t="s">
        <v>1491</v>
      </c>
      <c r="C96" t="s">
        <v>1492</v>
      </c>
      <c r="D96" t="s">
        <v>1493</v>
      </c>
      <c r="E96" t="s">
        <v>3</v>
      </c>
      <c r="F96">
        <v>1</v>
      </c>
      <c r="O96" t="s">
        <v>1494</v>
      </c>
      <c r="P96" t="s">
        <v>1490</v>
      </c>
      <c r="Q96" t="s">
        <v>1495</v>
      </c>
      <c r="T96" t="s">
        <v>5</v>
      </c>
      <c r="W96">
        <v>1365</v>
      </c>
      <c r="Z96" t="s">
        <v>1496</v>
      </c>
      <c r="AC96" t="s">
        <v>2</v>
      </c>
      <c r="AE96" t="s">
        <v>8</v>
      </c>
      <c r="AF96" t="str">
        <f>"78629"</f>
        <v>78629</v>
      </c>
      <c r="AG96" t="str">
        <f>"78629-6518"</f>
        <v>78629-6518</v>
      </c>
      <c r="AH96" t="s">
        <v>2</v>
      </c>
      <c r="AI96" t="s">
        <v>60</v>
      </c>
      <c r="AJ96" t="s">
        <v>1497</v>
      </c>
      <c r="AK96" t="s">
        <v>1498</v>
      </c>
      <c r="AM96">
        <v>440</v>
      </c>
      <c r="AP96" t="s">
        <v>1499</v>
      </c>
      <c r="AQ96" t="s">
        <v>645</v>
      </c>
      <c r="AS96" t="s">
        <v>1500</v>
      </c>
      <c r="AT96" t="s">
        <v>1500</v>
      </c>
      <c r="AU96" t="s">
        <v>8</v>
      </c>
      <c r="AV96" t="str">
        <f>"78640-4950"</f>
        <v>78640-4950</v>
      </c>
      <c r="AW96" t="s">
        <v>232</v>
      </c>
      <c r="AX96" t="s">
        <v>1501</v>
      </c>
      <c r="AY96" t="s">
        <v>1502</v>
      </c>
      <c r="AZ96" t="s">
        <v>18</v>
      </c>
      <c r="BA96" t="s">
        <v>1503</v>
      </c>
      <c r="BB96" t="str">
        <f>"14858"</f>
        <v>14858</v>
      </c>
      <c r="BC96" t="str">
        <f>"14858"</f>
        <v>14858</v>
      </c>
      <c r="BD96" t="str">
        <f>"167703100000900000000"</f>
        <v>167703100000900000000</v>
      </c>
      <c r="BE96">
        <v>48177</v>
      </c>
      <c r="BG96">
        <v>600</v>
      </c>
      <c r="BH96">
        <v>1010</v>
      </c>
      <c r="BN96">
        <v>29.468999607265701</v>
      </c>
      <c r="BO96">
        <v>-97.470307620405904</v>
      </c>
      <c r="BP96" t="s">
        <v>1504</v>
      </c>
      <c r="BX96" t="s">
        <v>22</v>
      </c>
      <c r="CA96" t="str">
        <f>"9"</f>
        <v>9</v>
      </c>
      <c r="CD96">
        <v>0</v>
      </c>
      <c r="CO96">
        <v>0</v>
      </c>
      <c r="DA96" t="s">
        <v>131</v>
      </c>
      <c r="DC96" t="s">
        <v>131</v>
      </c>
      <c r="EA96" s="1">
        <v>1</v>
      </c>
      <c r="EC96" t="s">
        <v>23</v>
      </c>
      <c r="ED96" t="s">
        <v>24</v>
      </c>
      <c r="EE96" t="s">
        <v>25</v>
      </c>
      <c r="EG96">
        <v>58283</v>
      </c>
      <c r="EH96">
        <v>1.34</v>
      </c>
      <c r="EI96">
        <v>35000</v>
      </c>
      <c r="EJ96">
        <f t="shared" si="2"/>
        <v>17500</v>
      </c>
      <c r="ER96">
        <v>1</v>
      </c>
      <c r="EW96" t="s">
        <v>5</v>
      </c>
      <c r="EX96" t="s">
        <v>271</v>
      </c>
      <c r="EY96" t="s">
        <v>272</v>
      </c>
      <c r="EZ96" s="2">
        <v>40515</v>
      </c>
      <c r="FA96" t="s">
        <v>143</v>
      </c>
      <c r="FB96" t="str">
        <f>"TRUE"</f>
        <v>TRUE</v>
      </c>
      <c r="FC96">
        <v>2019</v>
      </c>
      <c r="FD96">
        <v>2016</v>
      </c>
      <c r="FE96" t="s">
        <v>30</v>
      </c>
      <c r="FF96" t="s">
        <v>31</v>
      </c>
      <c r="FG96" t="s">
        <v>31</v>
      </c>
      <c r="FH96" t="s">
        <v>31</v>
      </c>
      <c r="FI96" t="s">
        <v>31</v>
      </c>
      <c r="FJ96" t="s">
        <v>31</v>
      </c>
      <c r="FK96" t="s">
        <v>31</v>
      </c>
      <c r="FL96" t="s">
        <v>31</v>
      </c>
      <c r="FM96" t="s">
        <v>31</v>
      </c>
      <c r="FN96" t="s">
        <v>31</v>
      </c>
      <c r="FO96" t="s">
        <v>31</v>
      </c>
      <c r="FP96" t="s">
        <v>31</v>
      </c>
      <c r="FQ96" t="s">
        <v>31</v>
      </c>
      <c r="FR96" t="s">
        <v>31</v>
      </c>
      <c r="FS96" s="3">
        <v>54060</v>
      </c>
      <c r="FT96" s="3">
        <v>13380</v>
      </c>
      <c r="FU96" s="3">
        <v>40680</v>
      </c>
      <c r="FV96">
        <v>75.25</v>
      </c>
      <c r="FW96" s="3">
        <v>54060</v>
      </c>
      <c r="FX96" s="3">
        <v>13380</v>
      </c>
      <c r="FY96" s="3">
        <v>40680</v>
      </c>
      <c r="FZ96">
        <v>75.25</v>
      </c>
      <c r="GE96" s="3">
        <v>485.17</v>
      </c>
      <c r="GG96" s="3">
        <v>54060</v>
      </c>
      <c r="GI96" t="s">
        <v>32</v>
      </c>
      <c r="GL96" t="s">
        <v>273</v>
      </c>
      <c r="GM96" t="s">
        <v>34</v>
      </c>
      <c r="GN96" t="s">
        <v>35</v>
      </c>
      <c r="GS96" t="str">
        <f>""</f>
        <v/>
      </c>
      <c r="GT96" t="str">
        <f>""</f>
        <v/>
      </c>
      <c r="GV96" s="2">
        <v>40070</v>
      </c>
      <c r="GW96" s="3">
        <v>0</v>
      </c>
      <c r="GY96" t="s">
        <v>36</v>
      </c>
      <c r="GZ96" t="s">
        <v>37</v>
      </c>
      <c r="HF96" t="str">
        <f>""</f>
        <v/>
      </c>
      <c r="HK96" t="str">
        <f>""</f>
        <v/>
      </c>
      <c r="HN96" t="s">
        <v>38</v>
      </c>
      <c r="HP96" t="str">
        <f>"0010090905"</f>
        <v>0010090905</v>
      </c>
      <c r="HZ96" t="str">
        <f>""</f>
        <v/>
      </c>
      <c r="IA96" t="str">
        <f>HYPERLINK("https://web.datatree.com/?/property?propertyId=128793401")</f>
        <v>https://web.datatree.com/?/property?propertyId=128793401</v>
      </c>
    </row>
    <row r="97" spans="1:235" x14ac:dyDescent="0.3">
      <c r="A97" t="s">
        <v>1370</v>
      </c>
      <c r="B97" t="s">
        <v>1371</v>
      </c>
      <c r="C97" t="s">
        <v>1372</v>
      </c>
      <c r="D97" t="s">
        <v>1373</v>
      </c>
      <c r="E97" t="s">
        <v>3</v>
      </c>
      <c r="F97">
        <v>7</v>
      </c>
      <c r="O97" t="s">
        <v>1374</v>
      </c>
      <c r="P97" t="s">
        <v>1370</v>
      </c>
      <c r="T97" t="s">
        <v>55</v>
      </c>
      <c r="Z97" t="s">
        <v>1375</v>
      </c>
      <c r="AA97" t="s">
        <v>105</v>
      </c>
      <c r="AE97" t="s">
        <v>8</v>
      </c>
      <c r="AH97" t="s">
        <v>2</v>
      </c>
      <c r="AJ97" t="s">
        <v>1376</v>
      </c>
      <c r="AK97" t="s">
        <v>1377</v>
      </c>
      <c r="AP97" t="s">
        <v>1378</v>
      </c>
      <c r="AS97" t="s">
        <v>1379</v>
      </c>
      <c r="AT97" t="s">
        <v>1379</v>
      </c>
      <c r="AU97" t="s">
        <v>8</v>
      </c>
      <c r="AV97" t="str">
        <f>"78164"</f>
        <v>78164</v>
      </c>
      <c r="AW97" t="s">
        <v>254</v>
      </c>
      <c r="AX97" t="s">
        <v>1380</v>
      </c>
      <c r="AY97" t="s">
        <v>1381</v>
      </c>
      <c r="AZ97" t="s">
        <v>18</v>
      </c>
      <c r="BA97" t="s">
        <v>1382</v>
      </c>
      <c r="BB97" t="str">
        <f>"15876"</f>
        <v>15876</v>
      </c>
      <c r="BC97" t="str">
        <f>"15876"</f>
        <v>15876</v>
      </c>
      <c r="BD97" t="str">
        <f>"172005002000400000000"</f>
        <v>172005002000400000000</v>
      </c>
      <c r="BE97">
        <v>48177</v>
      </c>
      <c r="BI97" t="s">
        <v>20</v>
      </c>
      <c r="BN97">
        <v>29.2708054381932</v>
      </c>
      <c r="BO97">
        <v>-97.756976287480299</v>
      </c>
      <c r="BX97" t="s">
        <v>22</v>
      </c>
      <c r="CA97" t="str">
        <f>""</f>
        <v/>
      </c>
      <c r="CB97">
        <v>2</v>
      </c>
      <c r="CD97">
        <v>0</v>
      </c>
      <c r="CO97">
        <v>0</v>
      </c>
      <c r="EA97" s="1">
        <v>1</v>
      </c>
      <c r="EC97" t="s">
        <v>23</v>
      </c>
      <c r="ED97" t="s">
        <v>24</v>
      </c>
      <c r="EE97" t="s">
        <v>25</v>
      </c>
      <c r="EG97">
        <v>58588</v>
      </c>
      <c r="EH97">
        <v>1.34</v>
      </c>
      <c r="EI97">
        <v>35000</v>
      </c>
      <c r="EJ97">
        <f t="shared" si="2"/>
        <v>17500</v>
      </c>
      <c r="EK97">
        <v>260.39999999999998</v>
      </c>
      <c r="EL97">
        <v>225</v>
      </c>
      <c r="ER97">
        <v>1</v>
      </c>
      <c r="EW97" t="s">
        <v>26</v>
      </c>
      <c r="EX97" t="s">
        <v>116</v>
      </c>
      <c r="EY97" t="s">
        <v>117</v>
      </c>
      <c r="EZ97" s="2">
        <v>40515</v>
      </c>
      <c r="FA97" t="s">
        <v>118</v>
      </c>
      <c r="FB97" t="str">
        <f>"FALSE"</f>
        <v>FALSE</v>
      </c>
      <c r="FC97">
        <v>2019</v>
      </c>
      <c r="FD97">
        <v>2016</v>
      </c>
      <c r="FE97" t="s">
        <v>119</v>
      </c>
      <c r="FF97" t="s">
        <v>31</v>
      </c>
      <c r="FG97" t="s">
        <v>31</v>
      </c>
      <c r="FH97" t="s">
        <v>31</v>
      </c>
      <c r="FI97" t="s">
        <v>31</v>
      </c>
      <c r="FJ97" t="s">
        <v>31</v>
      </c>
      <c r="FK97" t="s">
        <v>31</v>
      </c>
      <c r="FL97" t="s">
        <v>31</v>
      </c>
      <c r="FM97" t="s">
        <v>31</v>
      </c>
      <c r="FN97" t="s">
        <v>31</v>
      </c>
      <c r="FO97" t="s">
        <v>31</v>
      </c>
      <c r="FP97" t="s">
        <v>31</v>
      </c>
      <c r="FQ97" t="s">
        <v>31</v>
      </c>
      <c r="FR97" t="s">
        <v>31</v>
      </c>
      <c r="FS97" s="3">
        <v>28320</v>
      </c>
      <c r="FT97" s="3">
        <v>27340</v>
      </c>
      <c r="FU97" s="3">
        <v>980</v>
      </c>
      <c r="FV97">
        <v>3.46</v>
      </c>
      <c r="FW97" s="3">
        <v>28320</v>
      </c>
      <c r="FX97" s="3">
        <v>27340</v>
      </c>
      <c r="FY97" s="3">
        <v>980</v>
      </c>
      <c r="FZ97">
        <v>3.46</v>
      </c>
      <c r="GE97" s="3">
        <v>297.08</v>
      </c>
      <c r="GG97" s="3">
        <v>28320</v>
      </c>
      <c r="GI97" t="s">
        <v>120</v>
      </c>
      <c r="GL97" t="s">
        <v>121</v>
      </c>
      <c r="GM97" t="s">
        <v>122</v>
      </c>
      <c r="GN97" t="s">
        <v>123</v>
      </c>
      <c r="GS97" t="str">
        <f>""</f>
        <v/>
      </c>
      <c r="GT97" t="str">
        <f>""</f>
        <v/>
      </c>
      <c r="GV97" s="2">
        <v>35811</v>
      </c>
      <c r="GW97" s="3">
        <v>0</v>
      </c>
      <c r="GY97" t="s">
        <v>36</v>
      </c>
      <c r="GZ97" t="s">
        <v>37</v>
      </c>
      <c r="HF97" t="str">
        <f>""</f>
        <v/>
      </c>
      <c r="HK97" t="str">
        <f>""</f>
        <v/>
      </c>
      <c r="HN97" t="s">
        <v>38</v>
      </c>
      <c r="HP97" t="str">
        <f>"0007940112"</f>
        <v>0007940112</v>
      </c>
      <c r="HZ97" t="str">
        <f>""</f>
        <v/>
      </c>
      <c r="IA97" t="str">
        <f>HYPERLINK("https://web.datatree.com/?/property?propertyId=128794452")</f>
        <v>https://web.datatree.com/?/property?propertyId=128794452</v>
      </c>
    </row>
    <row r="98" spans="1:235" x14ac:dyDescent="0.3">
      <c r="A98" t="s">
        <v>1505</v>
      </c>
      <c r="B98" t="s">
        <v>1506</v>
      </c>
      <c r="C98" t="s">
        <v>1507</v>
      </c>
      <c r="D98" t="s">
        <v>1508</v>
      </c>
      <c r="E98" t="s">
        <v>3</v>
      </c>
      <c r="F98">
        <v>7</v>
      </c>
      <c r="G98" t="s">
        <v>1509</v>
      </c>
      <c r="H98" t="s">
        <v>1510</v>
      </c>
      <c r="I98" t="s">
        <v>1510</v>
      </c>
      <c r="J98" t="s">
        <v>1508</v>
      </c>
      <c r="K98" t="s">
        <v>3</v>
      </c>
      <c r="L98">
        <v>7</v>
      </c>
      <c r="O98" t="s">
        <v>1511</v>
      </c>
      <c r="P98" t="s">
        <v>1512</v>
      </c>
      <c r="T98" t="s">
        <v>55</v>
      </c>
      <c r="Z98" t="s">
        <v>1513</v>
      </c>
      <c r="AA98" t="s">
        <v>1514</v>
      </c>
      <c r="AC98" t="s">
        <v>2</v>
      </c>
      <c r="AE98" t="s">
        <v>8</v>
      </c>
      <c r="AF98" t="str">
        <f>"78629"</f>
        <v>78629</v>
      </c>
      <c r="AG98" t="str">
        <f>"78629"</f>
        <v>78629</v>
      </c>
      <c r="AH98" t="s">
        <v>2</v>
      </c>
      <c r="AJ98" t="s">
        <v>1515</v>
      </c>
      <c r="AK98" t="s">
        <v>1516</v>
      </c>
      <c r="AM98">
        <v>821</v>
      </c>
      <c r="AO98" t="s">
        <v>109</v>
      </c>
      <c r="AP98" t="s">
        <v>487</v>
      </c>
      <c r="AS98" t="s">
        <v>2</v>
      </c>
      <c r="AU98" t="s">
        <v>8</v>
      </c>
      <c r="AV98" t="str">
        <f>"78629-3377"</f>
        <v>78629-3377</v>
      </c>
      <c r="AW98" t="s">
        <v>152</v>
      </c>
      <c r="AX98" t="s">
        <v>1517</v>
      </c>
      <c r="AY98" t="s">
        <v>1518</v>
      </c>
      <c r="AZ98" t="s">
        <v>18</v>
      </c>
      <c r="BA98" t="s">
        <v>1519</v>
      </c>
      <c r="BB98" t="str">
        <f>"14857"</f>
        <v>14857</v>
      </c>
      <c r="BC98" t="str">
        <f>"14857"</f>
        <v>14857</v>
      </c>
      <c r="BD98" t="str">
        <f>"167703000000901000000"</f>
        <v>167703000000901000000</v>
      </c>
      <c r="BE98">
        <v>48177</v>
      </c>
      <c r="BG98">
        <v>400</v>
      </c>
      <c r="BH98">
        <v>2001</v>
      </c>
      <c r="BN98">
        <v>29.4688056058726</v>
      </c>
      <c r="BO98">
        <v>-97.470626769879004</v>
      </c>
      <c r="BX98" t="s">
        <v>22</v>
      </c>
      <c r="CA98" t="str">
        <f>""</f>
        <v/>
      </c>
      <c r="CC98">
        <v>384</v>
      </c>
      <c r="CD98">
        <v>384</v>
      </c>
      <c r="CH98">
        <v>384</v>
      </c>
      <c r="CO98">
        <v>0</v>
      </c>
      <c r="CU98">
        <v>1</v>
      </c>
      <c r="DA98" t="s">
        <v>131</v>
      </c>
      <c r="DC98" t="s">
        <v>131</v>
      </c>
      <c r="DL98" t="s">
        <v>289</v>
      </c>
      <c r="DM98">
        <v>64</v>
      </c>
      <c r="EA98" s="1">
        <v>1</v>
      </c>
      <c r="EC98" t="s">
        <v>23</v>
      </c>
      <c r="ED98" t="s">
        <v>24</v>
      </c>
      <c r="EE98" t="s">
        <v>25</v>
      </c>
      <c r="EG98">
        <v>58327</v>
      </c>
      <c r="EH98">
        <v>1.34</v>
      </c>
      <c r="EI98">
        <v>35000</v>
      </c>
      <c r="EJ98">
        <f t="shared" si="2"/>
        <v>17500</v>
      </c>
      <c r="ER98">
        <v>1</v>
      </c>
      <c r="EW98" t="s">
        <v>5</v>
      </c>
      <c r="EX98" t="s">
        <v>271</v>
      </c>
      <c r="EY98" t="s">
        <v>272</v>
      </c>
      <c r="EZ98" s="2">
        <v>40515</v>
      </c>
      <c r="FA98" t="s">
        <v>143</v>
      </c>
      <c r="FB98" t="str">
        <f>"TRUE"</f>
        <v>TRUE</v>
      </c>
      <c r="FC98">
        <v>2019</v>
      </c>
      <c r="FD98">
        <v>2016</v>
      </c>
      <c r="FE98" t="s">
        <v>30</v>
      </c>
      <c r="FF98" t="s">
        <v>31</v>
      </c>
      <c r="FG98" t="s">
        <v>31</v>
      </c>
      <c r="FH98" t="s">
        <v>31</v>
      </c>
      <c r="FI98" t="s">
        <v>31</v>
      </c>
      <c r="FJ98" t="s">
        <v>31</v>
      </c>
      <c r="FK98" t="s">
        <v>31</v>
      </c>
      <c r="FL98" t="s">
        <v>31</v>
      </c>
      <c r="FM98" t="s">
        <v>31</v>
      </c>
      <c r="FN98" t="s">
        <v>31</v>
      </c>
      <c r="FO98" t="s">
        <v>31</v>
      </c>
      <c r="FP98" t="s">
        <v>31</v>
      </c>
      <c r="FQ98" t="s">
        <v>31</v>
      </c>
      <c r="FR98" t="s">
        <v>31</v>
      </c>
      <c r="FS98" s="3">
        <v>59400</v>
      </c>
      <c r="FT98" s="3">
        <v>13390</v>
      </c>
      <c r="FU98" s="3">
        <v>46010</v>
      </c>
      <c r="FV98">
        <v>77.459999999999994</v>
      </c>
      <c r="FW98" s="3">
        <v>59400</v>
      </c>
      <c r="FX98" s="3">
        <v>13390</v>
      </c>
      <c r="FY98" s="3">
        <v>46010</v>
      </c>
      <c r="FZ98">
        <v>77.459999999999994</v>
      </c>
      <c r="GE98" s="3">
        <v>659.28</v>
      </c>
      <c r="GG98" s="3">
        <v>59400</v>
      </c>
      <c r="GI98" t="s">
        <v>32</v>
      </c>
      <c r="GL98" t="s">
        <v>273</v>
      </c>
      <c r="GM98" t="s">
        <v>34</v>
      </c>
      <c r="GN98" t="s">
        <v>35</v>
      </c>
      <c r="GS98" t="str">
        <f>""</f>
        <v/>
      </c>
      <c r="GT98" t="str">
        <f>""</f>
        <v/>
      </c>
      <c r="GV98" s="2">
        <v>38006</v>
      </c>
      <c r="GW98" s="3">
        <v>0</v>
      </c>
      <c r="GY98" t="s">
        <v>36</v>
      </c>
      <c r="GZ98" t="s">
        <v>37</v>
      </c>
      <c r="HA98" s="3">
        <v>0</v>
      </c>
      <c r="HF98" t="str">
        <f>""</f>
        <v/>
      </c>
      <c r="HK98" t="str">
        <f>""</f>
        <v/>
      </c>
      <c r="HN98" t="s">
        <v>38</v>
      </c>
      <c r="HP98" t="str">
        <f>"0008970555"</f>
        <v>0008970555</v>
      </c>
      <c r="HZ98" t="str">
        <f>""</f>
        <v/>
      </c>
      <c r="IA98" t="str">
        <f>HYPERLINK("https://web.datatree.com/?/property?propertyId=128793400")</f>
        <v>https://web.datatree.com/?/property?propertyId=128793400</v>
      </c>
    </row>
    <row r="99" spans="1:235" x14ac:dyDescent="0.3">
      <c r="A99" t="s">
        <v>696</v>
      </c>
      <c r="B99" t="s">
        <v>697</v>
      </c>
      <c r="C99" t="s">
        <v>698</v>
      </c>
      <c r="D99" t="s">
        <v>699</v>
      </c>
      <c r="E99" t="s">
        <v>3</v>
      </c>
      <c r="F99">
        <v>2</v>
      </c>
      <c r="O99" t="s">
        <v>700</v>
      </c>
      <c r="P99" t="s">
        <v>696</v>
      </c>
      <c r="T99" t="s">
        <v>55</v>
      </c>
      <c r="AC99" t="s">
        <v>2</v>
      </c>
      <c r="AE99" t="s">
        <v>8</v>
      </c>
      <c r="AF99" t="str">
        <f>"78629"</f>
        <v>78629</v>
      </c>
      <c r="AG99" t="str">
        <f>"78629"</f>
        <v>78629</v>
      </c>
      <c r="AH99" t="s">
        <v>2</v>
      </c>
      <c r="AK99" t="s">
        <v>701</v>
      </c>
      <c r="AM99">
        <v>9422</v>
      </c>
      <c r="AP99" t="s">
        <v>702</v>
      </c>
      <c r="AQ99" t="s">
        <v>703</v>
      </c>
      <c r="AS99" t="s">
        <v>374</v>
      </c>
      <c r="AU99" t="s">
        <v>8</v>
      </c>
      <c r="AV99" t="str">
        <f>"77064-7484"</f>
        <v>77064-7484</v>
      </c>
      <c r="AW99" t="s">
        <v>704</v>
      </c>
      <c r="AX99" t="s">
        <v>705</v>
      </c>
      <c r="AY99" t="s">
        <v>706</v>
      </c>
      <c r="AZ99" t="s">
        <v>18</v>
      </c>
      <c r="BA99" t="s">
        <v>707</v>
      </c>
      <c r="BB99" t="str">
        <f>"21826"</f>
        <v>21826</v>
      </c>
      <c r="BC99" t="str">
        <f>"21826"</f>
        <v>21826</v>
      </c>
      <c r="BD99" t="str">
        <f>"101908100000100000000"</f>
        <v>101908100000100000000</v>
      </c>
      <c r="BE99">
        <v>48177</v>
      </c>
      <c r="BG99">
        <v>400</v>
      </c>
      <c r="BH99">
        <v>2001</v>
      </c>
      <c r="BN99">
        <v>29.505764106630998</v>
      </c>
      <c r="BO99">
        <v>-97.632758941619699</v>
      </c>
      <c r="BX99" t="s">
        <v>22</v>
      </c>
      <c r="CA99" t="str">
        <f>""</f>
        <v/>
      </c>
      <c r="CD99">
        <v>0</v>
      </c>
      <c r="CO99">
        <v>0</v>
      </c>
      <c r="EA99" s="1">
        <v>1</v>
      </c>
      <c r="EC99" t="s">
        <v>23</v>
      </c>
      <c r="ED99" t="s">
        <v>24</v>
      </c>
      <c r="EE99" t="s">
        <v>25</v>
      </c>
      <c r="EG99">
        <v>58370</v>
      </c>
      <c r="EH99">
        <v>1.34</v>
      </c>
      <c r="EI99">
        <v>35000</v>
      </c>
      <c r="EJ99">
        <f t="shared" si="2"/>
        <v>17500</v>
      </c>
      <c r="EW99" t="s">
        <v>26</v>
      </c>
      <c r="EX99" t="s">
        <v>708</v>
      </c>
      <c r="EY99" t="s">
        <v>709</v>
      </c>
      <c r="EZ99" s="2">
        <v>40515</v>
      </c>
      <c r="FA99" t="s">
        <v>143</v>
      </c>
      <c r="FB99" t="str">
        <f>"FALSE"</f>
        <v>FALSE</v>
      </c>
      <c r="FC99">
        <v>2019</v>
      </c>
      <c r="FD99">
        <v>2016</v>
      </c>
      <c r="FE99" t="s">
        <v>30</v>
      </c>
      <c r="FF99" t="s">
        <v>31</v>
      </c>
      <c r="FG99" t="s">
        <v>31</v>
      </c>
      <c r="FH99" t="s">
        <v>31</v>
      </c>
      <c r="FI99" t="s">
        <v>31</v>
      </c>
      <c r="FJ99" t="s">
        <v>31</v>
      </c>
      <c r="FK99" t="s">
        <v>31</v>
      </c>
      <c r="FL99" t="s">
        <v>31</v>
      </c>
      <c r="FM99" t="s">
        <v>31</v>
      </c>
      <c r="FN99" t="s">
        <v>31</v>
      </c>
      <c r="FO99" t="s">
        <v>31</v>
      </c>
      <c r="FP99" t="s">
        <v>31</v>
      </c>
      <c r="FQ99" t="s">
        <v>31</v>
      </c>
      <c r="FR99" t="s">
        <v>31</v>
      </c>
      <c r="FS99" s="3">
        <v>16930</v>
      </c>
      <c r="FT99" s="3">
        <v>16930</v>
      </c>
      <c r="FW99" s="3">
        <v>16930</v>
      </c>
      <c r="FX99" s="3">
        <v>16930</v>
      </c>
      <c r="GE99" s="3">
        <v>345.56</v>
      </c>
      <c r="GG99" s="3">
        <v>16930</v>
      </c>
      <c r="GI99" t="s">
        <v>32</v>
      </c>
      <c r="GL99" t="s">
        <v>33</v>
      </c>
      <c r="GM99" t="s">
        <v>34</v>
      </c>
      <c r="GN99" t="s">
        <v>35</v>
      </c>
      <c r="GS99" t="str">
        <f>""</f>
        <v/>
      </c>
      <c r="GT99" t="str">
        <f>""</f>
        <v/>
      </c>
      <c r="GV99" s="2">
        <v>39512</v>
      </c>
      <c r="GW99" s="3">
        <v>0</v>
      </c>
      <c r="GY99" t="s">
        <v>36</v>
      </c>
      <c r="GZ99" t="s">
        <v>37</v>
      </c>
      <c r="HF99" t="str">
        <f>""</f>
        <v/>
      </c>
      <c r="HK99" t="str">
        <f>""</f>
        <v/>
      </c>
      <c r="HN99" t="s">
        <v>38</v>
      </c>
      <c r="HP99" t="str">
        <f>"0009780679"</f>
        <v>0009780679</v>
      </c>
      <c r="HZ99" t="str">
        <f>""</f>
        <v/>
      </c>
      <c r="IA99" t="str">
        <f>HYPERLINK("https://web.datatree.com/?/property?propertyId=128797291")</f>
        <v>https://web.datatree.com/?/property?propertyId=128797291</v>
      </c>
    </row>
    <row r="100" spans="1:235" x14ac:dyDescent="0.3">
      <c r="A100" t="s">
        <v>1393</v>
      </c>
      <c r="B100" t="s">
        <v>224</v>
      </c>
      <c r="C100" t="s">
        <v>224</v>
      </c>
      <c r="D100" t="s">
        <v>1394</v>
      </c>
      <c r="E100" t="s">
        <v>3</v>
      </c>
      <c r="F100">
        <v>24</v>
      </c>
      <c r="O100" t="s">
        <v>1395</v>
      </c>
      <c r="P100" t="s">
        <v>1393</v>
      </c>
      <c r="T100" t="s">
        <v>55</v>
      </c>
      <c r="AC100" t="s">
        <v>106</v>
      </c>
      <c r="AE100" t="s">
        <v>8</v>
      </c>
      <c r="AF100" t="str">
        <f>"78140"</f>
        <v>78140</v>
      </c>
      <c r="AG100" t="str">
        <f>"78140"</f>
        <v>78140</v>
      </c>
      <c r="AH100" t="s">
        <v>2</v>
      </c>
      <c r="AK100" t="s">
        <v>1396</v>
      </c>
      <c r="AM100">
        <v>445</v>
      </c>
      <c r="AP100" t="s">
        <v>1397</v>
      </c>
      <c r="AS100" t="s">
        <v>1398</v>
      </c>
      <c r="AU100" t="s">
        <v>8</v>
      </c>
      <c r="AV100" t="str">
        <f>"77437-5392"</f>
        <v>77437-5392</v>
      </c>
      <c r="AW100" t="s">
        <v>152</v>
      </c>
      <c r="AX100" t="s">
        <v>1399</v>
      </c>
      <c r="AY100" t="s">
        <v>1400</v>
      </c>
      <c r="AZ100" t="s">
        <v>18</v>
      </c>
      <c r="BA100" t="s">
        <v>1401</v>
      </c>
      <c r="BB100" t="str">
        <f>"15861"</f>
        <v>15861</v>
      </c>
      <c r="BC100" t="str">
        <f>"15861"</f>
        <v>15861</v>
      </c>
      <c r="BD100" t="str">
        <f>"171931100000660000000"</f>
        <v>171931100000660000000</v>
      </c>
      <c r="BE100">
        <v>48177</v>
      </c>
      <c r="BG100">
        <v>500</v>
      </c>
      <c r="BH100">
        <v>1154</v>
      </c>
      <c r="BI100" t="s">
        <v>20</v>
      </c>
      <c r="BN100">
        <v>29.269033533139599</v>
      </c>
      <c r="BO100">
        <v>-97.759147175118201</v>
      </c>
      <c r="BX100" t="s">
        <v>22</v>
      </c>
      <c r="CA100" t="str">
        <f>""</f>
        <v/>
      </c>
      <c r="CD100">
        <v>0</v>
      </c>
      <c r="CO100">
        <v>0</v>
      </c>
      <c r="EA100" s="1">
        <v>1</v>
      </c>
      <c r="EC100" t="s">
        <v>23</v>
      </c>
      <c r="ED100" t="s">
        <v>24</v>
      </c>
      <c r="EE100" t="s">
        <v>25</v>
      </c>
      <c r="EG100">
        <v>59542</v>
      </c>
      <c r="EH100">
        <v>1.37</v>
      </c>
      <c r="EI100">
        <v>35000</v>
      </c>
      <c r="EJ100">
        <f t="shared" si="2"/>
        <v>17500</v>
      </c>
      <c r="EK100">
        <v>650</v>
      </c>
      <c r="EL100">
        <v>91.6</v>
      </c>
      <c r="EW100" t="s">
        <v>26</v>
      </c>
      <c r="EX100" t="s">
        <v>116</v>
      </c>
      <c r="EY100" t="s">
        <v>117</v>
      </c>
      <c r="EZ100" s="2">
        <v>40515</v>
      </c>
      <c r="FA100" t="s">
        <v>118</v>
      </c>
      <c r="FB100" t="str">
        <f>"FALSE"</f>
        <v>FALSE</v>
      </c>
      <c r="FC100">
        <v>2019</v>
      </c>
      <c r="FD100">
        <v>2016</v>
      </c>
      <c r="FE100" t="s">
        <v>119</v>
      </c>
      <c r="FF100" t="s">
        <v>31</v>
      </c>
      <c r="FG100" t="s">
        <v>31</v>
      </c>
      <c r="FH100" t="s">
        <v>31</v>
      </c>
      <c r="FI100" t="s">
        <v>31</v>
      </c>
      <c r="FJ100" t="s">
        <v>31</v>
      </c>
      <c r="FK100" t="s">
        <v>31</v>
      </c>
      <c r="FL100" t="s">
        <v>31</v>
      </c>
      <c r="FM100" t="s">
        <v>31</v>
      </c>
      <c r="FN100" t="s">
        <v>31</v>
      </c>
      <c r="FO100" t="s">
        <v>31</v>
      </c>
      <c r="FP100" t="s">
        <v>31</v>
      </c>
      <c r="FQ100" t="s">
        <v>31</v>
      </c>
      <c r="FR100" t="s">
        <v>31</v>
      </c>
      <c r="FS100" s="3">
        <v>50700</v>
      </c>
      <c r="FT100" s="3">
        <v>50700</v>
      </c>
      <c r="FW100" s="3">
        <v>50700</v>
      </c>
      <c r="FX100" s="3">
        <v>50700</v>
      </c>
      <c r="GE100" s="3">
        <v>602.38</v>
      </c>
      <c r="GG100" s="3">
        <v>50700</v>
      </c>
      <c r="GI100" t="s">
        <v>120</v>
      </c>
      <c r="GL100" t="s">
        <v>121</v>
      </c>
      <c r="GM100" t="s">
        <v>122</v>
      </c>
      <c r="GN100" t="s">
        <v>123</v>
      </c>
      <c r="GS100" t="str">
        <f>""</f>
        <v/>
      </c>
      <c r="GT100" t="str">
        <f>""</f>
        <v/>
      </c>
      <c r="HF100" t="str">
        <f>""</f>
        <v/>
      </c>
      <c r="HK100" t="str">
        <f>""</f>
        <v/>
      </c>
      <c r="HN100" t="s">
        <v>38</v>
      </c>
      <c r="HP100" t="str">
        <f>""</f>
        <v/>
      </c>
      <c r="HZ100" t="str">
        <f>""</f>
        <v/>
      </c>
      <c r="IA100" t="str">
        <f>HYPERLINK("https://web.datatree.com/?/property?propertyId=128794438")</f>
        <v>https://web.datatree.com/?/property?propertyId=128794438</v>
      </c>
    </row>
    <row r="101" spans="1:235" x14ac:dyDescent="0.3">
      <c r="A101" t="s">
        <v>525</v>
      </c>
      <c r="B101" t="s">
        <v>526</v>
      </c>
      <c r="C101" t="s">
        <v>527</v>
      </c>
      <c r="D101" t="s">
        <v>528</v>
      </c>
      <c r="E101" t="s">
        <v>3</v>
      </c>
      <c r="F101">
        <v>2</v>
      </c>
      <c r="O101" t="s">
        <v>529</v>
      </c>
      <c r="P101" t="s">
        <v>525</v>
      </c>
      <c r="T101" t="s">
        <v>55</v>
      </c>
      <c r="Z101" t="s">
        <v>530</v>
      </c>
      <c r="AC101" t="s">
        <v>512</v>
      </c>
      <c r="AE101" t="s">
        <v>8</v>
      </c>
      <c r="AF101" t="str">
        <f>"78159"</f>
        <v>78159</v>
      </c>
      <c r="AG101" t="str">
        <f>"78159"</f>
        <v>78159</v>
      </c>
      <c r="AH101" t="s">
        <v>2</v>
      </c>
      <c r="AJ101" t="s">
        <v>531</v>
      </c>
      <c r="AK101" t="s">
        <v>532</v>
      </c>
      <c r="AM101">
        <v>3000</v>
      </c>
      <c r="AP101" t="s">
        <v>533</v>
      </c>
      <c r="AQ101" t="s">
        <v>105</v>
      </c>
      <c r="AS101" t="s">
        <v>534</v>
      </c>
      <c r="AU101" t="s">
        <v>8</v>
      </c>
      <c r="AV101" t="str">
        <f>"77539-3721"</f>
        <v>77539-3721</v>
      </c>
      <c r="AW101" t="s">
        <v>535</v>
      </c>
      <c r="AX101" t="s">
        <v>536</v>
      </c>
      <c r="AY101" t="s">
        <v>537</v>
      </c>
      <c r="AZ101" t="s">
        <v>18</v>
      </c>
      <c r="BA101" t="s">
        <v>538</v>
      </c>
      <c r="BB101" t="str">
        <f>"16868"</f>
        <v>16868</v>
      </c>
      <c r="BC101" t="str">
        <f>"16868"</f>
        <v>16868</v>
      </c>
      <c r="BD101" t="str">
        <f>"190334030001250000000"</f>
        <v>190334030001250000000</v>
      </c>
      <c r="BE101">
        <v>48177</v>
      </c>
      <c r="BG101">
        <v>600</v>
      </c>
      <c r="BH101">
        <v>2048</v>
      </c>
      <c r="BN101">
        <v>29.272614439697399</v>
      </c>
      <c r="BO101">
        <v>-97.639577301265604</v>
      </c>
      <c r="BX101" t="s">
        <v>22</v>
      </c>
      <c r="CA101" t="str">
        <f>""</f>
        <v/>
      </c>
      <c r="CD101">
        <v>0</v>
      </c>
      <c r="CO101">
        <v>0</v>
      </c>
      <c r="EA101" s="1">
        <v>1</v>
      </c>
      <c r="EC101" t="s">
        <v>23</v>
      </c>
      <c r="ED101" t="s">
        <v>24</v>
      </c>
      <c r="EE101" t="s">
        <v>25</v>
      </c>
      <c r="EG101">
        <v>61189</v>
      </c>
      <c r="EH101">
        <v>1.4</v>
      </c>
      <c r="EI101">
        <f t="shared" ref="EI67:EI130" si="3">23000*EH101</f>
        <v>32199.999999999996</v>
      </c>
      <c r="EJ101">
        <f t="shared" si="2"/>
        <v>16099.999999999998</v>
      </c>
      <c r="EK101">
        <v>186</v>
      </c>
      <c r="EL101">
        <v>186</v>
      </c>
      <c r="EM101">
        <v>19716</v>
      </c>
      <c r="EN101">
        <v>19716</v>
      </c>
      <c r="EW101" t="s">
        <v>26</v>
      </c>
      <c r="EX101" t="s">
        <v>491</v>
      </c>
      <c r="EY101" t="s">
        <v>492</v>
      </c>
      <c r="EZ101" s="2">
        <v>40515</v>
      </c>
      <c r="FA101" t="s">
        <v>524</v>
      </c>
      <c r="FB101" t="str">
        <f>"FALSE"</f>
        <v>FALSE</v>
      </c>
      <c r="FC101">
        <v>2019</v>
      </c>
      <c r="FD101">
        <v>2016</v>
      </c>
      <c r="FE101" t="s">
        <v>119</v>
      </c>
      <c r="FF101" t="s">
        <v>31</v>
      </c>
      <c r="FG101" t="s">
        <v>31</v>
      </c>
      <c r="FH101" t="s">
        <v>31</v>
      </c>
      <c r="FI101" t="s">
        <v>31</v>
      </c>
      <c r="FJ101" t="s">
        <v>31</v>
      </c>
      <c r="FK101" t="s">
        <v>31</v>
      </c>
      <c r="FL101" t="s">
        <v>31</v>
      </c>
      <c r="FM101" t="s">
        <v>31</v>
      </c>
      <c r="FN101" t="s">
        <v>31</v>
      </c>
      <c r="FO101" t="s">
        <v>31</v>
      </c>
      <c r="FP101" t="s">
        <v>31</v>
      </c>
      <c r="FQ101" t="s">
        <v>31</v>
      </c>
      <c r="FR101" t="s">
        <v>31</v>
      </c>
      <c r="FS101" s="3">
        <v>13110</v>
      </c>
      <c r="FT101" s="3">
        <v>13110</v>
      </c>
      <c r="FW101" s="3">
        <v>13110</v>
      </c>
      <c r="FX101" s="3">
        <v>13110</v>
      </c>
      <c r="GE101" s="3">
        <v>110.05</v>
      </c>
      <c r="GG101" s="3">
        <v>13110</v>
      </c>
      <c r="GI101" t="s">
        <v>120</v>
      </c>
      <c r="GL101" t="s">
        <v>121</v>
      </c>
      <c r="GM101" t="s">
        <v>122</v>
      </c>
      <c r="GN101" t="s">
        <v>123</v>
      </c>
      <c r="GS101" t="str">
        <f>""</f>
        <v/>
      </c>
      <c r="GT101" t="str">
        <f>""</f>
        <v/>
      </c>
      <c r="HF101" t="str">
        <f>""</f>
        <v/>
      </c>
      <c r="HK101" t="str">
        <f>""</f>
        <v/>
      </c>
      <c r="HN101" t="s">
        <v>38</v>
      </c>
      <c r="HP101" t="str">
        <f>""</f>
        <v/>
      </c>
      <c r="HZ101" t="str">
        <f>""</f>
        <v/>
      </c>
      <c r="IA101" t="str">
        <f>HYPERLINK("https://web.datatree.com/?/property?propertyId=128795342")</f>
        <v>https://web.datatree.com/?/property?propertyId=128795342</v>
      </c>
    </row>
    <row r="102" spans="1:235" x14ac:dyDescent="0.3">
      <c r="A102" t="s">
        <v>1564</v>
      </c>
      <c r="B102" t="s">
        <v>1565</v>
      </c>
      <c r="C102" t="s">
        <v>1013</v>
      </c>
      <c r="D102" t="s">
        <v>1566</v>
      </c>
      <c r="E102" t="s">
        <v>3</v>
      </c>
      <c r="F102">
        <v>2</v>
      </c>
      <c r="O102" t="s">
        <v>1567</v>
      </c>
      <c r="P102" t="s">
        <v>1564</v>
      </c>
      <c r="T102" t="s">
        <v>137</v>
      </c>
      <c r="W102">
        <v>1726</v>
      </c>
      <c r="Z102" t="s">
        <v>627</v>
      </c>
      <c r="AA102" t="s">
        <v>7</v>
      </c>
      <c r="AC102" t="s">
        <v>2</v>
      </c>
      <c r="AE102" t="s">
        <v>8</v>
      </c>
      <c r="AF102" t="str">
        <f>"78629"</f>
        <v>78629</v>
      </c>
      <c r="AG102" t="str">
        <f>"78629-4346"</f>
        <v>78629-4346</v>
      </c>
      <c r="AH102" t="s">
        <v>2</v>
      </c>
      <c r="AI102" t="s">
        <v>9</v>
      </c>
      <c r="AJ102" t="s">
        <v>1568</v>
      </c>
      <c r="AK102" t="s">
        <v>1569</v>
      </c>
      <c r="AM102">
        <v>1726</v>
      </c>
      <c r="AP102" t="s">
        <v>627</v>
      </c>
      <c r="AQ102" t="s">
        <v>7</v>
      </c>
      <c r="AS102" t="s">
        <v>2</v>
      </c>
      <c r="AU102" t="s">
        <v>8</v>
      </c>
      <c r="AV102" t="str">
        <f>"78629-4346"</f>
        <v>78629-4346</v>
      </c>
      <c r="AW102" t="s">
        <v>9</v>
      </c>
      <c r="AX102" t="s">
        <v>1568</v>
      </c>
      <c r="AY102" t="s">
        <v>1570</v>
      </c>
      <c r="BA102" t="s">
        <v>631</v>
      </c>
      <c r="BB102" t="str">
        <f>"3619"</f>
        <v>3619</v>
      </c>
      <c r="BC102" t="str">
        <f>"3619"</f>
        <v>3619</v>
      </c>
      <c r="BD102" t="str">
        <f>"108501000000000000000"</f>
        <v>108501000000000000000</v>
      </c>
      <c r="BE102">
        <v>48177</v>
      </c>
      <c r="BG102">
        <v>200</v>
      </c>
      <c r="BH102">
        <v>1042</v>
      </c>
      <c r="BN102">
        <v>29.500567951209</v>
      </c>
      <c r="BO102">
        <v>-97.432934808196094</v>
      </c>
      <c r="BV102" t="s">
        <v>632</v>
      </c>
      <c r="BX102" t="s">
        <v>22</v>
      </c>
      <c r="CA102" t="str">
        <f>"7"</f>
        <v>7</v>
      </c>
      <c r="CB102" t="s">
        <v>1571</v>
      </c>
      <c r="CD102">
        <v>0</v>
      </c>
      <c r="CO102">
        <v>0</v>
      </c>
      <c r="EA102" s="1">
        <v>1</v>
      </c>
      <c r="EC102" t="s">
        <v>23</v>
      </c>
      <c r="ED102" t="s">
        <v>24</v>
      </c>
      <c r="EE102" t="s">
        <v>25</v>
      </c>
      <c r="EG102">
        <v>61855</v>
      </c>
      <c r="EH102">
        <v>1.42</v>
      </c>
      <c r="EI102">
        <f t="shared" si="3"/>
        <v>32660</v>
      </c>
      <c r="EJ102">
        <f t="shared" si="2"/>
        <v>16330</v>
      </c>
      <c r="EW102" t="s">
        <v>270</v>
      </c>
      <c r="EX102" t="s">
        <v>64</v>
      </c>
      <c r="EY102" t="s">
        <v>65</v>
      </c>
      <c r="EZ102" s="2">
        <v>40515</v>
      </c>
      <c r="FA102" t="s">
        <v>143</v>
      </c>
      <c r="FB102" t="str">
        <f>"TRUE"</f>
        <v>TRUE</v>
      </c>
      <c r="FC102">
        <v>2019</v>
      </c>
      <c r="FD102">
        <v>2016</v>
      </c>
      <c r="FE102" t="s">
        <v>30</v>
      </c>
      <c r="FF102" t="s">
        <v>31</v>
      </c>
      <c r="FG102" t="s">
        <v>31</v>
      </c>
      <c r="FH102" t="s">
        <v>31</v>
      </c>
      <c r="FI102" t="s">
        <v>31</v>
      </c>
      <c r="FJ102" t="s">
        <v>31</v>
      </c>
      <c r="FK102" t="s">
        <v>31</v>
      </c>
      <c r="FL102" t="s">
        <v>31</v>
      </c>
      <c r="FM102" t="s">
        <v>31</v>
      </c>
      <c r="FN102" t="s">
        <v>31</v>
      </c>
      <c r="FO102" t="s">
        <v>31</v>
      </c>
      <c r="FP102" t="s">
        <v>31</v>
      </c>
      <c r="FQ102" t="s">
        <v>31</v>
      </c>
      <c r="FR102" t="s">
        <v>31</v>
      </c>
      <c r="FS102" s="3">
        <v>18290</v>
      </c>
      <c r="FT102" s="3">
        <v>18290</v>
      </c>
      <c r="FW102" s="3">
        <v>18290</v>
      </c>
      <c r="FX102" s="3">
        <v>18290</v>
      </c>
      <c r="GE102" s="3">
        <v>373.32</v>
      </c>
      <c r="GG102" s="3">
        <v>18290</v>
      </c>
      <c r="GI102" t="s">
        <v>32</v>
      </c>
      <c r="GL102" t="s">
        <v>273</v>
      </c>
      <c r="GM102" t="s">
        <v>34</v>
      </c>
      <c r="GN102" t="s">
        <v>35</v>
      </c>
      <c r="GS102" t="str">
        <f>""</f>
        <v/>
      </c>
      <c r="GT102" t="str">
        <f>""</f>
        <v/>
      </c>
      <c r="GV102" s="2">
        <v>39244</v>
      </c>
      <c r="GW102" s="3">
        <v>0</v>
      </c>
      <c r="GY102" t="s">
        <v>36</v>
      </c>
      <c r="GZ102" t="s">
        <v>37</v>
      </c>
      <c r="HF102" t="str">
        <f>""</f>
        <v/>
      </c>
      <c r="HK102" t="str">
        <f>""</f>
        <v/>
      </c>
      <c r="HN102" t="s">
        <v>38</v>
      </c>
      <c r="HP102" t="str">
        <f>"0009700783"</f>
        <v>0009700783</v>
      </c>
      <c r="HZ102" t="str">
        <f>""</f>
        <v/>
      </c>
      <c r="IA102" t="str">
        <f>HYPERLINK("https://web.datatree.com/?/property?propertyId=128800647")</f>
        <v>https://web.datatree.com/?/property?propertyId=128800647</v>
      </c>
    </row>
    <row r="103" spans="1:235" x14ac:dyDescent="0.3">
      <c r="A103" t="s">
        <v>257</v>
      </c>
      <c r="B103" t="s">
        <v>258</v>
      </c>
      <c r="C103" t="s">
        <v>259</v>
      </c>
      <c r="D103" t="s">
        <v>260</v>
      </c>
      <c r="E103" t="s">
        <v>3</v>
      </c>
      <c r="F103">
        <v>3</v>
      </c>
      <c r="O103" t="s">
        <v>261</v>
      </c>
      <c r="P103" t="s">
        <v>257</v>
      </c>
      <c r="T103" t="s">
        <v>55</v>
      </c>
      <c r="W103">
        <v>100</v>
      </c>
      <c r="Z103" t="s">
        <v>262</v>
      </c>
      <c r="AA103" t="s">
        <v>7</v>
      </c>
      <c r="AC103" t="s">
        <v>2</v>
      </c>
      <c r="AE103" t="s">
        <v>8</v>
      </c>
      <c r="AF103" t="str">
        <f>"78629"</f>
        <v>78629</v>
      </c>
      <c r="AG103" t="str">
        <f>"78629"</f>
        <v>78629</v>
      </c>
      <c r="AH103" t="s">
        <v>2</v>
      </c>
      <c r="AJ103" t="s">
        <v>263</v>
      </c>
      <c r="AK103" t="s">
        <v>264</v>
      </c>
      <c r="AP103" t="s">
        <v>265</v>
      </c>
      <c r="AS103" t="s">
        <v>2</v>
      </c>
      <c r="AT103" t="s">
        <v>2</v>
      </c>
      <c r="AU103" t="s">
        <v>8</v>
      </c>
      <c r="AV103" t="str">
        <f>"78629"</f>
        <v>78629</v>
      </c>
      <c r="AW103" t="s">
        <v>266</v>
      </c>
      <c r="AX103" t="s">
        <v>267</v>
      </c>
      <c r="AY103" t="s">
        <v>268</v>
      </c>
      <c r="AZ103" t="s">
        <v>18</v>
      </c>
      <c r="BA103" t="s">
        <v>269</v>
      </c>
      <c r="BB103" t="str">
        <f>"11948"</f>
        <v>11948</v>
      </c>
      <c r="BC103" t="str">
        <f>"11948"</f>
        <v>11948</v>
      </c>
      <c r="BD103" t="str">
        <f>"161880214134650000000"</f>
        <v>161880214134650000000</v>
      </c>
      <c r="BE103">
        <v>48177</v>
      </c>
      <c r="BG103">
        <v>400</v>
      </c>
      <c r="BH103">
        <v>2001</v>
      </c>
      <c r="BN103">
        <v>29.497604468948602</v>
      </c>
      <c r="BO103">
        <v>-97.453090209606401</v>
      </c>
      <c r="BX103" t="s">
        <v>22</v>
      </c>
      <c r="CA103" t="str">
        <f>"1/3"</f>
        <v>1/3</v>
      </c>
      <c r="CB103">
        <v>14</v>
      </c>
      <c r="CD103">
        <v>0</v>
      </c>
      <c r="CO103">
        <v>0</v>
      </c>
      <c r="EA103" s="1">
        <v>1</v>
      </c>
      <c r="EC103" t="s">
        <v>23</v>
      </c>
      <c r="ED103" t="s">
        <v>24</v>
      </c>
      <c r="EE103" t="s">
        <v>25</v>
      </c>
      <c r="EG103">
        <v>62291</v>
      </c>
      <c r="EH103">
        <v>1.43</v>
      </c>
      <c r="EI103">
        <f t="shared" si="3"/>
        <v>32890</v>
      </c>
      <c r="EJ103">
        <f t="shared" si="2"/>
        <v>16445</v>
      </c>
      <c r="EK103">
        <v>111.1</v>
      </c>
      <c r="EL103">
        <v>166.7</v>
      </c>
      <c r="EM103">
        <v>9596.2800000000007</v>
      </c>
      <c r="EN103">
        <v>9596.2800000000007</v>
      </c>
      <c r="EW103" t="s">
        <v>270</v>
      </c>
      <c r="EX103" t="s">
        <v>271</v>
      </c>
      <c r="EY103" t="s">
        <v>272</v>
      </c>
      <c r="EZ103" s="2">
        <v>40515</v>
      </c>
      <c r="FA103" t="s">
        <v>29</v>
      </c>
      <c r="FB103" t="str">
        <f>"TRUE"</f>
        <v>TRUE</v>
      </c>
      <c r="FC103">
        <v>2019</v>
      </c>
      <c r="FD103">
        <v>2016</v>
      </c>
      <c r="FE103" t="s">
        <v>30</v>
      </c>
      <c r="FF103" t="s">
        <v>31</v>
      </c>
      <c r="FG103" t="s">
        <v>31</v>
      </c>
      <c r="FH103" t="s">
        <v>31</v>
      </c>
      <c r="FI103" t="s">
        <v>31</v>
      </c>
      <c r="FJ103" t="s">
        <v>31</v>
      </c>
      <c r="FK103" t="s">
        <v>31</v>
      </c>
      <c r="FL103" t="s">
        <v>31</v>
      </c>
      <c r="FM103" t="s">
        <v>31</v>
      </c>
      <c r="FN103" t="s">
        <v>31</v>
      </c>
      <c r="FO103" t="s">
        <v>31</v>
      </c>
      <c r="FP103" t="s">
        <v>31</v>
      </c>
      <c r="FQ103" t="s">
        <v>31</v>
      </c>
      <c r="FR103" t="s">
        <v>31</v>
      </c>
      <c r="FS103" s="3">
        <v>13290</v>
      </c>
      <c r="FT103" s="3">
        <v>13290</v>
      </c>
      <c r="FW103" s="3">
        <v>13290</v>
      </c>
      <c r="FX103" s="3">
        <v>13290</v>
      </c>
      <c r="GE103" s="3">
        <v>441.38</v>
      </c>
      <c r="GG103" s="3">
        <v>13290</v>
      </c>
      <c r="GI103" t="s">
        <v>32</v>
      </c>
      <c r="GL103" t="s">
        <v>273</v>
      </c>
      <c r="GM103" t="s">
        <v>34</v>
      </c>
      <c r="GN103" t="s">
        <v>35</v>
      </c>
      <c r="GS103" t="str">
        <f>""</f>
        <v/>
      </c>
      <c r="GT103" t="str">
        <f>""</f>
        <v/>
      </c>
      <c r="GV103" s="2">
        <v>32920</v>
      </c>
      <c r="GW103" s="3">
        <v>0</v>
      </c>
      <c r="GY103" t="s">
        <v>36</v>
      </c>
      <c r="GZ103" t="s">
        <v>37</v>
      </c>
      <c r="HF103" t="str">
        <f>""</f>
        <v/>
      </c>
      <c r="HK103" t="str">
        <f>""</f>
        <v/>
      </c>
      <c r="HN103" t="s">
        <v>38</v>
      </c>
      <c r="HP103" t="str">
        <f>"0006430979"</f>
        <v>0006430979</v>
      </c>
      <c r="HZ103" t="str">
        <f>""</f>
        <v/>
      </c>
      <c r="IA103" t="str">
        <f>HYPERLINK("https://web.datatree.com/?/property?propertyId=128790903")</f>
        <v>https://web.datatree.com/?/property?propertyId=128790903</v>
      </c>
    </row>
    <row r="104" spans="1:235" x14ac:dyDescent="0.3">
      <c r="A104" t="s">
        <v>1766</v>
      </c>
      <c r="D104" t="s">
        <v>1766</v>
      </c>
      <c r="E104" t="s">
        <v>84</v>
      </c>
      <c r="F104">
        <v>8</v>
      </c>
      <c r="O104" t="s">
        <v>1766</v>
      </c>
      <c r="P104" t="s">
        <v>1766</v>
      </c>
      <c r="R104" t="s">
        <v>85</v>
      </c>
      <c r="T104" t="s">
        <v>5</v>
      </c>
      <c r="V104" t="s">
        <v>31</v>
      </c>
      <c r="W104">
        <v>201</v>
      </c>
      <c r="Z104" t="s">
        <v>791</v>
      </c>
      <c r="AC104" t="s">
        <v>512</v>
      </c>
      <c r="AE104" t="s">
        <v>8</v>
      </c>
      <c r="AF104" t="str">
        <f>"78159"</f>
        <v>78159</v>
      </c>
      <c r="AG104" t="str">
        <f>"78159-5954"</f>
        <v>78159-5954</v>
      </c>
      <c r="AH104" t="s">
        <v>2</v>
      </c>
      <c r="AI104" t="s">
        <v>346</v>
      </c>
      <c r="AJ104" t="s">
        <v>1767</v>
      </c>
      <c r="AK104" t="s">
        <v>1768</v>
      </c>
      <c r="AL104" t="s">
        <v>52</v>
      </c>
      <c r="AM104">
        <v>12621</v>
      </c>
      <c r="AP104" t="s">
        <v>1769</v>
      </c>
      <c r="AS104" t="s">
        <v>241</v>
      </c>
      <c r="AU104" t="s">
        <v>8</v>
      </c>
      <c r="AV104" t="str">
        <f>"78223-4572"</f>
        <v>78223-4572</v>
      </c>
      <c r="AX104" t="s">
        <v>1770</v>
      </c>
      <c r="AY104" t="s">
        <v>1771</v>
      </c>
      <c r="AZ104" t="s">
        <v>18</v>
      </c>
      <c r="BA104" t="s">
        <v>1563</v>
      </c>
      <c r="BB104" t="str">
        <f>"26612"</f>
        <v>26612</v>
      </c>
      <c r="BC104" t="str">
        <f>"26612"</f>
        <v>26612</v>
      </c>
      <c r="BD104" t="str">
        <f>"146439500000050000000"</f>
        <v>146439500000050000000</v>
      </c>
      <c r="BE104">
        <v>48177</v>
      </c>
      <c r="BG104">
        <v>600</v>
      </c>
      <c r="BH104">
        <v>2198</v>
      </c>
      <c r="BN104">
        <v>29.269369712757999</v>
      </c>
      <c r="BO104">
        <v>-97.6336246811492</v>
      </c>
      <c r="BP104" t="s">
        <v>1772</v>
      </c>
      <c r="BX104" t="s">
        <v>22</v>
      </c>
      <c r="CA104" t="str">
        <f>""</f>
        <v/>
      </c>
      <c r="CC104">
        <v>1216</v>
      </c>
      <c r="CD104">
        <v>1216</v>
      </c>
      <c r="CH104">
        <v>1216</v>
      </c>
      <c r="CJ104">
        <v>2005</v>
      </c>
      <c r="CO104">
        <v>0</v>
      </c>
      <c r="EA104" s="1">
        <v>1</v>
      </c>
      <c r="EC104" t="s">
        <v>23</v>
      </c>
      <c r="ED104" t="s">
        <v>1773</v>
      </c>
      <c r="EE104" t="s">
        <v>25</v>
      </c>
      <c r="EG104">
        <v>62726</v>
      </c>
      <c r="EH104">
        <v>1.44</v>
      </c>
      <c r="EI104">
        <f t="shared" si="3"/>
        <v>33120</v>
      </c>
      <c r="EJ104">
        <f t="shared" si="2"/>
        <v>16560</v>
      </c>
      <c r="ER104">
        <v>1</v>
      </c>
      <c r="EW104" t="s">
        <v>26</v>
      </c>
      <c r="EX104" t="s">
        <v>491</v>
      </c>
      <c r="EY104" t="s">
        <v>492</v>
      </c>
      <c r="EZ104" s="2">
        <v>40515</v>
      </c>
      <c r="FA104" t="s">
        <v>143</v>
      </c>
      <c r="FB104" t="str">
        <f>"FALSE"</f>
        <v>FALSE</v>
      </c>
      <c r="FC104">
        <v>2019</v>
      </c>
      <c r="FD104">
        <v>2016</v>
      </c>
      <c r="FE104" t="s">
        <v>119</v>
      </c>
      <c r="FF104" t="s">
        <v>31</v>
      </c>
      <c r="FG104" t="s">
        <v>31</v>
      </c>
      <c r="FH104" t="s">
        <v>31</v>
      </c>
      <c r="FI104" t="s">
        <v>31</v>
      </c>
      <c r="FJ104" t="s">
        <v>31</v>
      </c>
      <c r="FK104" t="s">
        <v>31</v>
      </c>
      <c r="FL104" t="s">
        <v>31</v>
      </c>
      <c r="FM104" t="s">
        <v>31</v>
      </c>
      <c r="FN104" t="s">
        <v>31</v>
      </c>
      <c r="FO104" t="s">
        <v>31</v>
      </c>
      <c r="FP104" t="s">
        <v>31</v>
      </c>
      <c r="FQ104" t="s">
        <v>31</v>
      </c>
      <c r="FR104" t="s">
        <v>31</v>
      </c>
      <c r="FS104" s="3">
        <v>16070</v>
      </c>
      <c r="FT104" s="3">
        <v>16070</v>
      </c>
      <c r="FW104" s="3">
        <v>16070</v>
      </c>
      <c r="FX104" s="3">
        <v>16070</v>
      </c>
      <c r="GE104" s="3">
        <v>967.92</v>
      </c>
      <c r="GG104" s="3">
        <v>16070</v>
      </c>
      <c r="GI104" t="s">
        <v>120</v>
      </c>
      <c r="GL104" t="s">
        <v>121</v>
      </c>
      <c r="GM104" t="s">
        <v>122</v>
      </c>
      <c r="GN104" t="s">
        <v>123</v>
      </c>
      <c r="GS104" t="str">
        <f>""</f>
        <v/>
      </c>
      <c r="GT104" t="str">
        <f>""</f>
        <v/>
      </c>
      <c r="HF104" t="str">
        <f>""</f>
        <v/>
      </c>
      <c r="HK104" t="str">
        <f>""</f>
        <v/>
      </c>
      <c r="HN104" t="s">
        <v>38</v>
      </c>
      <c r="HP104" t="str">
        <f>""</f>
        <v/>
      </c>
      <c r="HZ104" t="str">
        <f>""</f>
        <v/>
      </c>
      <c r="IA104" t="str">
        <f>HYPERLINK("https://web.datatree.com/?/property?propertyId=182826557")</f>
        <v>https://web.datatree.com/?/property?propertyId=182826557</v>
      </c>
    </row>
    <row r="105" spans="1:235" x14ac:dyDescent="0.3">
      <c r="A105" t="s">
        <v>350</v>
      </c>
      <c r="B105" t="s">
        <v>351</v>
      </c>
      <c r="C105" t="s">
        <v>352</v>
      </c>
      <c r="D105" t="s">
        <v>353</v>
      </c>
      <c r="E105" t="s">
        <v>3</v>
      </c>
      <c r="F105">
        <v>17</v>
      </c>
      <c r="G105" t="s">
        <v>354</v>
      </c>
      <c r="H105" t="s">
        <v>355</v>
      </c>
      <c r="I105" t="s">
        <v>355</v>
      </c>
      <c r="J105" t="s">
        <v>353</v>
      </c>
      <c r="K105" t="s">
        <v>3</v>
      </c>
      <c r="L105">
        <v>16</v>
      </c>
      <c r="O105" t="s">
        <v>356</v>
      </c>
      <c r="P105" t="s">
        <v>357</v>
      </c>
      <c r="T105" t="s">
        <v>137</v>
      </c>
      <c r="W105">
        <v>834</v>
      </c>
      <c r="Z105" t="s">
        <v>358</v>
      </c>
      <c r="AA105" t="s">
        <v>7</v>
      </c>
      <c r="AC105" t="s">
        <v>2</v>
      </c>
      <c r="AE105" t="s">
        <v>8</v>
      </c>
      <c r="AF105" t="str">
        <f>"78629"</f>
        <v>78629</v>
      </c>
      <c r="AG105" t="str">
        <f>"78629-4612"</f>
        <v>78629-4612</v>
      </c>
      <c r="AH105" t="s">
        <v>2</v>
      </c>
      <c r="AI105" t="s">
        <v>281</v>
      </c>
      <c r="AJ105" t="s">
        <v>359</v>
      </c>
      <c r="AK105" t="s">
        <v>360</v>
      </c>
      <c r="AM105">
        <v>834</v>
      </c>
      <c r="AP105" t="s">
        <v>358</v>
      </c>
      <c r="AQ105" t="s">
        <v>7</v>
      </c>
      <c r="AS105" t="s">
        <v>2</v>
      </c>
      <c r="AU105" t="s">
        <v>8</v>
      </c>
      <c r="AV105" t="str">
        <f>"78629-4612"</f>
        <v>78629-4612</v>
      </c>
      <c r="AW105" t="s">
        <v>281</v>
      </c>
      <c r="AX105" t="s">
        <v>359</v>
      </c>
      <c r="AY105" t="s">
        <v>361</v>
      </c>
      <c r="BA105" t="s">
        <v>362</v>
      </c>
      <c r="BB105" t="str">
        <f>"1284"</f>
        <v>1284</v>
      </c>
      <c r="BC105" t="str">
        <f>"1284"</f>
        <v>1284</v>
      </c>
      <c r="BD105" t="str">
        <f>"102421500000001000000"</f>
        <v>102421500000001000000</v>
      </c>
      <c r="BE105">
        <v>48177</v>
      </c>
      <c r="BG105">
        <v>200</v>
      </c>
      <c r="BH105">
        <v>1063</v>
      </c>
      <c r="BN105">
        <v>29.4973138159929</v>
      </c>
      <c r="BO105">
        <v>-97.444666814872704</v>
      </c>
      <c r="BX105" t="s">
        <v>22</v>
      </c>
      <c r="CA105" t="str">
        <f>""</f>
        <v/>
      </c>
      <c r="CC105">
        <v>888</v>
      </c>
      <c r="CD105">
        <v>888</v>
      </c>
      <c r="CO105">
        <v>0</v>
      </c>
      <c r="DA105" t="s">
        <v>363</v>
      </c>
      <c r="DC105" t="s">
        <v>364</v>
      </c>
      <c r="DD105">
        <v>648</v>
      </c>
      <c r="EA105" s="1">
        <v>1</v>
      </c>
      <c r="EC105" t="s">
        <v>23</v>
      </c>
      <c r="ED105" t="s">
        <v>24</v>
      </c>
      <c r="EE105" t="s">
        <v>25</v>
      </c>
      <c r="EG105">
        <v>63118</v>
      </c>
      <c r="EH105">
        <v>1.45</v>
      </c>
      <c r="EI105">
        <f t="shared" si="3"/>
        <v>33350</v>
      </c>
      <c r="EJ105">
        <f t="shared" si="2"/>
        <v>16675</v>
      </c>
      <c r="ER105">
        <v>1</v>
      </c>
      <c r="EW105" t="s">
        <v>270</v>
      </c>
      <c r="EX105" t="s">
        <v>271</v>
      </c>
      <c r="EY105" t="s">
        <v>272</v>
      </c>
      <c r="EZ105" s="2">
        <v>40515</v>
      </c>
      <c r="FA105" t="s">
        <v>143</v>
      </c>
      <c r="FB105" t="str">
        <f>"TRUE"</f>
        <v>TRUE</v>
      </c>
      <c r="FC105">
        <v>2019</v>
      </c>
      <c r="FD105">
        <v>2016</v>
      </c>
      <c r="FE105" t="s">
        <v>30</v>
      </c>
      <c r="FF105" t="s">
        <v>31</v>
      </c>
      <c r="FG105" t="s">
        <v>31</v>
      </c>
      <c r="FH105" t="s">
        <v>31</v>
      </c>
      <c r="FI105" t="s">
        <v>31</v>
      </c>
      <c r="FJ105" t="s">
        <v>31</v>
      </c>
      <c r="FK105" t="s">
        <v>31</v>
      </c>
      <c r="FL105" t="s">
        <v>31</v>
      </c>
      <c r="FM105" t="s">
        <v>31</v>
      </c>
      <c r="FN105" t="s">
        <v>31</v>
      </c>
      <c r="FO105" t="s">
        <v>31</v>
      </c>
      <c r="FP105" t="s">
        <v>31</v>
      </c>
      <c r="FQ105" t="s">
        <v>31</v>
      </c>
      <c r="FR105" t="s">
        <v>31</v>
      </c>
      <c r="FS105" s="3">
        <v>18900</v>
      </c>
      <c r="FT105" s="3">
        <v>18660</v>
      </c>
      <c r="FU105" s="3">
        <v>240</v>
      </c>
      <c r="FV105">
        <v>1.27</v>
      </c>
      <c r="FW105" s="3">
        <v>18900</v>
      </c>
      <c r="FX105" s="3">
        <v>18660</v>
      </c>
      <c r="FY105" s="3">
        <v>240</v>
      </c>
      <c r="FZ105">
        <v>1.27</v>
      </c>
      <c r="GE105" s="3">
        <v>419.2</v>
      </c>
      <c r="GG105" s="3">
        <v>18900</v>
      </c>
      <c r="GI105" t="s">
        <v>32</v>
      </c>
      <c r="GL105" t="s">
        <v>273</v>
      </c>
      <c r="GM105" t="s">
        <v>34</v>
      </c>
      <c r="GN105" t="s">
        <v>35</v>
      </c>
      <c r="GS105" t="str">
        <f>""</f>
        <v/>
      </c>
      <c r="GT105" t="str">
        <f>""</f>
        <v/>
      </c>
      <c r="HF105" t="str">
        <f>""</f>
        <v/>
      </c>
      <c r="HK105" t="str">
        <f>""</f>
        <v/>
      </c>
      <c r="HN105" t="s">
        <v>38</v>
      </c>
      <c r="HP105" t="str">
        <f>""</f>
        <v/>
      </c>
      <c r="HZ105" t="str">
        <f>""</f>
        <v/>
      </c>
      <c r="IA105" t="str">
        <f>HYPERLINK("https://web.datatree.com/?/property?propertyId=128791814")</f>
        <v>https://web.datatree.com/?/property?propertyId=128791814</v>
      </c>
    </row>
    <row r="106" spans="1:235" x14ac:dyDescent="0.3">
      <c r="A106" t="s">
        <v>1586</v>
      </c>
      <c r="B106" t="s">
        <v>1587</v>
      </c>
      <c r="C106" t="s">
        <v>1588</v>
      </c>
      <c r="D106" t="s">
        <v>1589</v>
      </c>
      <c r="E106" t="s">
        <v>3</v>
      </c>
      <c r="F106">
        <v>6</v>
      </c>
      <c r="O106" t="s">
        <v>1590</v>
      </c>
      <c r="P106" t="s">
        <v>1586</v>
      </c>
      <c r="T106" t="s">
        <v>5</v>
      </c>
      <c r="V106" t="s">
        <v>148</v>
      </c>
      <c r="W106">
        <v>101</v>
      </c>
      <c r="Z106" t="s">
        <v>171</v>
      </c>
      <c r="AA106" t="s">
        <v>105</v>
      </c>
      <c r="AC106" t="s">
        <v>106</v>
      </c>
      <c r="AE106" t="s">
        <v>8</v>
      </c>
      <c r="AF106" t="str">
        <f>"78140"</f>
        <v>78140</v>
      </c>
      <c r="AG106" t="str">
        <f>"78140-2875"</f>
        <v>78140-2875</v>
      </c>
      <c r="AH106" t="s">
        <v>2</v>
      </c>
      <c r="AI106" t="s">
        <v>172</v>
      </c>
      <c r="AJ106" t="s">
        <v>173</v>
      </c>
      <c r="AK106" t="s">
        <v>174</v>
      </c>
      <c r="AM106">
        <v>700</v>
      </c>
      <c r="AP106" t="s">
        <v>1591</v>
      </c>
      <c r="AQ106" t="s">
        <v>73</v>
      </c>
      <c r="AS106" t="s">
        <v>231</v>
      </c>
      <c r="AU106" t="s">
        <v>8</v>
      </c>
      <c r="AV106" t="str">
        <f>"78155-1814"</f>
        <v>78155-1814</v>
      </c>
      <c r="AW106" t="s">
        <v>80</v>
      </c>
      <c r="AX106" t="s">
        <v>1592</v>
      </c>
      <c r="AY106" t="s">
        <v>1593</v>
      </c>
      <c r="AZ106" t="s">
        <v>18</v>
      </c>
      <c r="BA106" t="s">
        <v>1594</v>
      </c>
      <c r="BB106" t="str">
        <f>"22137"</f>
        <v>22137</v>
      </c>
      <c r="BC106" t="str">
        <f>"22137"</f>
        <v>22137</v>
      </c>
      <c r="BD106" t="str">
        <f>"171619580000002000000"</f>
        <v>171619580000002000000</v>
      </c>
      <c r="BE106">
        <v>48177</v>
      </c>
      <c r="BG106">
        <v>500</v>
      </c>
      <c r="BH106">
        <v>2097</v>
      </c>
      <c r="BI106" t="s">
        <v>20</v>
      </c>
      <c r="BN106">
        <v>29.2601210347799</v>
      </c>
      <c r="BO106">
        <v>-97.763784745620697</v>
      </c>
      <c r="BP106" t="s">
        <v>115</v>
      </c>
      <c r="BX106" t="s">
        <v>22</v>
      </c>
      <c r="CA106" t="str">
        <f>""</f>
        <v/>
      </c>
      <c r="CD106">
        <v>199</v>
      </c>
      <c r="CO106">
        <v>0</v>
      </c>
      <c r="DA106" t="s">
        <v>131</v>
      </c>
      <c r="DC106" t="s">
        <v>131</v>
      </c>
      <c r="EA106" s="1">
        <v>1</v>
      </c>
      <c r="EC106" t="s">
        <v>23</v>
      </c>
      <c r="ED106" t="s">
        <v>1129</v>
      </c>
      <c r="EE106" t="s">
        <v>25</v>
      </c>
      <c r="EG106">
        <v>65340</v>
      </c>
      <c r="EH106">
        <v>1.5</v>
      </c>
      <c r="EI106">
        <f t="shared" si="3"/>
        <v>34500</v>
      </c>
      <c r="EJ106">
        <f t="shared" si="2"/>
        <v>17250</v>
      </c>
      <c r="ER106">
        <v>1</v>
      </c>
      <c r="EW106" t="s">
        <v>26</v>
      </c>
      <c r="EX106" t="s">
        <v>116</v>
      </c>
      <c r="EY106" t="s">
        <v>117</v>
      </c>
      <c r="EZ106" s="2">
        <v>40515</v>
      </c>
      <c r="FA106" t="s">
        <v>118</v>
      </c>
      <c r="FB106" t="str">
        <f>"FALSE"</f>
        <v>FALSE</v>
      </c>
      <c r="FC106">
        <v>2019</v>
      </c>
      <c r="FD106">
        <v>2016</v>
      </c>
      <c r="FE106" t="s">
        <v>119</v>
      </c>
      <c r="FF106" t="s">
        <v>31</v>
      </c>
      <c r="FG106" t="s">
        <v>31</v>
      </c>
      <c r="FH106" t="s">
        <v>31</v>
      </c>
      <c r="FI106" t="s">
        <v>31</v>
      </c>
      <c r="FJ106" t="s">
        <v>31</v>
      </c>
      <c r="FK106" t="s">
        <v>31</v>
      </c>
      <c r="FL106" t="s">
        <v>31</v>
      </c>
      <c r="FM106" t="s">
        <v>31</v>
      </c>
      <c r="FN106" t="s">
        <v>31</v>
      </c>
      <c r="FO106" t="s">
        <v>31</v>
      </c>
      <c r="FP106" t="s">
        <v>31</v>
      </c>
      <c r="FQ106" t="s">
        <v>31</v>
      </c>
      <c r="FR106" t="s">
        <v>31</v>
      </c>
      <c r="FS106" s="3">
        <v>23810</v>
      </c>
      <c r="FT106" s="3">
        <v>18510</v>
      </c>
      <c r="FU106" s="3">
        <v>5300</v>
      </c>
      <c r="FV106">
        <v>22.26</v>
      </c>
      <c r="FW106" s="3">
        <v>23810</v>
      </c>
      <c r="FX106" s="3">
        <v>18510</v>
      </c>
      <c r="FY106" s="3">
        <v>5300</v>
      </c>
      <c r="FZ106">
        <v>22.26</v>
      </c>
      <c r="GE106" s="3">
        <v>550.08000000000004</v>
      </c>
      <c r="GG106" s="3">
        <v>23810</v>
      </c>
      <c r="GI106" t="s">
        <v>120</v>
      </c>
      <c r="GL106" t="s">
        <v>121</v>
      </c>
      <c r="GM106" t="s">
        <v>122</v>
      </c>
      <c r="GN106" t="s">
        <v>123</v>
      </c>
      <c r="GS106" t="str">
        <f>""</f>
        <v/>
      </c>
      <c r="GT106" t="str">
        <f>""</f>
        <v/>
      </c>
      <c r="GV106" s="2">
        <v>37619</v>
      </c>
      <c r="GW106" s="3">
        <v>0</v>
      </c>
      <c r="GY106" t="s">
        <v>36</v>
      </c>
      <c r="GZ106" t="s">
        <v>37</v>
      </c>
      <c r="HF106" t="str">
        <f>""</f>
        <v/>
      </c>
      <c r="HK106" t="str">
        <f>""</f>
        <v/>
      </c>
      <c r="HN106" t="s">
        <v>38</v>
      </c>
      <c r="HP106" t="str">
        <f>"0008780192"</f>
        <v>0008780192</v>
      </c>
      <c r="HZ106" t="str">
        <f>""</f>
        <v/>
      </c>
      <c r="IA106" t="str">
        <f>HYPERLINK("https://web.datatree.com/?/property?propertyId=128797489")</f>
        <v>https://web.datatree.com/?/property?propertyId=128797489</v>
      </c>
    </row>
    <row r="107" spans="1:235" x14ac:dyDescent="0.3">
      <c r="A107" t="s">
        <v>1774</v>
      </c>
      <c r="B107" t="s">
        <v>1775</v>
      </c>
      <c r="C107" t="s">
        <v>900</v>
      </c>
      <c r="D107" t="s">
        <v>1776</v>
      </c>
      <c r="E107" t="s">
        <v>3</v>
      </c>
      <c r="F107">
        <v>1</v>
      </c>
      <c r="G107" t="s">
        <v>1777</v>
      </c>
      <c r="H107" t="s">
        <v>1778</v>
      </c>
      <c r="I107" t="s">
        <v>1779</v>
      </c>
      <c r="J107" t="s">
        <v>1780</v>
      </c>
      <c r="K107" t="s">
        <v>3</v>
      </c>
      <c r="L107">
        <v>1</v>
      </c>
      <c r="O107" t="s">
        <v>1781</v>
      </c>
      <c r="P107" t="s">
        <v>1782</v>
      </c>
      <c r="T107" t="s">
        <v>55</v>
      </c>
      <c r="W107">
        <v>140</v>
      </c>
      <c r="Z107" t="s">
        <v>227</v>
      </c>
      <c r="AC107" t="s">
        <v>2</v>
      </c>
      <c r="AE107" t="s">
        <v>8</v>
      </c>
      <c r="AF107" t="str">
        <f>"78629"</f>
        <v>78629</v>
      </c>
      <c r="AG107" t="str">
        <f>"78629"</f>
        <v>78629</v>
      </c>
      <c r="AH107" t="s">
        <v>2</v>
      </c>
      <c r="AJ107" t="s">
        <v>1783</v>
      </c>
      <c r="AK107" t="s">
        <v>1784</v>
      </c>
      <c r="AP107" t="s">
        <v>1785</v>
      </c>
      <c r="AS107" t="s">
        <v>1635</v>
      </c>
      <c r="AU107" t="s">
        <v>8</v>
      </c>
      <c r="AV107" t="str">
        <f>"78614"</f>
        <v>78614</v>
      </c>
      <c r="AW107" t="s">
        <v>254</v>
      </c>
      <c r="AX107" t="s">
        <v>1786</v>
      </c>
      <c r="AY107" t="s">
        <v>1787</v>
      </c>
      <c r="AZ107" t="s">
        <v>18</v>
      </c>
      <c r="BA107" t="s">
        <v>1788</v>
      </c>
      <c r="BB107" t="str">
        <f>"28020"</f>
        <v>28020</v>
      </c>
      <c r="BC107" t="str">
        <f>"28020"</f>
        <v>28020</v>
      </c>
      <c r="BD107" t="str">
        <f>"92300-00003-00000-000000"</f>
        <v>92300-00003-00000-000000</v>
      </c>
      <c r="BE107">
        <v>48177</v>
      </c>
      <c r="BG107">
        <v>400</v>
      </c>
      <c r="BH107">
        <v>2001</v>
      </c>
      <c r="BN107">
        <v>29.507200000000001</v>
      </c>
      <c r="BO107">
        <v>-97.452100000000002</v>
      </c>
      <c r="CA107" t="str">
        <f>""</f>
        <v/>
      </c>
      <c r="CD107">
        <v>0</v>
      </c>
      <c r="CO107">
        <v>0</v>
      </c>
      <c r="CP107">
        <v>0</v>
      </c>
      <c r="EA107" s="1">
        <v>1</v>
      </c>
      <c r="EC107" t="s">
        <v>23</v>
      </c>
      <c r="EE107" t="s">
        <v>25</v>
      </c>
      <c r="EG107">
        <v>65340</v>
      </c>
      <c r="EH107">
        <v>1.5</v>
      </c>
      <c r="EI107">
        <f t="shared" si="3"/>
        <v>34500</v>
      </c>
      <c r="EJ107">
        <f t="shared" si="2"/>
        <v>17250</v>
      </c>
      <c r="FB107" t="str">
        <f>"UNKNOWN"</f>
        <v>UNKNOWN</v>
      </c>
      <c r="FC107">
        <v>2019</v>
      </c>
      <c r="FE107" t="s">
        <v>30</v>
      </c>
      <c r="FF107" t="s">
        <v>31</v>
      </c>
      <c r="FG107" t="s">
        <v>31</v>
      </c>
      <c r="FH107" t="s">
        <v>31</v>
      </c>
      <c r="FI107" t="s">
        <v>31</v>
      </c>
      <c r="FJ107" t="s">
        <v>31</v>
      </c>
      <c r="FK107" t="s">
        <v>31</v>
      </c>
      <c r="FL107" t="s">
        <v>31</v>
      </c>
      <c r="FM107" t="s">
        <v>31</v>
      </c>
      <c r="FN107" t="s">
        <v>31</v>
      </c>
      <c r="FO107" t="s">
        <v>31</v>
      </c>
      <c r="FP107" t="s">
        <v>31</v>
      </c>
      <c r="FQ107" t="s">
        <v>31</v>
      </c>
      <c r="FR107" t="s">
        <v>31</v>
      </c>
      <c r="FS107" s="3">
        <v>21830</v>
      </c>
      <c r="FT107" s="3">
        <v>21830</v>
      </c>
      <c r="FW107" s="3">
        <v>21830</v>
      </c>
      <c r="FX107" s="3">
        <v>21830</v>
      </c>
      <c r="GG107" s="3">
        <v>21830</v>
      </c>
      <c r="GS107" t="str">
        <f>""</f>
        <v/>
      </c>
      <c r="GT107" t="str">
        <f>""</f>
        <v/>
      </c>
      <c r="HF107" t="str">
        <f>""</f>
        <v/>
      </c>
      <c r="HK107" t="str">
        <f>""</f>
        <v/>
      </c>
      <c r="HN107" t="s">
        <v>38</v>
      </c>
      <c r="HP107" t="str">
        <f>""</f>
        <v/>
      </c>
      <c r="HZ107" t="str">
        <f>""</f>
        <v/>
      </c>
      <c r="IA107" t="str">
        <f>HYPERLINK("https://web.datatree.com/?/property?propertyId=211428200")</f>
        <v>https://web.datatree.com/?/property?propertyId=211428200</v>
      </c>
    </row>
    <row r="108" spans="1:235" x14ac:dyDescent="0.3">
      <c r="A108" t="s">
        <v>1789</v>
      </c>
      <c r="B108" t="s">
        <v>1790</v>
      </c>
      <c r="C108" t="s">
        <v>1791</v>
      </c>
      <c r="D108" t="s">
        <v>1792</v>
      </c>
      <c r="E108" t="s">
        <v>3</v>
      </c>
      <c r="F108">
        <v>2</v>
      </c>
      <c r="G108" t="s">
        <v>1793</v>
      </c>
      <c r="H108" t="s">
        <v>1794</v>
      </c>
      <c r="I108" t="s">
        <v>1794</v>
      </c>
      <c r="J108" t="s">
        <v>1792</v>
      </c>
      <c r="K108" t="s">
        <v>3</v>
      </c>
      <c r="L108">
        <v>2</v>
      </c>
      <c r="O108" t="s">
        <v>1795</v>
      </c>
      <c r="P108" t="s">
        <v>1796</v>
      </c>
      <c r="T108" t="s">
        <v>55</v>
      </c>
      <c r="W108">
        <v>140</v>
      </c>
      <c r="Z108" t="s">
        <v>227</v>
      </c>
      <c r="AC108" t="s">
        <v>2</v>
      </c>
      <c r="AE108" t="s">
        <v>8</v>
      </c>
      <c r="AF108" t="str">
        <f>"78629"</f>
        <v>78629</v>
      </c>
      <c r="AG108" t="str">
        <f>"78629"</f>
        <v>78629</v>
      </c>
      <c r="AH108" t="s">
        <v>2</v>
      </c>
      <c r="AJ108" t="s">
        <v>1783</v>
      </c>
      <c r="AK108" t="s">
        <v>1784</v>
      </c>
      <c r="AL108" t="s">
        <v>31</v>
      </c>
      <c r="AM108">
        <v>930</v>
      </c>
      <c r="AP108" t="s">
        <v>1797</v>
      </c>
      <c r="AQ108" t="s">
        <v>7</v>
      </c>
      <c r="AS108" t="s">
        <v>2</v>
      </c>
      <c r="AT108" t="s">
        <v>2</v>
      </c>
      <c r="AU108" t="s">
        <v>8</v>
      </c>
      <c r="AV108" t="str">
        <f>"78629-3519"</f>
        <v>78629-3519</v>
      </c>
      <c r="AW108" t="s">
        <v>9</v>
      </c>
      <c r="AX108" t="s">
        <v>1798</v>
      </c>
      <c r="AY108" t="s">
        <v>1799</v>
      </c>
      <c r="AZ108" t="s">
        <v>18</v>
      </c>
      <c r="BA108" t="s">
        <v>1800</v>
      </c>
      <c r="BB108" t="str">
        <f>"28025"</f>
        <v>28025</v>
      </c>
      <c r="BC108" t="str">
        <f>"28025"</f>
        <v>28025</v>
      </c>
      <c r="BD108" t="str">
        <f>"92300-00007-00000-000000"</f>
        <v>92300-00007-00000-000000</v>
      </c>
      <c r="BE108">
        <v>48177</v>
      </c>
      <c r="BG108">
        <v>400</v>
      </c>
      <c r="BH108">
        <v>2001</v>
      </c>
      <c r="BN108">
        <v>29.507200000000001</v>
      </c>
      <c r="BO108">
        <v>-97.452100000000002</v>
      </c>
      <c r="CA108" t="str">
        <f>""</f>
        <v/>
      </c>
      <c r="CD108">
        <v>0</v>
      </c>
      <c r="CO108">
        <v>0</v>
      </c>
      <c r="CP108">
        <v>0</v>
      </c>
      <c r="EA108" s="1">
        <v>1</v>
      </c>
      <c r="EC108" t="s">
        <v>23</v>
      </c>
      <c r="EE108" t="s">
        <v>25</v>
      </c>
      <c r="EG108">
        <v>65340</v>
      </c>
      <c r="EH108">
        <v>1.5</v>
      </c>
      <c r="EI108">
        <f t="shared" si="3"/>
        <v>34500</v>
      </c>
      <c r="EJ108">
        <f t="shared" si="2"/>
        <v>17250</v>
      </c>
      <c r="FB108" t="str">
        <f>"UNKNOWN"</f>
        <v>UNKNOWN</v>
      </c>
      <c r="FC108">
        <v>2019</v>
      </c>
      <c r="FE108" t="s">
        <v>30</v>
      </c>
      <c r="FF108" t="s">
        <v>31</v>
      </c>
      <c r="FG108" t="s">
        <v>31</v>
      </c>
      <c r="FH108" t="s">
        <v>31</v>
      </c>
      <c r="FI108" t="s">
        <v>31</v>
      </c>
      <c r="FJ108" t="s">
        <v>31</v>
      </c>
      <c r="FK108" t="s">
        <v>31</v>
      </c>
      <c r="FL108" t="s">
        <v>31</v>
      </c>
      <c r="FM108" t="s">
        <v>31</v>
      </c>
      <c r="FN108" t="s">
        <v>31</v>
      </c>
      <c r="FO108" t="s">
        <v>31</v>
      </c>
      <c r="FP108" t="s">
        <v>31</v>
      </c>
      <c r="FQ108" t="s">
        <v>31</v>
      </c>
      <c r="FR108" t="s">
        <v>31</v>
      </c>
      <c r="FS108" s="3">
        <v>21830</v>
      </c>
      <c r="FT108" s="3">
        <v>21830</v>
      </c>
      <c r="FW108" s="3">
        <v>21830</v>
      </c>
      <c r="FX108" s="3">
        <v>21830</v>
      </c>
      <c r="GG108" s="3">
        <v>21830</v>
      </c>
      <c r="GS108" t="str">
        <f>""</f>
        <v/>
      </c>
      <c r="GT108" t="str">
        <f>""</f>
        <v/>
      </c>
      <c r="HF108" t="str">
        <f>""</f>
        <v/>
      </c>
      <c r="HK108" t="str">
        <f>""</f>
        <v/>
      </c>
      <c r="HN108" t="s">
        <v>38</v>
      </c>
      <c r="HP108" t="str">
        <f>""</f>
        <v/>
      </c>
      <c r="HZ108" t="str">
        <f>""</f>
        <v/>
      </c>
      <c r="IA108" t="str">
        <f>HYPERLINK("https://web.datatree.com/?/property?propertyId=211424705")</f>
        <v>https://web.datatree.com/?/property?propertyId=211424705</v>
      </c>
    </row>
    <row r="109" spans="1:235" x14ac:dyDescent="0.3">
      <c r="A109" t="s">
        <v>1957</v>
      </c>
      <c r="B109" t="s">
        <v>1958</v>
      </c>
      <c r="C109" t="s">
        <v>1959</v>
      </c>
      <c r="D109" t="s">
        <v>1960</v>
      </c>
      <c r="E109" t="s">
        <v>3</v>
      </c>
      <c r="F109">
        <v>1</v>
      </c>
      <c r="G109" t="s">
        <v>1961</v>
      </c>
      <c r="H109" t="s">
        <v>1962</v>
      </c>
      <c r="I109" t="s">
        <v>1963</v>
      </c>
      <c r="J109" t="s">
        <v>1964</v>
      </c>
      <c r="K109" t="s">
        <v>3</v>
      </c>
      <c r="L109">
        <v>1</v>
      </c>
      <c r="O109" t="s">
        <v>1965</v>
      </c>
      <c r="P109" t="s">
        <v>1966</v>
      </c>
      <c r="T109" t="s">
        <v>55</v>
      </c>
      <c r="W109">
        <v>140</v>
      </c>
      <c r="Z109" t="s">
        <v>227</v>
      </c>
      <c r="AC109" t="s">
        <v>2</v>
      </c>
      <c r="AE109" t="s">
        <v>8</v>
      </c>
      <c r="AF109" t="str">
        <f>"78629"</f>
        <v>78629</v>
      </c>
      <c r="AG109" t="str">
        <f>"78629"</f>
        <v>78629</v>
      </c>
      <c r="AH109" t="s">
        <v>2</v>
      </c>
      <c r="AJ109" t="s">
        <v>1783</v>
      </c>
      <c r="AK109" t="s">
        <v>1784</v>
      </c>
      <c r="AL109" t="s">
        <v>1967</v>
      </c>
      <c r="AM109">
        <v>6374</v>
      </c>
      <c r="AP109" t="s">
        <v>1205</v>
      </c>
      <c r="AQ109" t="s">
        <v>7</v>
      </c>
      <c r="AS109" t="s">
        <v>1968</v>
      </c>
      <c r="AT109" t="s">
        <v>1968</v>
      </c>
      <c r="AU109" t="s">
        <v>1969</v>
      </c>
      <c r="AV109" t="str">
        <f>"33068-1610"</f>
        <v>33068-1610</v>
      </c>
      <c r="AW109" t="s">
        <v>111</v>
      </c>
      <c r="AX109" t="s">
        <v>1970</v>
      </c>
      <c r="AY109" t="s">
        <v>1971</v>
      </c>
      <c r="AZ109" t="s">
        <v>18</v>
      </c>
      <c r="BA109" t="s">
        <v>1972</v>
      </c>
      <c r="BB109" t="str">
        <f>"28019"</f>
        <v>28019</v>
      </c>
      <c r="BC109" t="str">
        <f>"28019"</f>
        <v>28019</v>
      </c>
      <c r="BD109" t="str">
        <f>"92300-00002-00000-000000"</f>
        <v>92300-00002-00000-000000</v>
      </c>
      <c r="BE109">
        <v>48177</v>
      </c>
      <c r="BG109">
        <v>400</v>
      </c>
      <c r="BH109">
        <v>2001</v>
      </c>
      <c r="BN109">
        <v>29.507200000000001</v>
      </c>
      <c r="BO109">
        <v>-97.452100000000002</v>
      </c>
      <c r="CA109" t="str">
        <f>""</f>
        <v/>
      </c>
      <c r="CD109">
        <v>0</v>
      </c>
      <c r="CO109">
        <v>0</v>
      </c>
      <c r="CP109">
        <v>0</v>
      </c>
      <c r="EA109" s="1">
        <v>1</v>
      </c>
      <c r="EC109" t="s">
        <v>23</v>
      </c>
      <c r="EE109" t="s">
        <v>25</v>
      </c>
      <c r="EG109">
        <v>65340</v>
      </c>
      <c r="EH109">
        <v>1.5</v>
      </c>
      <c r="EI109">
        <f t="shared" si="3"/>
        <v>34500</v>
      </c>
      <c r="EJ109">
        <f t="shared" si="2"/>
        <v>17250</v>
      </c>
      <c r="FB109" t="str">
        <f>"UNKNOWN"</f>
        <v>UNKNOWN</v>
      </c>
      <c r="FC109">
        <v>2019</v>
      </c>
      <c r="FE109" t="s">
        <v>30</v>
      </c>
      <c r="FF109" t="s">
        <v>31</v>
      </c>
      <c r="FG109" t="s">
        <v>31</v>
      </c>
      <c r="FH109" t="s">
        <v>31</v>
      </c>
      <c r="FI109" t="s">
        <v>31</v>
      </c>
      <c r="FJ109" t="s">
        <v>31</v>
      </c>
      <c r="FK109" t="s">
        <v>31</v>
      </c>
      <c r="FL109" t="s">
        <v>31</v>
      </c>
      <c r="FM109" t="s">
        <v>31</v>
      </c>
      <c r="FN109" t="s">
        <v>31</v>
      </c>
      <c r="FO109" t="s">
        <v>31</v>
      </c>
      <c r="FP109" t="s">
        <v>31</v>
      </c>
      <c r="FQ109" t="s">
        <v>31</v>
      </c>
      <c r="FR109" t="s">
        <v>31</v>
      </c>
      <c r="FS109" s="3">
        <v>21830</v>
      </c>
      <c r="FT109" s="3">
        <v>21830</v>
      </c>
      <c r="FW109" s="3">
        <v>21830</v>
      </c>
      <c r="FX109" s="3">
        <v>21830</v>
      </c>
      <c r="GG109" s="3">
        <v>21830</v>
      </c>
      <c r="GS109" t="str">
        <f>""</f>
        <v/>
      </c>
      <c r="GT109" t="str">
        <f>""</f>
        <v/>
      </c>
      <c r="GU109" s="2">
        <v>43273</v>
      </c>
      <c r="GV109" s="2">
        <v>43279</v>
      </c>
      <c r="GW109" s="3">
        <v>28125</v>
      </c>
      <c r="GX109" t="s">
        <v>892</v>
      </c>
      <c r="GY109" t="s">
        <v>893</v>
      </c>
      <c r="GZ109" t="s">
        <v>1709</v>
      </c>
      <c r="HB109" s="3">
        <v>22500</v>
      </c>
      <c r="HF109" t="str">
        <f>"294844"</f>
        <v>294844</v>
      </c>
      <c r="HK109" t="str">
        <f>""</f>
        <v/>
      </c>
      <c r="HL109" t="s">
        <v>1709</v>
      </c>
      <c r="HM109" t="s">
        <v>1369</v>
      </c>
      <c r="HN109" t="s">
        <v>38</v>
      </c>
      <c r="HP109" t="str">
        <f>"294843"</f>
        <v>294843</v>
      </c>
      <c r="HQ109" s="2">
        <v>43273</v>
      </c>
      <c r="HR109" s="2">
        <v>43279</v>
      </c>
      <c r="HS109" s="3">
        <v>28125</v>
      </c>
      <c r="HT109" t="s">
        <v>893</v>
      </c>
      <c r="HU109" t="s">
        <v>1709</v>
      </c>
      <c r="HV109" s="3">
        <v>22500</v>
      </c>
      <c r="HZ109" t="str">
        <f>"1284.417"</f>
        <v>1284.417</v>
      </c>
      <c r="IA109" t="str">
        <f>HYPERLINK("https://web.datatree.com/?/property?propertyId=211429224")</f>
        <v>https://web.datatree.com/?/property?propertyId=211429224</v>
      </c>
    </row>
    <row r="110" spans="1:235" x14ac:dyDescent="0.3">
      <c r="A110" t="s">
        <v>1973</v>
      </c>
      <c r="B110" t="s">
        <v>1974</v>
      </c>
      <c r="C110" t="s">
        <v>1975</v>
      </c>
      <c r="D110" t="s">
        <v>1976</v>
      </c>
      <c r="E110" t="s">
        <v>3</v>
      </c>
      <c r="F110">
        <v>1</v>
      </c>
      <c r="G110" t="s">
        <v>1977</v>
      </c>
      <c r="H110" t="s">
        <v>1978</v>
      </c>
      <c r="I110" t="s">
        <v>1978</v>
      </c>
      <c r="J110" t="s">
        <v>1979</v>
      </c>
      <c r="K110" t="s">
        <v>3</v>
      </c>
      <c r="L110">
        <v>1</v>
      </c>
      <c r="O110" t="s">
        <v>1980</v>
      </c>
      <c r="P110" t="s">
        <v>1981</v>
      </c>
      <c r="T110" t="s">
        <v>55</v>
      </c>
      <c r="W110">
        <v>140</v>
      </c>
      <c r="Z110" t="s">
        <v>227</v>
      </c>
      <c r="AC110" t="s">
        <v>2</v>
      </c>
      <c r="AE110" t="s">
        <v>8</v>
      </c>
      <c r="AF110" t="str">
        <f>"78629"</f>
        <v>78629</v>
      </c>
      <c r="AG110" t="str">
        <f>"78629"</f>
        <v>78629</v>
      </c>
      <c r="AH110" t="s">
        <v>2</v>
      </c>
      <c r="AJ110" t="s">
        <v>1783</v>
      </c>
      <c r="AK110" t="s">
        <v>1784</v>
      </c>
      <c r="AM110">
        <v>2405</v>
      </c>
      <c r="AP110" t="s">
        <v>1982</v>
      </c>
      <c r="AQ110" t="s">
        <v>7</v>
      </c>
      <c r="AR110">
        <v>82</v>
      </c>
      <c r="AS110" t="s">
        <v>2</v>
      </c>
      <c r="AT110" t="s">
        <v>2</v>
      </c>
      <c r="AU110" t="s">
        <v>8</v>
      </c>
      <c r="AV110" t="str">
        <f>"78629-2156"</f>
        <v>78629-2156</v>
      </c>
      <c r="AW110" t="s">
        <v>217</v>
      </c>
      <c r="AX110" t="s">
        <v>1983</v>
      </c>
      <c r="AY110" t="s">
        <v>1984</v>
      </c>
      <c r="AZ110" t="s">
        <v>18</v>
      </c>
      <c r="BA110" t="s">
        <v>1985</v>
      </c>
      <c r="BB110" t="str">
        <f>"28023"</f>
        <v>28023</v>
      </c>
      <c r="BC110" t="str">
        <f>"28023"</f>
        <v>28023</v>
      </c>
      <c r="BD110" t="str">
        <f>"92300-00005-00000-000000"</f>
        <v>92300-00005-00000-000000</v>
      </c>
      <c r="BE110">
        <v>48177</v>
      </c>
      <c r="BG110">
        <v>400</v>
      </c>
      <c r="BH110">
        <v>2001</v>
      </c>
      <c r="BN110">
        <v>29.507200000000001</v>
      </c>
      <c r="BO110">
        <v>-97.452100000000002</v>
      </c>
      <c r="CA110" t="str">
        <f>""</f>
        <v/>
      </c>
      <c r="CD110">
        <v>0</v>
      </c>
      <c r="CO110">
        <v>0</v>
      </c>
      <c r="CP110">
        <v>0</v>
      </c>
      <c r="EA110" s="1">
        <v>1</v>
      </c>
      <c r="EC110" t="s">
        <v>23</v>
      </c>
      <c r="EE110" t="s">
        <v>25</v>
      </c>
      <c r="EG110">
        <v>65340</v>
      </c>
      <c r="EH110">
        <v>1.5</v>
      </c>
      <c r="EI110">
        <f t="shared" si="3"/>
        <v>34500</v>
      </c>
      <c r="EJ110">
        <f t="shared" si="2"/>
        <v>17250</v>
      </c>
      <c r="FB110" t="str">
        <f>"UNKNOWN"</f>
        <v>UNKNOWN</v>
      </c>
      <c r="FC110">
        <v>2019</v>
      </c>
      <c r="FE110" t="s">
        <v>30</v>
      </c>
      <c r="FF110" t="s">
        <v>31</v>
      </c>
      <c r="FG110" t="s">
        <v>31</v>
      </c>
      <c r="FH110" t="s">
        <v>31</v>
      </c>
      <c r="FI110" t="s">
        <v>31</v>
      </c>
      <c r="FJ110" t="s">
        <v>31</v>
      </c>
      <c r="FK110" t="s">
        <v>31</v>
      </c>
      <c r="FL110" t="s">
        <v>31</v>
      </c>
      <c r="FM110" t="s">
        <v>31</v>
      </c>
      <c r="FN110" t="s">
        <v>31</v>
      </c>
      <c r="FO110" t="s">
        <v>31</v>
      </c>
      <c r="FP110" t="s">
        <v>31</v>
      </c>
      <c r="FQ110" t="s">
        <v>31</v>
      </c>
      <c r="FR110" t="s">
        <v>31</v>
      </c>
      <c r="FS110" s="3">
        <v>21830</v>
      </c>
      <c r="FT110" s="3">
        <v>21830</v>
      </c>
      <c r="FW110" s="3">
        <v>21830</v>
      </c>
      <c r="FX110" s="3">
        <v>21830</v>
      </c>
      <c r="GG110" s="3">
        <v>21830</v>
      </c>
      <c r="GS110" t="str">
        <f>""</f>
        <v/>
      </c>
      <c r="GT110" t="str">
        <f>""</f>
        <v/>
      </c>
      <c r="HF110" t="str">
        <f>""</f>
        <v/>
      </c>
      <c r="HK110" t="str">
        <f>""</f>
        <v/>
      </c>
      <c r="HN110" t="s">
        <v>38</v>
      </c>
      <c r="HP110" t="str">
        <f>""</f>
        <v/>
      </c>
      <c r="HZ110" t="str">
        <f>""</f>
        <v/>
      </c>
      <c r="IA110" t="str">
        <f>HYPERLINK("https://web.datatree.com/?/property?propertyId=211430354")</f>
        <v>https://web.datatree.com/?/property?propertyId=211430354</v>
      </c>
    </row>
    <row r="111" spans="1:235" x14ac:dyDescent="0.3">
      <c r="A111" t="s">
        <v>2012</v>
      </c>
      <c r="B111" t="s">
        <v>2013</v>
      </c>
      <c r="C111" t="s">
        <v>2013</v>
      </c>
      <c r="D111" t="s">
        <v>101</v>
      </c>
      <c r="E111" t="s">
        <v>3</v>
      </c>
      <c r="F111">
        <v>2</v>
      </c>
      <c r="G111" t="s">
        <v>2014</v>
      </c>
      <c r="H111" t="s">
        <v>2015</v>
      </c>
      <c r="I111" t="s">
        <v>2015</v>
      </c>
      <c r="J111" t="s">
        <v>2016</v>
      </c>
      <c r="K111" t="s">
        <v>3</v>
      </c>
      <c r="L111">
        <v>1</v>
      </c>
      <c r="O111" t="s">
        <v>2017</v>
      </c>
      <c r="P111" t="s">
        <v>2018</v>
      </c>
      <c r="Q111" t="s">
        <v>1897</v>
      </c>
      <c r="T111" t="s">
        <v>55</v>
      </c>
      <c r="W111">
        <v>140</v>
      </c>
      <c r="Z111" t="s">
        <v>227</v>
      </c>
      <c r="AC111" t="s">
        <v>2</v>
      </c>
      <c r="AE111" t="s">
        <v>8</v>
      </c>
      <c r="AF111" t="str">
        <f>"78629"</f>
        <v>78629</v>
      </c>
      <c r="AG111" t="str">
        <f>"78629"</f>
        <v>78629</v>
      </c>
      <c r="AH111" t="s">
        <v>2</v>
      </c>
      <c r="AJ111" t="s">
        <v>1783</v>
      </c>
      <c r="AK111" t="s">
        <v>1784</v>
      </c>
      <c r="AL111" t="s">
        <v>31</v>
      </c>
      <c r="AM111">
        <v>6691</v>
      </c>
      <c r="AP111" t="s">
        <v>59</v>
      </c>
      <c r="AS111" t="s">
        <v>2</v>
      </c>
      <c r="AU111" t="s">
        <v>8</v>
      </c>
      <c r="AV111" t="str">
        <f>"78629-5251"</f>
        <v>78629-5251</v>
      </c>
      <c r="AW111" t="s">
        <v>217</v>
      </c>
      <c r="AX111" t="s">
        <v>2019</v>
      </c>
      <c r="AY111" t="s">
        <v>2020</v>
      </c>
      <c r="AZ111" t="s">
        <v>18</v>
      </c>
      <c r="BA111" t="s">
        <v>2021</v>
      </c>
      <c r="BB111" t="str">
        <f>"28027"</f>
        <v>28027</v>
      </c>
      <c r="BC111" t="str">
        <f>"28027"</f>
        <v>28027</v>
      </c>
      <c r="BD111" t="str">
        <f>"92300-00009-00000-000000"</f>
        <v>92300-00009-00000-000000</v>
      </c>
      <c r="BE111">
        <v>48177</v>
      </c>
      <c r="BG111">
        <v>400</v>
      </c>
      <c r="BH111">
        <v>2001</v>
      </c>
      <c r="BN111">
        <v>29.507200000000001</v>
      </c>
      <c r="BO111">
        <v>-97.452100000000002</v>
      </c>
      <c r="CA111" t="str">
        <f>""</f>
        <v/>
      </c>
      <c r="CD111">
        <v>0</v>
      </c>
      <c r="CO111">
        <v>0</v>
      </c>
      <c r="CP111">
        <v>0</v>
      </c>
      <c r="EA111" s="1">
        <v>1</v>
      </c>
      <c r="EC111" t="s">
        <v>23</v>
      </c>
      <c r="EE111" t="s">
        <v>25</v>
      </c>
      <c r="EG111">
        <v>65340</v>
      </c>
      <c r="EH111">
        <v>1.5</v>
      </c>
      <c r="EI111">
        <f t="shared" si="3"/>
        <v>34500</v>
      </c>
      <c r="EJ111">
        <f t="shared" si="2"/>
        <v>17250</v>
      </c>
      <c r="FB111" t="str">
        <f>"UNKNOWN"</f>
        <v>UNKNOWN</v>
      </c>
      <c r="FC111">
        <v>2019</v>
      </c>
      <c r="FD111">
        <v>2016</v>
      </c>
      <c r="FE111" t="s">
        <v>30</v>
      </c>
      <c r="FF111" t="s">
        <v>31</v>
      </c>
      <c r="FG111" t="s">
        <v>31</v>
      </c>
      <c r="FH111" t="s">
        <v>31</v>
      </c>
      <c r="FI111" t="s">
        <v>31</v>
      </c>
      <c r="FJ111" t="s">
        <v>31</v>
      </c>
      <c r="FK111" t="s">
        <v>31</v>
      </c>
      <c r="FL111" t="s">
        <v>31</v>
      </c>
      <c r="FM111" t="s">
        <v>31</v>
      </c>
      <c r="FN111" t="s">
        <v>31</v>
      </c>
      <c r="FO111" t="s">
        <v>31</v>
      </c>
      <c r="FP111" t="s">
        <v>31</v>
      </c>
      <c r="FQ111" t="s">
        <v>31</v>
      </c>
      <c r="FR111" t="s">
        <v>31</v>
      </c>
      <c r="FS111" s="3">
        <v>21830</v>
      </c>
      <c r="FT111" s="3">
        <v>21830</v>
      </c>
      <c r="FW111" s="3">
        <v>21830</v>
      </c>
      <c r="FX111" s="3">
        <v>21830</v>
      </c>
      <c r="GG111" s="3">
        <v>21830</v>
      </c>
      <c r="GO111" s="2">
        <v>43717</v>
      </c>
      <c r="GP111" s="2">
        <v>43718</v>
      </c>
      <c r="GQ111" s="3">
        <v>0</v>
      </c>
      <c r="GR111" t="s">
        <v>586</v>
      </c>
      <c r="GS111" t="str">
        <f>""</f>
        <v/>
      </c>
      <c r="GT111" t="str">
        <f>"300904"</f>
        <v>300904</v>
      </c>
      <c r="HF111" t="str">
        <f>""</f>
        <v/>
      </c>
      <c r="HK111" t="str">
        <f>""</f>
        <v/>
      </c>
      <c r="HN111" t="s">
        <v>38</v>
      </c>
      <c r="HP111" t="str">
        <f>""</f>
        <v/>
      </c>
      <c r="HZ111" t="str">
        <f>""</f>
        <v/>
      </c>
      <c r="IA111" t="str">
        <f>HYPERLINK("https://web.datatree.com/?/property?propertyId=211426078")</f>
        <v>https://web.datatree.com/?/property?propertyId=211426078</v>
      </c>
    </row>
    <row r="112" spans="1:235" x14ac:dyDescent="0.3">
      <c r="A112" t="s">
        <v>1716</v>
      </c>
      <c r="B112" t="s">
        <v>1717</v>
      </c>
      <c r="C112" t="s">
        <v>1717</v>
      </c>
      <c r="D112" t="s">
        <v>1718</v>
      </c>
      <c r="E112" t="s">
        <v>3</v>
      </c>
      <c r="F112">
        <v>1</v>
      </c>
      <c r="G112" t="s">
        <v>1719</v>
      </c>
      <c r="H112" t="s">
        <v>1720</v>
      </c>
      <c r="I112" t="s">
        <v>1721</v>
      </c>
      <c r="J112" t="s">
        <v>1718</v>
      </c>
      <c r="K112" t="s">
        <v>3</v>
      </c>
      <c r="L112">
        <v>1</v>
      </c>
      <c r="O112" t="s">
        <v>1722</v>
      </c>
      <c r="P112" t="s">
        <v>1723</v>
      </c>
      <c r="T112" t="s">
        <v>55</v>
      </c>
      <c r="W112">
        <v>148</v>
      </c>
      <c r="Z112" t="s">
        <v>227</v>
      </c>
      <c r="AC112" t="s">
        <v>2</v>
      </c>
      <c r="AE112" t="s">
        <v>8</v>
      </c>
      <c r="AF112" t="str">
        <f>"78629"</f>
        <v>78629</v>
      </c>
      <c r="AG112" t="str">
        <f>"78629"</f>
        <v>78629</v>
      </c>
      <c r="AH112" t="s">
        <v>2</v>
      </c>
      <c r="AJ112" t="s">
        <v>1724</v>
      </c>
      <c r="AK112" t="s">
        <v>1725</v>
      </c>
      <c r="AP112" t="s">
        <v>1726</v>
      </c>
      <c r="AS112" t="s">
        <v>2</v>
      </c>
      <c r="AT112" t="s">
        <v>2</v>
      </c>
      <c r="AU112" t="s">
        <v>8</v>
      </c>
      <c r="AV112" t="str">
        <f>"78629"</f>
        <v>78629</v>
      </c>
      <c r="AW112" t="s">
        <v>1235</v>
      </c>
      <c r="AX112" t="s">
        <v>1727</v>
      </c>
      <c r="AY112" t="s">
        <v>1728</v>
      </c>
      <c r="AZ112" t="s">
        <v>18</v>
      </c>
      <c r="BA112" t="s">
        <v>1729</v>
      </c>
      <c r="BB112" t="str">
        <f>"28041"</f>
        <v>28041</v>
      </c>
      <c r="BC112" t="str">
        <f>"28041"</f>
        <v>28041</v>
      </c>
      <c r="BD112" t="str">
        <f>"92300-00023-00000-000000"</f>
        <v>92300-00023-00000-000000</v>
      </c>
      <c r="BE112">
        <v>48177</v>
      </c>
      <c r="BG112">
        <v>400</v>
      </c>
      <c r="BH112">
        <v>2001</v>
      </c>
      <c r="BN112">
        <v>29.507200000000001</v>
      </c>
      <c r="BO112">
        <v>-97.452100000000002</v>
      </c>
      <c r="CA112" t="str">
        <f>""</f>
        <v/>
      </c>
      <c r="CD112">
        <v>0</v>
      </c>
      <c r="CO112">
        <v>0</v>
      </c>
      <c r="CP112">
        <v>0</v>
      </c>
      <c r="EA112" s="1">
        <v>1</v>
      </c>
      <c r="EC112" t="s">
        <v>23</v>
      </c>
      <c r="EE112" t="s">
        <v>25</v>
      </c>
      <c r="EG112">
        <v>65340</v>
      </c>
      <c r="EH112">
        <v>1.5</v>
      </c>
      <c r="EI112">
        <f t="shared" si="3"/>
        <v>34500</v>
      </c>
      <c r="EJ112">
        <f t="shared" si="2"/>
        <v>17250</v>
      </c>
      <c r="FB112" t="str">
        <f>"UNKNOWN"</f>
        <v>UNKNOWN</v>
      </c>
      <c r="FC112">
        <v>2019</v>
      </c>
      <c r="FE112" t="s">
        <v>30</v>
      </c>
      <c r="FF112" t="s">
        <v>31</v>
      </c>
      <c r="FG112" t="s">
        <v>31</v>
      </c>
      <c r="FH112" t="s">
        <v>31</v>
      </c>
      <c r="FI112" t="s">
        <v>31</v>
      </c>
      <c r="FJ112" t="s">
        <v>31</v>
      </c>
      <c r="FK112" t="s">
        <v>31</v>
      </c>
      <c r="FL112" t="s">
        <v>31</v>
      </c>
      <c r="FM112" t="s">
        <v>31</v>
      </c>
      <c r="FN112" t="s">
        <v>31</v>
      </c>
      <c r="FO112" t="s">
        <v>31</v>
      </c>
      <c r="FP112" t="s">
        <v>31</v>
      </c>
      <c r="FQ112" t="s">
        <v>31</v>
      </c>
      <c r="FR112" t="s">
        <v>31</v>
      </c>
      <c r="FS112" s="3">
        <v>21830</v>
      </c>
      <c r="FT112" s="3">
        <v>21830</v>
      </c>
      <c r="FW112" s="3">
        <v>21830</v>
      </c>
      <c r="FX112" s="3">
        <v>21830</v>
      </c>
      <c r="GG112" s="3">
        <v>21830</v>
      </c>
      <c r="GS112" t="str">
        <f>""</f>
        <v/>
      </c>
      <c r="GT112" t="str">
        <f>""</f>
        <v/>
      </c>
      <c r="HF112" t="str">
        <f>""</f>
        <v/>
      </c>
      <c r="HK112" t="str">
        <f>""</f>
        <v/>
      </c>
      <c r="HN112" t="s">
        <v>38</v>
      </c>
      <c r="HP112" t="str">
        <f>""</f>
        <v/>
      </c>
      <c r="HZ112" t="str">
        <f>""</f>
        <v/>
      </c>
      <c r="IA112" t="str">
        <f>HYPERLINK("https://web.datatree.com/?/property?propertyId=211425773")</f>
        <v>https://web.datatree.com/?/property?propertyId=211425773</v>
      </c>
    </row>
    <row r="113" spans="1:235" x14ac:dyDescent="0.3">
      <c r="A113" t="s">
        <v>1754</v>
      </c>
      <c r="B113" t="s">
        <v>1755</v>
      </c>
      <c r="C113" t="s">
        <v>1755</v>
      </c>
      <c r="D113" t="s">
        <v>1756</v>
      </c>
      <c r="E113" t="s">
        <v>3</v>
      </c>
      <c r="F113">
        <v>2</v>
      </c>
      <c r="G113" t="s">
        <v>1757</v>
      </c>
      <c r="H113" t="s">
        <v>1758</v>
      </c>
      <c r="I113" t="s">
        <v>1758</v>
      </c>
      <c r="J113" t="s">
        <v>1756</v>
      </c>
      <c r="K113" t="s">
        <v>3</v>
      </c>
      <c r="L113">
        <v>2</v>
      </c>
      <c r="O113" t="s">
        <v>1759</v>
      </c>
      <c r="P113" t="s">
        <v>1760</v>
      </c>
      <c r="T113" t="s">
        <v>137</v>
      </c>
      <c r="W113">
        <v>236</v>
      </c>
      <c r="Z113" t="s">
        <v>1761</v>
      </c>
      <c r="AC113" t="s">
        <v>1635</v>
      </c>
      <c r="AE113" t="s">
        <v>8</v>
      </c>
      <c r="AF113" t="str">
        <f>"78614"</f>
        <v>78614</v>
      </c>
      <c r="AG113" t="str">
        <f>"78614-4534"</f>
        <v>78614-4534</v>
      </c>
      <c r="AH113" t="s">
        <v>2</v>
      </c>
      <c r="AI113" t="s">
        <v>152</v>
      </c>
      <c r="AJ113" t="s">
        <v>1762</v>
      </c>
      <c r="AK113" t="s">
        <v>1763</v>
      </c>
      <c r="AM113">
        <v>236</v>
      </c>
      <c r="AP113" t="s">
        <v>1761</v>
      </c>
      <c r="AS113" t="s">
        <v>1635</v>
      </c>
      <c r="AU113" t="s">
        <v>8</v>
      </c>
      <c r="AV113" t="str">
        <f>"78614-4534"</f>
        <v>78614-4534</v>
      </c>
      <c r="AW113" t="s">
        <v>152</v>
      </c>
      <c r="AX113" t="s">
        <v>1762</v>
      </c>
      <c r="AY113" t="s">
        <v>1764</v>
      </c>
      <c r="BA113" t="s">
        <v>1765</v>
      </c>
      <c r="BB113" t="str">
        <f>"28045"</f>
        <v>28045</v>
      </c>
      <c r="BC113" t="str">
        <f>"28045"</f>
        <v>28045</v>
      </c>
      <c r="BD113" t="str">
        <f>"92300-00028-00000-000000"</f>
        <v>92300-00028-00000-000000</v>
      </c>
      <c r="BE113">
        <v>48177</v>
      </c>
      <c r="BG113">
        <v>600</v>
      </c>
      <c r="BH113">
        <v>1093</v>
      </c>
      <c r="BN113">
        <v>29.428151592273998</v>
      </c>
      <c r="BO113">
        <v>-97.5645524469968</v>
      </c>
      <c r="CA113" t="str">
        <f>""</f>
        <v/>
      </c>
      <c r="CD113">
        <v>0</v>
      </c>
      <c r="CO113">
        <v>0</v>
      </c>
      <c r="CP113">
        <v>0</v>
      </c>
      <c r="EA113" s="1">
        <v>1</v>
      </c>
      <c r="EC113" t="s">
        <v>23</v>
      </c>
      <c r="EE113" t="s">
        <v>25</v>
      </c>
      <c r="EG113">
        <v>65340</v>
      </c>
      <c r="EH113">
        <v>1.5</v>
      </c>
      <c r="EI113">
        <f t="shared" si="3"/>
        <v>34500</v>
      </c>
      <c r="EJ113">
        <f t="shared" si="2"/>
        <v>17250</v>
      </c>
      <c r="FB113" t="str">
        <f>"UNKNOWN"</f>
        <v>UNKNOWN</v>
      </c>
      <c r="FC113">
        <v>2019</v>
      </c>
      <c r="FD113">
        <v>2016</v>
      </c>
      <c r="FE113" t="s">
        <v>30</v>
      </c>
      <c r="FF113" t="s">
        <v>31</v>
      </c>
      <c r="FG113" t="s">
        <v>520</v>
      </c>
      <c r="FH113" t="s">
        <v>31</v>
      </c>
      <c r="FI113" t="s">
        <v>31</v>
      </c>
      <c r="FJ113" t="s">
        <v>31</v>
      </c>
      <c r="FK113" t="s">
        <v>31</v>
      </c>
      <c r="FL113" t="s">
        <v>31</v>
      </c>
      <c r="FM113" t="s">
        <v>31</v>
      </c>
      <c r="FN113" t="s">
        <v>31</v>
      </c>
      <c r="FO113" t="s">
        <v>31</v>
      </c>
      <c r="FP113" t="s">
        <v>31</v>
      </c>
      <c r="FQ113" t="s">
        <v>31</v>
      </c>
      <c r="FR113" t="s">
        <v>31</v>
      </c>
      <c r="FS113" s="3">
        <v>21830</v>
      </c>
      <c r="FT113" s="3">
        <v>21830</v>
      </c>
      <c r="FW113" s="3">
        <v>21830</v>
      </c>
      <c r="FX113" s="3">
        <v>21830</v>
      </c>
      <c r="GG113" s="3">
        <v>21830</v>
      </c>
      <c r="GI113" t="s">
        <v>32</v>
      </c>
      <c r="GL113" t="s">
        <v>273</v>
      </c>
      <c r="GM113" t="s">
        <v>34</v>
      </c>
      <c r="GN113" t="s">
        <v>35</v>
      </c>
      <c r="GS113" t="str">
        <f>""</f>
        <v/>
      </c>
      <c r="GT113" t="str">
        <f>""</f>
        <v/>
      </c>
      <c r="HF113" t="str">
        <f>""</f>
        <v/>
      </c>
      <c r="HK113" t="str">
        <f>""</f>
        <v/>
      </c>
      <c r="HN113" t="s">
        <v>38</v>
      </c>
      <c r="HP113" t="str">
        <f>""</f>
        <v/>
      </c>
      <c r="HZ113" t="str">
        <f>""</f>
        <v/>
      </c>
      <c r="IA113" t="str">
        <f>HYPERLINK("https://web.datatree.com/?/property?propertyId=211423873")</f>
        <v>https://web.datatree.com/?/property?propertyId=211423873</v>
      </c>
    </row>
    <row r="114" spans="1:235" x14ac:dyDescent="0.3">
      <c r="A114" t="s">
        <v>156</v>
      </c>
      <c r="B114" t="s">
        <v>157</v>
      </c>
      <c r="C114" t="s">
        <v>158</v>
      </c>
      <c r="D114" t="s">
        <v>159</v>
      </c>
      <c r="E114" t="s">
        <v>3</v>
      </c>
      <c r="F114">
        <v>1</v>
      </c>
      <c r="O114" t="s">
        <v>160</v>
      </c>
      <c r="P114" t="s">
        <v>156</v>
      </c>
      <c r="T114" t="s">
        <v>137</v>
      </c>
      <c r="V114" t="s">
        <v>148</v>
      </c>
      <c r="W114">
        <v>505</v>
      </c>
      <c r="Z114" t="s">
        <v>110</v>
      </c>
      <c r="AA114" t="s">
        <v>105</v>
      </c>
      <c r="AC114" t="s">
        <v>106</v>
      </c>
      <c r="AE114" t="s">
        <v>8</v>
      </c>
      <c r="AF114" t="str">
        <f>"78140"</f>
        <v>78140</v>
      </c>
      <c r="AG114" t="str">
        <f>"78140-2315"</f>
        <v>78140-2315</v>
      </c>
      <c r="AH114" t="s">
        <v>2</v>
      </c>
      <c r="AI114" t="s">
        <v>111</v>
      </c>
      <c r="AJ114" t="s">
        <v>161</v>
      </c>
      <c r="AK114" t="s">
        <v>162</v>
      </c>
      <c r="AL114" t="s">
        <v>148</v>
      </c>
      <c r="AM114">
        <v>505</v>
      </c>
      <c r="AP114" t="s">
        <v>110</v>
      </c>
      <c r="AQ114" t="s">
        <v>105</v>
      </c>
      <c r="AS114" t="s">
        <v>106</v>
      </c>
      <c r="AU114" t="s">
        <v>8</v>
      </c>
      <c r="AV114" t="str">
        <f>"78140-2315"</f>
        <v>78140-2315</v>
      </c>
      <c r="AW114" t="s">
        <v>111</v>
      </c>
      <c r="AX114" t="s">
        <v>161</v>
      </c>
      <c r="AY114" t="s">
        <v>163</v>
      </c>
      <c r="BA114" t="s">
        <v>164</v>
      </c>
      <c r="BB114" t="str">
        <f>"15726"</f>
        <v>15726</v>
      </c>
      <c r="BC114" t="str">
        <f>"15726"</f>
        <v>15726</v>
      </c>
      <c r="BD114" t="str">
        <f>"171611070000050000000"</f>
        <v>171611070000050000000</v>
      </c>
      <c r="BE114">
        <v>48177</v>
      </c>
      <c r="BG114">
        <v>500</v>
      </c>
      <c r="BH114">
        <v>2094</v>
      </c>
      <c r="BI114" t="s">
        <v>20</v>
      </c>
      <c r="BN114">
        <v>29.262702747977301</v>
      </c>
      <c r="BO114">
        <v>-97.766577975252602</v>
      </c>
      <c r="BP114" t="s">
        <v>115</v>
      </c>
      <c r="BX114" t="s">
        <v>22</v>
      </c>
      <c r="CA114" t="str">
        <f>""</f>
        <v/>
      </c>
      <c r="CB114">
        <v>70</v>
      </c>
      <c r="CD114">
        <v>0</v>
      </c>
      <c r="CO114">
        <v>0</v>
      </c>
      <c r="DA114" t="s">
        <v>131</v>
      </c>
      <c r="EA114" s="1">
        <v>1</v>
      </c>
      <c r="EC114" t="s">
        <v>23</v>
      </c>
      <c r="ED114" t="s">
        <v>24</v>
      </c>
      <c r="EE114" t="s">
        <v>25</v>
      </c>
      <c r="EG114">
        <v>65340</v>
      </c>
      <c r="EH114">
        <v>1.5</v>
      </c>
      <c r="EI114">
        <f t="shared" si="3"/>
        <v>34500</v>
      </c>
      <c r="EJ114">
        <f t="shared" si="2"/>
        <v>17250</v>
      </c>
      <c r="ER114">
        <v>1</v>
      </c>
      <c r="EW114" t="s">
        <v>26</v>
      </c>
      <c r="EX114" t="s">
        <v>116</v>
      </c>
      <c r="EY114" t="s">
        <v>117</v>
      </c>
      <c r="EZ114" s="2">
        <v>40515</v>
      </c>
      <c r="FA114" t="s">
        <v>118</v>
      </c>
      <c r="FB114" t="str">
        <f>"FALSE"</f>
        <v>FALSE</v>
      </c>
      <c r="FC114">
        <v>2019</v>
      </c>
      <c r="FD114">
        <v>2016</v>
      </c>
      <c r="FE114" t="s">
        <v>119</v>
      </c>
      <c r="FF114" t="s">
        <v>31</v>
      </c>
      <c r="FG114" t="s">
        <v>31</v>
      </c>
      <c r="FH114" t="s">
        <v>31</v>
      </c>
      <c r="FI114" t="s">
        <v>31</v>
      </c>
      <c r="FJ114" t="s">
        <v>31</v>
      </c>
      <c r="FK114" t="s">
        <v>31</v>
      </c>
      <c r="FL114" t="s">
        <v>31</v>
      </c>
      <c r="FM114" t="s">
        <v>31</v>
      </c>
      <c r="FN114" t="s">
        <v>31</v>
      </c>
      <c r="FO114" t="s">
        <v>31</v>
      </c>
      <c r="FP114" t="s">
        <v>31</v>
      </c>
      <c r="FQ114" t="s">
        <v>31</v>
      </c>
      <c r="FR114" t="s">
        <v>31</v>
      </c>
      <c r="FS114" s="3">
        <v>20270</v>
      </c>
      <c r="FT114" s="3">
        <v>13820</v>
      </c>
      <c r="FU114" s="3">
        <v>6450</v>
      </c>
      <c r="FV114">
        <v>31.82</v>
      </c>
      <c r="FW114" s="3">
        <v>20270</v>
      </c>
      <c r="FX114" s="3">
        <v>13820</v>
      </c>
      <c r="FY114" s="3">
        <v>6450</v>
      </c>
      <c r="FZ114">
        <v>31.82</v>
      </c>
      <c r="GE114" s="3">
        <v>437.95</v>
      </c>
      <c r="GG114" s="3">
        <v>20270</v>
      </c>
      <c r="GI114" t="s">
        <v>120</v>
      </c>
      <c r="GL114" t="s">
        <v>121</v>
      </c>
      <c r="GM114" t="s">
        <v>122</v>
      </c>
      <c r="GN114" t="s">
        <v>123</v>
      </c>
      <c r="GS114" t="str">
        <f>""</f>
        <v/>
      </c>
      <c r="GT114" t="str">
        <f>""</f>
        <v/>
      </c>
      <c r="GV114" s="2">
        <v>40444</v>
      </c>
      <c r="GW114" s="3">
        <v>0</v>
      </c>
      <c r="GY114" t="s">
        <v>36</v>
      </c>
      <c r="GZ114" t="s">
        <v>37</v>
      </c>
      <c r="HF114" t="str">
        <f>""</f>
        <v/>
      </c>
      <c r="HK114" t="str">
        <f>""</f>
        <v/>
      </c>
      <c r="HN114" t="s">
        <v>38</v>
      </c>
      <c r="HP114" t="str">
        <f>"0010310073"</f>
        <v>0010310073</v>
      </c>
      <c r="HZ114" t="str">
        <f>""</f>
        <v/>
      </c>
      <c r="IA114" t="str">
        <f>HYPERLINK("https://web.datatree.com/?/property?propertyId=128794298")</f>
        <v>https://web.datatree.com/?/property?propertyId=128794298</v>
      </c>
    </row>
    <row r="115" spans="1:235" x14ac:dyDescent="0.3">
      <c r="A115" t="s">
        <v>144</v>
      </c>
      <c r="B115" t="s">
        <v>145</v>
      </c>
      <c r="C115" t="s">
        <v>145</v>
      </c>
      <c r="D115" t="s">
        <v>146</v>
      </c>
      <c r="E115" t="s">
        <v>3</v>
      </c>
      <c r="F115">
        <v>3</v>
      </c>
      <c r="O115" t="s">
        <v>147</v>
      </c>
      <c r="P115" t="s">
        <v>144</v>
      </c>
      <c r="T115" t="s">
        <v>5</v>
      </c>
      <c r="V115" t="s">
        <v>148</v>
      </c>
      <c r="W115">
        <v>506</v>
      </c>
      <c r="Z115" t="s">
        <v>110</v>
      </c>
      <c r="AA115" t="s">
        <v>105</v>
      </c>
      <c r="AC115" t="s">
        <v>106</v>
      </c>
      <c r="AE115" t="s">
        <v>8</v>
      </c>
      <c r="AF115" t="str">
        <f>"78140"</f>
        <v>78140</v>
      </c>
      <c r="AG115" t="str">
        <f>"78140-2315"</f>
        <v>78140-2315</v>
      </c>
      <c r="AH115" t="s">
        <v>2</v>
      </c>
      <c r="AI115" t="s">
        <v>111</v>
      </c>
      <c r="AJ115" t="s">
        <v>149</v>
      </c>
      <c r="AK115" t="s">
        <v>150</v>
      </c>
      <c r="AM115">
        <v>196</v>
      </c>
      <c r="AP115" t="s">
        <v>5</v>
      </c>
      <c r="AQ115" t="s">
        <v>7</v>
      </c>
      <c r="AS115" t="s">
        <v>151</v>
      </c>
      <c r="AU115" t="s">
        <v>8</v>
      </c>
      <c r="AV115" t="str">
        <f>"78161-4706"</f>
        <v>78161-4706</v>
      </c>
      <c r="AW115" t="s">
        <v>152</v>
      </c>
      <c r="AX115" t="s">
        <v>153</v>
      </c>
      <c r="AY115" t="s">
        <v>154</v>
      </c>
      <c r="AZ115" t="s">
        <v>18</v>
      </c>
      <c r="BA115" t="s">
        <v>155</v>
      </c>
      <c r="BB115" t="str">
        <f>"15725"</f>
        <v>15725</v>
      </c>
      <c r="BC115" t="str">
        <f>"15725"</f>
        <v>15725</v>
      </c>
      <c r="BD115" t="str">
        <f>"171610546000050000000"</f>
        <v>171610546000050000000</v>
      </c>
      <c r="BE115">
        <v>48177</v>
      </c>
      <c r="BG115">
        <v>500</v>
      </c>
      <c r="BH115">
        <v>2094</v>
      </c>
      <c r="BI115" t="s">
        <v>20</v>
      </c>
      <c r="BN115">
        <v>29.263117515103701</v>
      </c>
      <c r="BO115">
        <v>-97.767084636741302</v>
      </c>
      <c r="BP115" t="s">
        <v>115</v>
      </c>
      <c r="BX115" t="s">
        <v>22</v>
      </c>
      <c r="CA115" t="str">
        <f>""</f>
        <v/>
      </c>
      <c r="CD115">
        <v>0</v>
      </c>
      <c r="CO115">
        <v>0</v>
      </c>
      <c r="EA115" s="1">
        <v>1</v>
      </c>
      <c r="EC115" t="s">
        <v>23</v>
      </c>
      <c r="ED115" t="s">
        <v>24</v>
      </c>
      <c r="EE115" t="s">
        <v>25</v>
      </c>
      <c r="EG115">
        <v>65340</v>
      </c>
      <c r="EH115">
        <v>1.5</v>
      </c>
      <c r="EI115">
        <f t="shared" si="3"/>
        <v>34500</v>
      </c>
      <c r="EJ115">
        <f t="shared" si="2"/>
        <v>17250</v>
      </c>
      <c r="ER115">
        <v>1</v>
      </c>
      <c r="EW115" t="s">
        <v>26</v>
      </c>
      <c r="EX115" t="s">
        <v>116</v>
      </c>
      <c r="EY115" t="s">
        <v>117</v>
      </c>
      <c r="EZ115" s="2">
        <v>40515</v>
      </c>
      <c r="FA115" t="s">
        <v>118</v>
      </c>
      <c r="FB115" t="str">
        <f>"FALSE"</f>
        <v>FALSE</v>
      </c>
      <c r="FC115">
        <v>2019</v>
      </c>
      <c r="FD115">
        <v>2016</v>
      </c>
      <c r="FE115" t="s">
        <v>119</v>
      </c>
      <c r="FF115" t="s">
        <v>31</v>
      </c>
      <c r="FG115" t="s">
        <v>31</v>
      </c>
      <c r="FH115" t="s">
        <v>31</v>
      </c>
      <c r="FI115" t="s">
        <v>31</v>
      </c>
      <c r="FJ115" t="s">
        <v>31</v>
      </c>
      <c r="FK115" t="s">
        <v>31</v>
      </c>
      <c r="FL115" t="s">
        <v>31</v>
      </c>
      <c r="FM115" t="s">
        <v>31</v>
      </c>
      <c r="FN115" t="s">
        <v>31</v>
      </c>
      <c r="FO115" t="s">
        <v>31</v>
      </c>
      <c r="FP115" t="s">
        <v>31</v>
      </c>
      <c r="FQ115" t="s">
        <v>31</v>
      </c>
      <c r="FR115" t="s">
        <v>31</v>
      </c>
      <c r="FS115" s="3">
        <v>13820</v>
      </c>
      <c r="FT115" s="3">
        <v>13820</v>
      </c>
      <c r="FW115" s="3">
        <v>13820</v>
      </c>
      <c r="FX115" s="3">
        <v>13820</v>
      </c>
      <c r="GE115" s="3">
        <v>314.8</v>
      </c>
      <c r="GG115" s="3">
        <v>13820</v>
      </c>
      <c r="GI115" t="s">
        <v>120</v>
      </c>
      <c r="GL115" t="s">
        <v>121</v>
      </c>
      <c r="GM115" t="s">
        <v>122</v>
      </c>
      <c r="GN115" t="s">
        <v>123</v>
      </c>
      <c r="GS115" t="str">
        <f>""</f>
        <v/>
      </c>
      <c r="GT115" t="str">
        <f>""</f>
        <v/>
      </c>
      <c r="GV115" s="2">
        <v>38972</v>
      </c>
      <c r="GW115" s="3">
        <v>0</v>
      </c>
      <c r="GY115" t="s">
        <v>36</v>
      </c>
      <c r="GZ115" t="s">
        <v>37</v>
      </c>
      <c r="HF115" t="str">
        <f>""</f>
        <v/>
      </c>
      <c r="HK115" t="str">
        <f>""</f>
        <v/>
      </c>
      <c r="HN115" t="s">
        <v>38</v>
      </c>
      <c r="HP115" t="str">
        <f>"0009500539"</f>
        <v>0009500539</v>
      </c>
      <c r="HZ115" t="str">
        <f>""</f>
        <v/>
      </c>
      <c r="IA115" t="str">
        <f>HYPERLINK("https://web.datatree.com/?/property?propertyId=128794297")</f>
        <v>https://web.datatree.com/?/property?propertyId=128794297</v>
      </c>
    </row>
    <row r="116" spans="1:235" x14ac:dyDescent="0.3">
      <c r="A116" t="s">
        <v>2022</v>
      </c>
      <c r="B116" t="s">
        <v>2023</v>
      </c>
      <c r="C116" t="s">
        <v>2024</v>
      </c>
      <c r="D116" t="s">
        <v>2025</v>
      </c>
      <c r="E116" t="s">
        <v>3</v>
      </c>
      <c r="F116">
        <v>2</v>
      </c>
      <c r="O116" t="s">
        <v>2026</v>
      </c>
      <c r="P116" t="s">
        <v>2022</v>
      </c>
      <c r="T116" t="s">
        <v>137</v>
      </c>
      <c r="V116" t="s">
        <v>31</v>
      </c>
      <c r="W116">
        <v>84</v>
      </c>
      <c r="Z116" t="s">
        <v>1843</v>
      </c>
      <c r="AC116" t="s">
        <v>1635</v>
      </c>
      <c r="AE116" t="s">
        <v>8</v>
      </c>
      <c r="AF116" t="str">
        <f>"78614"</f>
        <v>78614</v>
      </c>
      <c r="AG116" t="str">
        <f>"78614-4535"</f>
        <v>78614-4535</v>
      </c>
      <c r="AH116" t="s">
        <v>2</v>
      </c>
      <c r="AI116" t="s">
        <v>152</v>
      </c>
      <c r="AJ116" t="s">
        <v>2027</v>
      </c>
      <c r="AK116" t="s">
        <v>2028</v>
      </c>
      <c r="AL116" t="s">
        <v>31</v>
      </c>
      <c r="AM116">
        <v>84</v>
      </c>
      <c r="AP116" t="s">
        <v>1843</v>
      </c>
      <c r="AS116" t="s">
        <v>1635</v>
      </c>
      <c r="AU116" t="s">
        <v>8</v>
      </c>
      <c r="AV116" t="str">
        <f>"78614-4535"</f>
        <v>78614-4535</v>
      </c>
      <c r="AW116" t="s">
        <v>152</v>
      </c>
      <c r="AX116" t="s">
        <v>2027</v>
      </c>
      <c r="AY116" t="s">
        <v>2029</v>
      </c>
      <c r="BA116" t="s">
        <v>2030</v>
      </c>
      <c r="BB116" t="str">
        <f>"28021"</f>
        <v>28021</v>
      </c>
      <c r="BC116" t="str">
        <f>"28021"</f>
        <v>28021</v>
      </c>
      <c r="BD116" t="str">
        <f>"92300-00004-00000-000000"</f>
        <v>92300-00004-00000-000000</v>
      </c>
      <c r="BE116">
        <v>48177</v>
      </c>
      <c r="BG116">
        <v>600</v>
      </c>
      <c r="BH116">
        <v>1093</v>
      </c>
      <c r="BN116">
        <v>29.429099999999998</v>
      </c>
      <c r="BO116">
        <v>-97.578999999999994</v>
      </c>
      <c r="CA116" t="str">
        <f>""</f>
        <v/>
      </c>
      <c r="CD116">
        <v>0</v>
      </c>
      <c r="CO116">
        <v>0</v>
      </c>
      <c r="CP116">
        <v>0</v>
      </c>
      <c r="EA116" s="1">
        <v>1</v>
      </c>
      <c r="EC116" t="s">
        <v>23</v>
      </c>
      <c r="EE116" t="s">
        <v>25</v>
      </c>
      <c r="EG116">
        <v>65340</v>
      </c>
      <c r="EH116">
        <v>1.5</v>
      </c>
      <c r="EI116">
        <f t="shared" si="3"/>
        <v>34500</v>
      </c>
      <c r="EJ116">
        <f t="shared" si="2"/>
        <v>17250</v>
      </c>
      <c r="FB116" t="str">
        <f>"UNKNOWN"</f>
        <v>UNKNOWN</v>
      </c>
      <c r="FC116">
        <v>2019</v>
      </c>
      <c r="FE116" t="s">
        <v>30</v>
      </c>
      <c r="FF116" t="s">
        <v>31</v>
      </c>
      <c r="FG116" t="s">
        <v>31</v>
      </c>
      <c r="FH116" t="s">
        <v>31</v>
      </c>
      <c r="FI116" t="s">
        <v>31</v>
      </c>
      <c r="FJ116" t="s">
        <v>31</v>
      </c>
      <c r="FK116" t="s">
        <v>31</v>
      </c>
      <c r="FL116" t="s">
        <v>31</v>
      </c>
      <c r="FM116" t="s">
        <v>31</v>
      </c>
      <c r="FN116" t="s">
        <v>31</v>
      </c>
      <c r="FO116" t="s">
        <v>31</v>
      </c>
      <c r="FP116" t="s">
        <v>31</v>
      </c>
      <c r="FQ116" t="s">
        <v>31</v>
      </c>
      <c r="FR116" t="s">
        <v>31</v>
      </c>
      <c r="FS116" s="3">
        <v>21830</v>
      </c>
      <c r="FT116" s="3">
        <v>21830</v>
      </c>
      <c r="FW116" s="3">
        <v>21830</v>
      </c>
      <c r="FX116" s="3">
        <v>21830</v>
      </c>
      <c r="GG116" s="3">
        <v>21830</v>
      </c>
      <c r="GS116" t="str">
        <f>""</f>
        <v/>
      </c>
      <c r="GT116" t="str">
        <f>""</f>
        <v/>
      </c>
      <c r="GU116" s="2">
        <v>43221</v>
      </c>
      <c r="GV116" s="2">
        <v>43227</v>
      </c>
      <c r="GW116" s="3">
        <v>42525</v>
      </c>
      <c r="GX116" t="s">
        <v>892</v>
      </c>
      <c r="GY116" t="s">
        <v>893</v>
      </c>
      <c r="GZ116" t="s">
        <v>1709</v>
      </c>
      <c r="HB116" s="3">
        <v>34020</v>
      </c>
      <c r="HC116" t="s">
        <v>895</v>
      </c>
      <c r="HF116" t="str">
        <f>"294115"</f>
        <v>294115</v>
      </c>
      <c r="HK116" t="str">
        <f>""</f>
        <v/>
      </c>
      <c r="HL116" t="s">
        <v>1752</v>
      </c>
      <c r="HM116" t="s">
        <v>2031</v>
      </c>
      <c r="HN116" t="s">
        <v>38</v>
      </c>
      <c r="HP116" t="str">
        <f>"294114"</f>
        <v>294114</v>
      </c>
      <c r="HQ116" s="2">
        <v>43221</v>
      </c>
      <c r="HR116" s="2">
        <v>43227</v>
      </c>
      <c r="HS116" s="3">
        <v>42525</v>
      </c>
      <c r="HT116" t="s">
        <v>893</v>
      </c>
      <c r="HU116" t="s">
        <v>1752</v>
      </c>
      <c r="HV116" s="3">
        <v>34020</v>
      </c>
      <c r="HW116" t="s">
        <v>895</v>
      </c>
      <c r="HZ116" t="str">
        <f>"1280.67"</f>
        <v>1280.67</v>
      </c>
      <c r="IA116" t="str">
        <f>HYPERLINK("https://web.datatree.com/?/property?propertyId=211426864")</f>
        <v>https://web.datatree.com/?/property?propertyId=211426864</v>
      </c>
    </row>
    <row r="117" spans="1:235" x14ac:dyDescent="0.3">
      <c r="A117" t="s">
        <v>722</v>
      </c>
      <c r="D117" t="s">
        <v>722</v>
      </c>
      <c r="E117" t="s">
        <v>84</v>
      </c>
      <c r="F117">
        <v>19</v>
      </c>
      <c r="O117" t="s">
        <v>722</v>
      </c>
      <c r="P117" t="s">
        <v>722</v>
      </c>
      <c r="R117" t="s">
        <v>85</v>
      </c>
      <c r="T117" t="s">
        <v>55</v>
      </c>
      <c r="V117" t="s">
        <v>31</v>
      </c>
      <c r="Z117" t="s">
        <v>723</v>
      </c>
      <c r="AC117" t="s">
        <v>607</v>
      </c>
      <c r="AE117" t="s">
        <v>8</v>
      </c>
      <c r="AF117" t="str">
        <f>"78122"</f>
        <v>78122</v>
      </c>
      <c r="AG117" t="str">
        <f>"78122"</f>
        <v>78122</v>
      </c>
      <c r="AH117" t="s">
        <v>2</v>
      </c>
      <c r="AJ117" t="s">
        <v>724</v>
      </c>
      <c r="AK117" t="s">
        <v>725</v>
      </c>
      <c r="AP117" t="s">
        <v>726</v>
      </c>
      <c r="AS117" t="s">
        <v>2</v>
      </c>
      <c r="AT117" t="s">
        <v>2</v>
      </c>
      <c r="AU117" t="s">
        <v>8</v>
      </c>
      <c r="AV117" t="str">
        <f>"78629-1121"</f>
        <v>78629-1121</v>
      </c>
      <c r="AW117" t="s">
        <v>436</v>
      </c>
      <c r="AX117" t="s">
        <v>727</v>
      </c>
      <c r="AY117" t="s">
        <v>728</v>
      </c>
      <c r="AZ117" t="s">
        <v>18</v>
      </c>
      <c r="BA117" t="s">
        <v>729</v>
      </c>
      <c r="BB117" t="str">
        <f>"22553"</f>
        <v>22553</v>
      </c>
      <c r="BC117" t="str">
        <f>"22553"</f>
        <v>22553</v>
      </c>
      <c r="BD117" t="str">
        <f>"114842500000100000000"</f>
        <v>114842500000100000000</v>
      </c>
      <c r="BE117">
        <v>48177</v>
      </c>
      <c r="BG117">
        <v>500</v>
      </c>
      <c r="BH117">
        <v>1084</v>
      </c>
      <c r="BI117" t="s">
        <v>20</v>
      </c>
      <c r="BN117">
        <v>29.409731240886799</v>
      </c>
      <c r="BO117">
        <v>-97.740960375949697</v>
      </c>
      <c r="BP117" t="s">
        <v>730</v>
      </c>
      <c r="BX117" t="s">
        <v>22</v>
      </c>
      <c r="CA117" t="str">
        <f>"11"</f>
        <v>11</v>
      </c>
      <c r="CD117">
        <v>0</v>
      </c>
      <c r="CO117">
        <v>0</v>
      </c>
      <c r="EA117" s="1">
        <v>1</v>
      </c>
      <c r="EC117" t="s">
        <v>731</v>
      </c>
      <c r="ED117" t="s">
        <v>109</v>
      </c>
      <c r="EE117" t="s">
        <v>732</v>
      </c>
      <c r="EG117">
        <v>65340</v>
      </c>
      <c r="EH117">
        <v>1.5</v>
      </c>
      <c r="EI117">
        <f t="shared" si="3"/>
        <v>34500</v>
      </c>
      <c r="EJ117">
        <f t="shared" si="2"/>
        <v>17250</v>
      </c>
      <c r="EW117" t="s">
        <v>26</v>
      </c>
      <c r="EX117" t="s">
        <v>733</v>
      </c>
      <c r="EY117" t="s">
        <v>734</v>
      </c>
      <c r="EZ117" s="2">
        <v>40515</v>
      </c>
      <c r="FA117" t="s">
        <v>143</v>
      </c>
      <c r="FB117" t="str">
        <f>"FALSE"</f>
        <v>FALSE</v>
      </c>
      <c r="FC117">
        <v>2019</v>
      </c>
      <c r="FD117">
        <v>2016</v>
      </c>
      <c r="FE117" t="s">
        <v>119</v>
      </c>
      <c r="FF117" t="s">
        <v>31</v>
      </c>
      <c r="FG117" t="s">
        <v>31</v>
      </c>
      <c r="FH117" t="s">
        <v>31</v>
      </c>
      <c r="FI117" t="s">
        <v>31</v>
      </c>
      <c r="FJ117" t="s">
        <v>31</v>
      </c>
      <c r="FK117" t="s">
        <v>31</v>
      </c>
      <c r="FL117" t="s">
        <v>31</v>
      </c>
      <c r="FM117" t="s">
        <v>31</v>
      </c>
      <c r="FN117" t="s">
        <v>31</v>
      </c>
      <c r="FO117" t="s">
        <v>31</v>
      </c>
      <c r="FP117" t="s">
        <v>31</v>
      </c>
      <c r="FQ117" t="s">
        <v>31</v>
      </c>
      <c r="FR117" t="s">
        <v>31</v>
      </c>
      <c r="FS117" s="3">
        <v>18510</v>
      </c>
      <c r="FT117" s="3">
        <v>18510</v>
      </c>
      <c r="FW117" s="3">
        <v>18510</v>
      </c>
      <c r="FX117" s="3">
        <v>18510</v>
      </c>
      <c r="GE117" s="3">
        <v>4198.6899999999996</v>
      </c>
      <c r="GG117" s="3">
        <v>18510</v>
      </c>
      <c r="GI117" t="s">
        <v>120</v>
      </c>
      <c r="GL117" t="s">
        <v>121</v>
      </c>
      <c r="GM117" t="s">
        <v>122</v>
      </c>
      <c r="GN117" t="s">
        <v>123</v>
      </c>
      <c r="GS117" t="str">
        <f>""</f>
        <v/>
      </c>
      <c r="GT117" t="str">
        <f>""</f>
        <v/>
      </c>
      <c r="GV117" s="2">
        <v>37758</v>
      </c>
      <c r="GW117" s="3">
        <v>0</v>
      </c>
      <c r="GY117" t="s">
        <v>36</v>
      </c>
      <c r="GZ117" t="s">
        <v>37</v>
      </c>
      <c r="HF117" t="str">
        <f>""</f>
        <v/>
      </c>
      <c r="HK117" t="str">
        <f>""</f>
        <v/>
      </c>
      <c r="HN117" t="s">
        <v>38</v>
      </c>
      <c r="HP117" t="str">
        <f>"0008850380"</f>
        <v>0008850380</v>
      </c>
      <c r="HZ117" t="str">
        <f>""</f>
        <v/>
      </c>
      <c r="IA117" t="str">
        <f>HYPERLINK("https://web.datatree.com/?/property?propertyId=128797672")</f>
        <v>https://web.datatree.com/?/property?propertyId=128797672</v>
      </c>
    </row>
    <row r="118" spans="1:235" x14ac:dyDescent="0.3">
      <c r="A118" t="s">
        <v>2046</v>
      </c>
      <c r="B118" t="s">
        <v>2047</v>
      </c>
      <c r="C118" t="s">
        <v>2048</v>
      </c>
      <c r="D118" t="s">
        <v>2049</v>
      </c>
      <c r="E118" t="s">
        <v>3</v>
      </c>
      <c r="F118">
        <v>1</v>
      </c>
      <c r="G118" t="s">
        <v>2050</v>
      </c>
      <c r="H118" t="s">
        <v>2051</v>
      </c>
      <c r="I118" t="s">
        <v>869</v>
      </c>
      <c r="J118" t="s">
        <v>382</v>
      </c>
      <c r="K118" t="s">
        <v>3</v>
      </c>
      <c r="L118">
        <v>2</v>
      </c>
      <c r="O118" t="s">
        <v>2052</v>
      </c>
      <c r="P118" t="s">
        <v>2053</v>
      </c>
      <c r="T118" t="s">
        <v>55</v>
      </c>
      <c r="AE118" t="s">
        <v>8</v>
      </c>
      <c r="AH118" t="s">
        <v>2</v>
      </c>
      <c r="AK118" t="s">
        <v>1113</v>
      </c>
      <c r="AL118" t="s">
        <v>31</v>
      </c>
      <c r="AM118">
        <v>704</v>
      </c>
      <c r="AP118" t="s">
        <v>182</v>
      </c>
      <c r="AS118" t="s">
        <v>106</v>
      </c>
      <c r="AT118" t="s">
        <v>106</v>
      </c>
      <c r="AU118" t="s">
        <v>8</v>
      </c>
      <c r="AV118" t="str">
        <f>"78140-2669"</f>
        <v>78140-2669</v>
      </c>
      <c r="AX118" t="s">
        <v>2054</v>
      </c>
      <c r="AY118" t="s">
        <v>2055</v>
      </c>
      <c r="AZ118" t="s">
        <v>18</v>
      </c>
      <c r="BA118" t="s">
        <v>2056</v>
      </c>
      <c r="BB118" t="str">
        <f>"8574"</f>
        <v>8574</v>
      </c>
      <c r="BC118" t="str">
        <f>"8574"</f>
        <v>8574</v>
      </c>
      <c r="BD118" t="str">
        <f>"92300-00025-00000-000000"</f>
        <v>92300-00025-00000-000000</v>
      </c>
      <c r="BE118">
        <v>48177</v>
      </c>
      <c r="BN118">
        <v>29.427140012197501</v>
      </c>
      <c r="BO118">
        <v>-97.564349674018302</v>
      </c>
      <c r="CA118" t="str">
        <f>""</f>
        <v/>
      </c>
      <c r="CD118">
        <v>0</v>
      </c>
      <c r="CO118">
        <v>0</v>
      </c>
      <c r="CP118">
        <v>0</v>
      </c>
      <c r="EA118" s="1">
        <v>1</v>
      </c>
      <c r="EC118" t="s">
        <v>23</v>
      </c>
      <c r="EE118" t="s">
        <v>25</v>
      </c>
      <c r="EG118">
        <v>65340</v>
      </c>
      <c r="EH118">
        <v>1.5</v>
      </c>
      <c r="EI118">
        <f t="shared" si="3"/>
        <v>34500</v>
      </c>
      <c r="EJ118">
        <f t="shared" si="2"/>
        <v>17250</v>
      </c>
      <c r="EW118" t="s">
        <v>26</v>
      </c>
      <c r="EX118" t="s">
        <v>683</v>
      </c>
      <c r="EY118" t="s">
        <v>684</v>
      </c>
      <c r="EZ118" s="2">
        <v>40515</v>
      </c>
      <c r="FA118" t="s">
        <v>143</v>
      </c>
      <c r="FB118" t="str">
        <f>"FALSE"</f>
        <v>FALSE</v>
      </c>
      <c r="FC118">
        <v>2019</v>
      </c>
      <c r="FE118" t="s">
        <v>30</v>
      </c>
      <c r="FF118" t="s">
        <v>31</v>
      </c>
      <c r="FG118" t="s">
        <v>31</v>
      </c>
      <c r="FH118" t="s">
        <v>31</v>
      </c>
      <c r="FI118" t="s">
        <v>31</v>
      </c>
      <c r="FJ118" t="s">
        <v>31</v>
      </c>
      <c r="FK118" t="s">
        <v>31</v>
      </c>
      <c r="FL118" t="s">
        <v>31</v>
      </c>
      <c r="FM118" t="s">
        <v>31</v>
      </c>
      <c r="FN118" t="s">
        <v>31</v>
      </c>
      <c r="FO118" t="s">
        <v>31</v>
      </c>
      <c r="FP118" t="s">
        <v>31</v>
      </c>
      <c r="FQ118" t="s">
        <v>31</v>
      </c>
      <c r="FR118" t="s">
        <v>31</v>
      </c>
      <c r="FS118" s="3">
        <v>21830</v>
      </c>
      <c r="FT118" s="3">
        <v>21830</v>
      </c>
      <c r="FW118" s="3">
        <v>21830</v>
      </c>
      <c r="FX118" s="3">
        <v>21830</v>
      </c>
      <c r="GG118" s="3">
        <v>21830</v>
      </c>
      <c r="GS118" t="str">
        <f>""</f>
        <v/>
      </c>
      <c r="GT118" t="str">
        <f>""</f>
        <v/>
      </c>
      <c r="GV118" s="2">
        <v>32948</v>
      </c>
      <c r="GW118" s="3">
        <v>0</v>
      </c>
      <c r="GY118" t="s">
        <v>36</v>
      </c>
      <c r="GZ118" t="s">
        <v>37</v>
      </c>
      <c r="HF118" t="str">
        <f>""</f>
        <v/>
      </c>
      <c r="HK118" t="str">
        <f>""</f>
        <v/>
      </c>
      <c r="HN118" t="s">
        <v>38</v>
      </c>
      <c r="HP118" t="str">
        <f>"0006470559"</f>
        <v>0006470559</v>
      </c>
      <c r="HZ118" t="str">
        <f>""</f>
        <v/>
      </c>
      <c r="IA118" t="str">
        <f>HYPERLINK("https://web.datatree.com/?/property?propertyId=128805643")</f>
        <v>https://web.datatree.com/?/property?propertyId=128805643</v>
      </c>
    </row>
    <row r="119" spans="1:235" x14ac:dyDescent="0.3">
      <c r="A119" t="s">
        <v>1986</v>
      </c>
      <c r="B119" t="s">
        <v>1987</v>
      </c>
      <c r="C119" t="s">
        <v>1988</v>
      </c>
      <c r="D119" t="s">
        <v>951</v>
      </c>
      <c r="E119" t="s">
        <v>3</v>
      </c>
      <c r="F119">
        <v>2</v>
      </c>
      <c r="G119" t="s">
        <v>1989</v>
      </c>
      <c r="H119" t="s">
        <v>1990</v>
      </c>
      <c r="I119" t="s">
        <v>1990</v>
      </c>
      <c r="J119" t="s">
        <v>951</v>
      </c>
      <c r="K119" t="s">
        <v>3</v>
      </c>
      <c r="L119">
        <v>2</v>
      </c>
      <c r="O119" t="s">
        <v>1991</v>
      </c>
      <c r="P119" t="s">
        <v>1992</v>
      </c>
      <c r="T119" t="s">
        <v>137</v>
      </c>
      <c r="W119">
        <v>148</v>
      </c>
      <c r="Y119" t="s">
        <v>148</v>
      </c>
      <c r="Z119" t="s">
        <v>487</v>
      </c>
      <c r="AC119" t="s">
        <v>2</v>
      </c>
      <c r="AE119" t="s">
        <v>8</v>
      </c>
      <c r="AF119" t="str">
        <f>"78629"</f>
        <v>78629</v>
      </c>
      <c r="AG119" t="str">
        <f>"78629"</f>
        <v>78629</v>
      </c>
      <c r="AH119" t="s">
        <v>2</v>
      </c>
      <c r="AJ119" t="s">
        <v>1993</v>
      </c>
      <c r="AK119" t="s">
        <v>1994</v>
      </c>
      <c r="AP119" t="s">
        <v>1995</v>
      </c>
      <c r="AS119" t="s">
        <v>1635</v>
      </c>
      <c r="AU119" t="s">
        <v>8</v>
      </c>
      <c r="AV119" t="str">
        <f>"78614"</f>
        <v>78614</v>
      </c>
      <c r="AW119" t="s">
        <v>254</v>
      </c>
      <c r="AX119" t="s">
        <v>1996</v>
      </c>
      <c r="AY119" t="s">
        <v>1997</v>
      </c>
      <c r="AZ119" t="s">
        <v>18</v>
      </c>
      <c r="BA119" t="s">
        <v>1998</v>
      </c>
      <c r="BB119" t="str">
        <f>"28037"</f>
        <v>28037</v>
      </c>
      <c r="BC119" t="str">
        <f>"28037"</f>
        <v>28037</v>
      </c>
      <c r="BD119" t="str">
        <f>"92300-00019-00000-000000"</f>
        <v>92300-00019-00000-000000</v>
      </c>
      <c r="BE119">
        <v>48177</v>
      </c>
      <c r="BG119">
        <v>400</v>
      </c>
      <c r="BH119">
        <v>2001</v>
      </c>
      <c r="BN119">
        <v>29.4251195202262</v>
      </c>
      <c r="BO119">
        <v>-97.563915199469804</v>
      </c>
      <c r="CA119" t="str">
        <f>""</f>
        <v/>
      </c>
      <c r="CD119">
        <v>0</v>
      </c>
      <c r="CO119">
        <v>0</v>
      </c>
      <c r="CP119">
        <v>0</v>
      </c>
      <c r="EA119" s="1">
        <v>1</v>
      </c>
      <c r="EC119" t="s">
        <v>23</v>
      </c>
      <c r="EE119" t="s">
        <v>25</v>
      </c>
      <c r="EG119">
        <v>65819</v>
      </c>
      <c r="EH119">
        <v>1.51</v>
      </c>
      <c r="EI119">
        <f t="shared" si="3"/>
        <v>34730</v>
      </c>
      <c r="EJ119">
        <f t="shared" si="2"/>
        <v>17365</v>
      </c>
      <c r="FB119" t="str">
        <f>"UNKNOWN"</f>
        <v>UNKNOWN</v>
      </c>
      <c r="FC119">
        <v>2019</v>
      </c>
      <c r="FD119">
        <v>2016</v>
      </c>
      <c r="FE119" t="s">
        <v>30</v>
      </c>
      <c r="FF119" t="s">
        <v>31</v>
      </c>
      <c r="FG119" t="s">
        <v>520</v>
      </c>
      <c r="FH119" t="s">
        <v>31</v>
      </c>
      <c r="FI119" t="s">
        <v>31</v>
      </c>
      <c r="FJ119" t="s">
        <v>31</v>
      </c>
      <c r="FK119" t="s">
        <v>31</v>
      </c>
      <c r="FL119" t="s">
        <v>31</v>
      </c>
      <c r="FM119" t="s">
        <v>31</v>
      </c>
      <c r="FN119" t="s">
        <v>31</v>
      </c>
      <c r="FO119" t="s">
        <v>31</v>
      </c>
      <c r="FP119" t="s">
        <v>31</v>
      </c>
      <c r="FQ119" t="s">
        <v>31</v>
      </c>
      <c r="FR119" t="s">
        <v>31</v>
      </c>
      <c r="FS119" s="3">
        <v>21990</v>
      </c>
      <c r="FT119" s="3">
        <v>21990</v>
      </c>
      <c r="FW119" s="3">
        <v>21990</v>
      </c>
      <c r="FX119" s="3">
        <v>21990</v>
      </c>
      <c r="GG119" s="3">
        <v>21990</v>
      </c>
      <c r="GI119" t="s">
        <v>32</v>
      </c>
      <c r="GL119" t="s">
        <v>273</v>
      </c>
      <c r="GM119" t="s">
        <v>34</v>
      </c>
      <c r="GN119" t="s">
        <v>35</v>
      </c>
      <c r="GS119" t="str">
        <f>""</f>
        <v/>
      </c>
      <c r="GT119" t="str">
        <f>""</f>
        <v/>
      </c>
      <c r="HF119" t="str">
        <f>""</f>
        <v/>
      </c>
      <c r="HK119" t="str">
        <f>""</f>
        <v/>
      </c>
      <c r="HN119" t="s">
        <v>38</v>
      </c>
      <c r="HP119" t="str">
        <f>""</f>
        <v/>
      </c>
      <c r="HZ119" t="str">
        <f>""</f>
        <v/>
      </c>
      <c r="IA119" t="str">
        <f>HYPERLINK("https://web.datatree.com/?/property?propertyId=211424010")</f>
        <v>https://web.datatree.com/?/property?propertyId=211424010</v>
      </c>
    </row>
    <row r="120" spans="1:235" x14ac:dyDescent="0.3">
      <c r="A120" t="s">
        <v>1313</v>
      </c>
      <c r="B120" t="s">
        <v>1314</v>
      </c>
      <c r="C120" t="s">
        <v>1315</v>
      </c>
      <c r="D120" t="s">
        <v>1316</v>
      </c>
      <c r="E120" t="s">
        <v>3</v>
      </c>
      <c r="F120">
        <v>2</v>
      </c>
      <c r="O120" t="s">
        <v>1317</v>
      </c>
      <c r="P120" t="s">
        <v>1313</v>
      </c>
      <c r="T120" t="s">
        <v>55</v>
      </c>
      <c r="AC120" t="s">
        <v>2</v>
      </c>
      <c r="AE120" t="s">
        <v>8</v>
      </c>
      <c r="AF120" t="str">
        <f>"78629"</f>
        <v>78629</v>
      </c>
      <c r="AG120" t="str">
        <f>"78629"</f>
        <v>78629</v>
      </c>
      <c r="AH120" t="s">
        <v>2</v>
      </c>
      <c r="AK120" t="s">
        <v>701</v>
      </c>
      <c r="AP120" t="s">
        <v>1318</v>
      </c>
      <c r="AS120" t="s">
        <v>1319</v>
      </c>
      <c r="AT120" t="s">
        <v>1319</v>
      </c>
      <c r="AU120" t="s">
        <v>8</v>
      </c>
      <c r="AV120" t="str">
        <f>"78121"</f>
        <v>78121</v>
      </c>
      <c r="AW120" t="s">
        <v>254</v>
      </c>
      <c r="AX120" t="s">
        <v>1320</v>
      </c>
      <c r="AY120" t="s">
        <v>1321</v>
      </c>
      <c r="AZ120" t="s">
        <v>18</v>
      </c>
      <c r="BA120" t="s">
        <v>981</v>
      </c>
      <c r="BB120" t="str">
        <f>"459"</f>
        <v>459</v>
      </c>
      <c r="BC120" t="str">
        <f>"459"</f>
        <v>459</v>
      </c>
      <c r="BD120" t="str">
        <f>"101610000000000000000"</f>
        <v>101610000000000000000</v>
      </c>
      <c r="BE120">
        <v>48177</v>
      </c>
      <c r="BG120">
        <v>400</v>
      </c>
      <c r="BH120">
        <v>2001</v>
      </c>
      <c r="BN120">
        <v>29.505612064167298</v>
      </c>
      <c r="BO120">
        <v>-97.631039635667804</v>
      </c>
      <c r="BX120" t="s">
        <v>22</v>
      </c>
      <c r="CA120" t="str">
        <f>""</f>
        <v/>
      </c>
      <c r="CD120">
        <v>0</v>
      </c>
      <c r="CO120">
        <v>0</v>
      </c>
      <c r="EA120" s="1">
        <v>1</v>
      </c>
      <c r="EC120" t="s">
        <v>23</v>
      </c>
      <c r="ED120" t="s">
        <v>24</v>
      </c>
      <c r="EE120" t="s">
        <v>25</v>
      </c>
      <c r="EG120">
        <v>67082</v>
      </c>
      <c r="EH120">
        <v>1.54</v>
      </c>
      <c r="EI120">
        <f t="shared" si="3"/>
        <v>35420</v>
      </c>
      <c r="EJ120">
        <f t="shared" si="2"/>
        <v>17710</v>
      </c>
      <c r="EW120" t="s">
        <v>26</v>
      </c>
      <c r="EX120" t="s">
        <v>708</v>
      </c>
      <c r="EY120" t="s">
        <v>709</v>
      </c>
      <c r="EZ120" s="2">
        <v>40515</v>
      </c>
      <c r="FA120" t="s">
        <v>143</v>
      </c>
      <c r="FB120" t="str">
        <f>"FALSE"</f>
        <v>FALSE</v>
      </c>
      <c r="FC120">
        <v>2019</v>
      </c>
      <c r="FD120">
        <v>2016</v>
      </c>
      <c r="FE120" t="s">
        <v>30</v>
      </c>
      <c r="FF120" t="s">
        <v>31</v>
      </c>
      <c r="FG120" t="s">
        <v>31</v>
      </c>
      <c r="FH120" t="s">
        <v>31</v>
      </c>
      <c r="FI120" t="s">
        <v>31</v>
      </c>
      <c r="FJ120" t="s">
        <v>31</v>
      </c>
      <c r="FK120" t="s">
        <v>31</v>
      </c>
      <c r="FL120" t="s">
        <v>31</v>
      </c>
      <c r="FM120" t="s">
        <v>31</v>
      </c>
      <c r="FN120" t="s">
        <v>31</v>
      </c>
      <c r="FO120" t="s">
        <v>31</v>
      </c>
      <c r="FP120" t="s">
        <v>31</v>
      </c>
      <c r="FQ120" t="s">
        <v>31</v>
      </c>
      <c r="FR120" t="s">
        <v>31</v>
      </c>
      <c r="FS120" s="3">
        <v>19250</v>
      </c>
      <c r="FT120" s="3">
        <v>19250</v>
      </c>
      <c r="FW120" s="3">
        <v>19250</v>
      </c>
      <c r="FX120" s="3">
        <v>19250</v>
      </c>
      <c r="GE120" s="3">
        <v>392.91</v>
      </c>
      <c r="GG120" s="3">
        <v>19250</v>
      </c>
      <c r="GI120" t="s">
        <v>32</v>
      </c>
      <c r="GL120" t="s">
        <v>33</v>
      </c>
      <c r="GM120" t="s">
        <v>34</v>
      </c>
      <c r="GN120" t="s">
        <v>35</v>
      </c>
      <c r="GS120" t="str">
        <f>""</f>
        <v/>
      </c>
      <c r="GT120" t="str">
        <f>""</f>
        <v/>
      </c>
      <c r="HF120" t="str">
        <f>""</f>
        <v/>
      </c>
      <c r="HK120" t="str">
        <f>""</f>
        <v/>
      </c>
      <c r="HN120" t="s">
        <v>38</v>
      </c>
      <c r="HP120" t="str">
        <f>""</f>
        <v/>
      </c>
      <c r="HZ120" t="str">
        <f>""</f>
        <v/>
      </c>
      <c r="IA120" t="str">
        <f>HYPERLINK("https://web.datatree.com/?/property?propertyId=128801645")</f>
        <v>https://web.datatree.com/?/property?propertyId=128801645</v>
      </c>
    </row>
    <row r="121" spans="1:235" x14ac:dyDescent="0.3">
      <c r="A121" t="s">
        <v>651</v>
      </c>
      <c r="D121" t="s">
        <v>651</v>
      </c>
      <c r="E121" t="s">
        <v>84</v>
      </c>
      <c r="F121">
        <v>1</v>
      </c>
      <c r="O121" t="s">
        <v>651</v>
      </c>
      <c r="P121" t="s">
        <v>651</v>
      </c>
      <c r="R121" t="s">
        <v>85</v>
      </c>
      <c r="T121" t="s">
        <v>5</v>
      </c>
      <c r="W121">
        <v>1200</v>
      </c>
      <c r="Z121" t="s">
        <v>652</v>
      </c>
      <c r="AA121" t="s">
        <v>77</v>
      </c>
      <c r="AC121" t="s">
        <v>2</v>
      </c>
      <c r="AE121" t="s">
        <v>8</v>
      </c>
      <c r="AF121" t="str">
        <f>"78629"</f>
        <v>78629</v>
      </c>
      <c r="AG121" t="str">
        <f>"78629"</f>
        <v>78629</v>
      </c>
      <c r="AH121" t="s">
        <v>2</v>
      </c>
      <c r="AJ121" t="s">
        <v>653</v>
      </c>
      <c r="AK121" t="s">
        <v>654</v>
      </c>
      <c r="AM121">
        <v>119</v>
      </c>
      <c r="AP121" t="s">
        <v>655</v>
      </c>
      <c r="AQ121" t="s">
        <v>77</v>
      </c>
      <c r="AS121" t="s">
        <v>656</v>
      </c>
      <c r="AU121" t="s">
        <v>8</v>
      </c>
      <c r="AV121" t="str">
        <f>"78130-1945"</f>
        <v>78130-1945</v>
      </c>
      <c r="AW121" t="s">
        <v>657</v>
      </c>
      <c r="AX121" t="s">
        <v>658</v>
      </c>
      <c r="AY121" t="s">
        <v>659</v>
      </c>
      <c r="AZ121" t="s">
        <v>18</v>
      </c>
      <c r="BA121" t="s">
        <v>660</v>
      </c>
      <c r="BB121" t="str">
        <f>"17049"</f>
        <v>17049</v>
      </c>
      <c r="BC121" t="str">
        <f>"17049"</f>
        <v>17049</v>
      </c>
      <c r="BD121" t="str">
        <f>"992501000500000000000"</f>
        <v>992501000500000000000</v>
      </c>
      <c r="BE121">
        <v>48177</v>
      </c>
      <c r="BG121">
        <v>400</v>
      </c>
      <c r="BH121">
        <v>2001</v>
      </c>
      <c r="BN121">
        <v>29.521227895703401</v>
      </c>
      <c r="BO121">
        <v>-97.449046314854598</v>
      </c>
      <c r="BP121" t="s">
        <v>661</v>
      </c>
      <c r="BX121" t="s">
        <v>22</v>
      </c>
      <c r="CA121" t="str">
        <f>"12"</f>
        <v>12</v>
      </c>
      <c r="CD121">
        <v>0</v>
      </c>
      <c r="CO121">
        <v>0</v>
      </c>
      <c r="EA121" s="1">
        <v>1</v>
      </c>
      <c r="EC121" t="s">
        <v>23</v>
      </c>
      <c r="ED121" t="s">
        <v>24</v>
      </c>
      <c r="EE121" t="s">
        <v>25</v>
      </c>
      <c r="EG121">
        <v>67605</v>
      </c>
      <c r="EH121">
        <v>1.55</v>
      </c>
      <c r="EI121">
        <f t="shared" si="3"/>
        <v>35650</v>
      </c>
      <c r="EJ121">
        <f t="shared" si="2"/>
        <v>17825</v>
      </c>
      <c r="EW121" t="s">
        <v>26</v>
      </c>
      <c r="EX121" t="s">
        <v>27</v>
      </c>
      <c r="EY121" t="s">
        <v>28</v>
      </c>
      <c r="EZ121" s="2">
        <v>40515</v>
      </c>
      <c r="FA121" t="s">
        <v>29</v>
      </c>
      <c r="FB121" t="str">
        <f>"FALSE"</f>
        <v>FALSE</v>
      </c>
      <c r="FC121">
        <v>2019</v>
      </c>
      <c r="FD121">
        <v>2016</v>
      </c>
      <c r="FE121" t="s">
        <v>30</v>
      </c>
      <c r="FF121" t="s">
        <v>31</v>
      </c>
      <c r="FG121" t="s">
        <v>31</v>
      </c>
      <c r="FH121" t="s">
        <v>31</v>
      </c>
      <c r="FI121" t="s">
        <v>31</v>
      </c>
      <c r="FJ121" t="s">
        <v>31</v>
      </c>
      <c r="FK121" t="s">
        <v>31</v>
      </c>
      <c r="FL121" t="s">
        <v>31</v>
      </c>
      <c r="FM121" t="s">
        <v>31</v>
      </c>
      <c r="FN121" t="s">
        <v>31</v>
      </c>
      <c r="FO121" t="s">
        <v>31</v>
      </c>
      <c r="FP121" t="s">
        <v>31</v>
      </c>
      <c r="FQ121" t="s">
        <v>31</v>
      </c>
      <c r="FR121" t="s">
        <v>31</v>
      </c>
      <c r="FS121" s="3">
        <v>116280</v>
      </c>
      <c r="FT121" s="3">
        <v>116280</v>
      </c>
      <c r="FW121" s="3">
        <v>116280</v>
      </c>
      <c r="FX121" s="3">
        <v>116280</v>
      </c>
      <c r="GE121" s="3">
        <v>2633.43</v>
      </c>
      <c r="GG121" s="3">
        <v>116280</v>
      </c>
      <c r="GI121" t="s">
        <v>32</v>
      </c>
      <c r="GL121" t="s">
        <v>33</v>
      </c>
      <c r="GM121" t="s">
        <v>34</v>
      </c>
      <c r="GN121" t="s">
        <v>35</v>
      </c>
      <c r="GS121" t="str">
        <f>""</f>
        <v/>
      </c>
      <c r="GT121" t="str">
        <f>""</f>
        <v/>
      </c>
      <c r="HF121" t="str">
        <f>""</f>
        <v/>
      </c>
      <c r="HK121" t="str">
        <f>""</f>
        <v/>
      </c>
      <c r="HN121" t="s">
        <v>38</v>
      </c>
      <c r="HP121" t="str">
        <f>""</f>
        <v/>
      </c>
      <c r="HZ121" t="str">
        <f>""</f>
        <v/>
      </c>
      <c r="IA121" t="str">
        <f>HYPERLINK("https://web.datatree.com/?/property?propertyId=128795503")</f>
        <v>https://web.datatree.com/?/property?propertyId=128795503</v>
      </c>
    </row>
    <row r="122" spans="1:235" x14ac:dyDescent="0.3">
      <c r="A122" t="s">
        <v>1263</v>
      </c>
      <c r="B122" t="s">
        <v>1264</v>
      </c>
      <c r="C122" t="s">
        <v>1265</v>
      </c>
      <c r="D122" t="s">
        <v>1266</v>
      </c>
      <c r="E122" t="s">
        <v>3</v>
      </c>
      <c r="F122">
        <v>4</v>
      </c>
      <c r="O122" t="s">
        <v>1267</v>
      </c>
      <c r="P122" t="s">
        <v>1263</v>
      </c>
      <c r="T122" t="s">
        <v>5</v>
      </c>
      <c r="W122">
        <v>100</v>
      </c>
      <c r="Z122" t="s">
        <v>1268</v>
      </c>
      <c r="AC122" t="s">
        <v>512</v>
      </c>
      <c r="AE122" t="s">
        <v>8</v>
      </c>
      <c r="AF122" t="str">
        <f>"78159"</f>
        <v>78159</v>
      </c>
      <c r="AG122" t="str">
        <f>"78159"</f>
        <v>78159</v>
      </c>
      <c r="AH122" t="s">
        <v>2</v>
      </c>
      <c r="AJ122" t="s">
        <v>1269</v>
      </c>
      <c r="AK122" t="s">
        <v>1270</v>
      </c>
      <c r="AL122" t="s">
        <v>31</v>
      </c>
      <c r="AM122">
        <v>504</v>
      </c>
      <c r="AP122" t="s">
        <v>791</v>
      </c>
      <c r="AS122" t="s">
        <v>512</v>
      </c>
      <c r="AT122" t="s">
        <v>512</v>
      </c>
      <c r="AU122" t="s">
        <v>8</v>
      </c>
      <c r="AV122" t="str">
        <f>"78159-5955"</f>
        <v>78159-5955</v>
      </c>
      <c r="AW122" t="s">
        <v>346</v>
      </c>
      <c r="AX122" t="s">
        <v>1271</v>
      </c>
      <c r="AY122" t="s">
        <v>1272</v>
      </c>
      <c r="AZ122" t="s">
        <v>18</v>
      </c>
      <c r="BA122" t="s">
        <v>1273</v>
      </c>
      <c r="BB122" t="str">
        <f>"16808"</f>
        <v>16808</v>
      </c>
      <c r="BC122" t="str">
        <f>"16808"</f>
        <v>16808</v>
      </c>
      <c r="BD122" t="str">
        <f>"190310005123450000000"</f>
        <v>190310005123450000000</v>
      </c>
      <c r="BE122">
        <v>48177</v>
      </c>
      <c r="BG122">
        <v>600</v>
      </c>
      <c r="BH122">
        <v>2048</v>
      </c>
      <c r="BN122">
        <v>29.273256161956802</v>
      </c>
      <c r="BO122">
        <v>-97.633449684741706</v>
      </c>
      <c r="BX122" t="s">
        <v>22</v>
      </c>
      <c r="CA122" t="str">
        <f>""</f>
        <v/>
      </c>
      <c r="CD122">
        <v>0</v>
      </c>
      <c r="CO122">
        <v>0</v>
      </c>
      <c r="EA122" s="1">
        <v>1</v>
      </c>
      <c r="EC122" t="s">
        <v>23</v>
      </c>
      <c r="ED122" t="s">
        <v>24</v>
      </c>
      <c r="EE122" t="s">
        <v>25</v>
      </c>
      <c r="EG122">
        <v>69191</v>
      </c>
      <c r="EH122">
        <v>1.59</v>
      </c>
      <c r="EI122">
        <f t="shared" si="3"/>
        <v>36570</v>
      </c>
      <c r="EJ122">
        <f t="shared" si="2"/>
        <v>18285</v>
      </c>
      <c r="EK122">
        <v>372</v>
      </c>
      <c r="EL122">
        <v>186</v>
      </c>
      <c r="EW122" t="s">
        <v>26</v>
      </c>
      <c r="EX122" t="s">
        <v>491</v>
      </c>
      <c r="EY122" t="s">
        <v>492</v>
      </c>
      <c r="EZ122" s="2">
        <v>40515</v>
      </c>
      <c r="FA122" t="s">
        <v>524</v>
      </c>
      <c r="FB122" t="str">
        <f>"FALSE"</f>
        <v>FALSE</v>
      </c>
      <c r="FC122">
        <v>2019</v>
      </c>
      <c r="FD122">
        <v>2016</v>
      </c>
      <c r="FE122" t="s">
        <v>119</v>
      </c>
      <c r="FF122" t="s">
        <v>31</v>
      </c>
      <c r="FG122" t="s">
        <v>31</v>
      </c>
      <c r="FH122" t="s">
        <v>31</v>
      </c>
      <c r="FI122" t="s">
        <v>31</v>
      </c>
      <c r="FJ122" t="s">
        <v>31</v>
      </c>
      <c r="FK122" t="s">
        <v>31</v>
      </c>
      <c r="FL122" t="s">
        <v>31</v>
      </c>
      <c r="FM122" t="s">
        <v>31</v>
      </c>
      <c r="FN122" t="s">
        <v>31</v>
      </c>
      <c r="FO122" t="s">
        <v>31</v>
      </c>
      <c r="FP122" t="s">
        <v>31</v>
      </c>
      <c r="FQ122" t="s">
        <v>31</v>
      </c>
      <c r="FR122" t="s">
        <v>31</v>
      </c>
      <c r="FS122" s="3">
        <v>13660</v>
      </c>
      <c r="FT122" s="3">
        <v>13660</v>
      </c>
      <c r="FW122" s="3">
        <v>13660</v>
      </c>
      <c r="FX122" s="3">
        <v>13660</v>
      </c>
      <c r="GE122" s="3">
        <v>107</v>
      </c>
      <c r="GG122" s="3">
        <v>13660</v>
      </c>
      <c r="GI122" t="s">
        <v>120</v>
      </c>
      <c r="GL122" t="s">
        <v>121</v>
      </c>
      <c r="GM122" t="s">
        <v>122</v>
      </c>
      <c r="GN122" t="s">
        <v>123</v>
      </c>
      <c r="GS122" t="str">
        <f>""</f>
        <v/>
      </c>
      <c r="GT122" t="str">
        <f>""</f>
        <v/>
      </c>
      <c r="GV122" s="2">
        <v>36161</v>
      </c>
      <c r="GW122" s="3">
        <v>0</v>
      </c>
      <c r="GY122" t="s">
        <v>36</v>
      </c>
      <c r="GZ122" t="s">
        <v>37</v>
      </c>
      <c r="HF122" t="str">
        <f>""</f>
        <v/>
      </c>
      <c r="HK122" t="str">
        <f>""</f>
        <v/>
      </c>
      <c r="HN122" t="s">
        <v>38</v>
      </c>
      <c r="HP122" t="str">
        <f>"0008100820"</f>
        <v>0008100820</v>
      </c>
      <c r="HZ122" t="str">
        <f>""</f>
        <v/>
      </c>
      <c r="IA122" t="str">
        <f>HYPERLINK("https://web.datatree.com/?/property?propertyId=128795278")</f>
        <v>https://web.datatree.com/?/property?propertyId=128795278</v>
      </c>
    </row>
    <row r="123" spans="1:235" x14ac:dyDescent="0.3">
      <c r="A123" t="s">
        <v>1835</v>
      </c>
      <c r="B123" t="s">
        <v>1836</v>
      </c>
      <c r="C123" t="s">
        <v>211</v>
      </c>
      <c r="D123" t="s">
        <v>1837</v>
      </c>
      <c r="E123" t="s">
        <v>3</v>
      </c>
      <c r="F123">
        <v>1</v>
      </c>
      <c r="G123" t="s">
        <v>1838</v>
      </c>
      <c r="H123" t="s">
        <v>1839</v>
      </c>
      <c r="I123" t="s">
        <v>1840</v>
      </c>
      <c r="J123" t="s">
        <v>1837</v>
      </c>
      <c r="K123" t="s">
        <v>3</v>
      </c>
      <c r="L123">
        <v>2</v>
      </c>
      <c r="O123" t="s">
        <v>1841</v>
      </c>
      <c r="P123" t="s">
        <v>1842</v>
      </c>
      <c r="T123" t="s">
        <v>5</v>
      </c>
      <c r="V123" t="s">
        <v>31</v>
      </c>
      <c r="W123">
        <v>18</v>
      </c>
      <c r="Z123" t="s">
        <v>1843</v>
      </c>
      <c r="AC123" t="s">
        <v>1635</v>
      </c>
      <c r="AE123" t="s">
        <v>8</v>
      </c>
      <c r="AF123" t="str">
        <f>"78614"</f>
        <v>78614</v>
      </c>
      <c r="AG123" t="str">
        <f>"78614-4535"</f>
        <v>78614-4535</v>
      </c>
      <c r="AH123" t="s">
        <v>2</v>
      </c>
      <c r="AI123" t="s">
        <v>152</v>
      </c>
      <c r="AJ123" t="s">
        <v>1844</v>
      </c>
      <c r="AK123" t="s">
        <v>1845</v>
      </c>
      <c r="AM123">
        <v>3600</v>
      </c>
      <c r="AO123" t="s">
        <v>148</v>
      </c>
      <c r="AP123" t="s">
        <v>487</v>
      </c>
      <c r="AS123" t="s">
        <v>2</v>
      </c>
      <c r="AU123" t="s">
        <v>8</v>
      </c>
      <c r="AV123" t="str">
        <f>"78629-5500"</f>
        <v>78629-5500</v>
      </c>
      <c r="AW123" t="s">
        <v>780</v>
      </c>
      <c r="AX123" t="s">
        <v>1846</v>
      </c>
      <c r="AY123" t="s">
        <v>1847</v>
      </c>
      <c r="AZ123" t="s">
        <v>18</v>
      </c>
      <c r="BA123" t="s">
        <v>1848</v>
      </c>
      <c r="BB123" t="str">
        <f>"28018"</f>
        <v>28018</v>
      </c>
      <c r="BC123" t="str">
        <f>"28018"</f>
        <v>28018</v>
      </c>
      <c r="BD123" t="str">
        <f>"92300-00001-00000-000000"</f>
        <v>92300-00001-00000-000000</v>
      </c>
      <c r="BE123">
        <v>48177</v>
      </c>
      <c r="BG123">
        <v>600</v>
      </c>
      <c r="BH123">
        <v>1093</v>
      </c>
      <c r="BN123">
        <v>29.429099999999998</v>
      </c>
      <c r="BO123">
        <v>-97.578999999999994</v>
      </c>
      <c r="CA123" t="str">
        <f>""</f>
        <v/>
      </c>
      <c r="CD123">
        <v>0</v>
      </c>
      <c r="CO123">
        <v>0</v>
      </c>
      <c r="CP123">
        <v>0</v>
      </c>
      <c r="EA123" s="1">
        <v>1</v>
      </c>
      <c r="EC123" t="s">
        <v>23</v>
      </c>
      <c r="EE123" t="s">
        <v>25</v>
      </c>
      <c r="EG123">
        <v>69478</v>
      </c>
      <c r="EH123">
        <v>1.6</v>
      </c>
      <c r="EI123">
        <f t="shared" si="3"/>
        <v>36800</v>
      </c>
      <c r="EJ123">
        <f t="shared" si="2"/>
        <v>18400</v>
      </c>
      <c r="FB123" t="str">
        <f>"UNKNOWN"</f>
        <v>UNKNOWN</v>
      </c>
      <c r="FC123">
        <v>2019</v>
      </c>
      <c r="FE123" t="s">
        <v>30</v>
      </c>
      <c r="FF123" t="s">
        <v>31</v>
      </c>
      <c r="FG123" t="s">
        <v>31</v>
      </c>
      <c r="FH123" t="s">
        <v>31</v>
      </c>
      <c r="FI123" t="s">
        <v>31</v>
      </c>
      <c r="FJ123" t="s">
        <v>31</v>
      </c>
      <c r="FK123" t="s">
        <v>31</v>
      </c>
      <c r="FL123" t="s">
        <v>31</v>
      </c>
      <c r="FM123" t="s">
        <v>31</v>
      </c>
      <c r="FN123" t="s">
        <v>31</v>
      </c>
      <c r="FO123" t="s">
        <v>31</v>
      </c>
      <c r="FP123" t="s">
        <v>31</v>
      </c>
      <c r="FQ123" t="s">
        <v>31</v>
      </c>
      <c r="FR123" t="s">
        <v>31</v>
      </c>
      <c r="FS123" s="3">
        <v>23210</v>
      </c>
      <c r="FT123" s="3">
        <v>23210</v>
      </c>
      <c r="FW123" s="3">
        <v>23210</v>
      </c>
      <c r="FX123" s="3">
        <v>23210</v>
      </c>
      <c r="GG123" s="3">
        <v>23210</v>
      </c>
      <c r="GS123" t="str">
        <f>""</f>
        <v/>
      </c>
      <c r="GT123" t="str">
        <f>""</f>
        <v/>
      </c>
      <c r="HF123" t="str">
        <f>""</f>
        <v/>
      </c>
      <c r="HK123" t="str">
        <f>""</f>
        <v/>
      </c>
      <c r="HN123" t="s">
        <v>38</v>
      </c>
      <c r="HP123" t="str">
        <f>""</f>
        <v/>
      </c>
      <c r="HZ123" t="str">
        <f>""</f>
        <v/>
      </c>
      <c r="IA123" t="str">
        <f>HYPERLINK("https://web.datatree.com/?/property?propertyId=211428421")</f>
        <v>https://web.datatree.com/?/property?propertyId=211428421</v>
      </c>
    </row>
    <row r="124" spans="1:235" x14ac:dyDescent="0.3">
      <c r="A124" t="s">
        <v>1912</v>
      </c>
      <c r="B124" t="s">
        <v>1913</v>
      </c>
      <c r="C124" t="s">
        <v>1914</v>
      </c>
      <c r="D124" t="s">
        <v>1915</v>
      </c>
      <c r="E124" t="s">
        <v>3</v>
      </c>
      <c r="F124">
        <v>3</v>
      </c>
      <c r="G124" t="s">
        <v>1916</v>
      </c>
      <c r="H124" t="s">
        <v>1917</v>
      </c>
      <c r="I124" t="s">
        <v>1918</v>
      </c>
      <c r="J124" t="s">
        <v>1915</v>
      </c>
      <c r="K124" t="s">
        <v>3</v>
      </c>
      <c r="L124">
        <v>2</v>
      </c>
      <c r="O124" t="s">
        <v>1919</v>
      </c>
      <c r="P124" t="s">
        <v>1920</v>
      </c>
      <c r="T124" t="s">
        <v>5</v>
      </c>
      <c r="W124">
        <v>5</v>
      </c>
      <c r="Z124" t="s">
        <v>1921</v>
      </c>
      <c r="AA124" t="s">
        <v>703</v>
      </c>
      <c r="AC124" t="s">
        <v>2</v>
      </c>
      <c r="AE124" t="s">
        <v>8</v>
      </c>
      <c r="AF124" t="str">
        <f>"78629"</f>
        <v>78629</v>
      </c>
      <c r="AG124" t="str">
        <f>"78629-8007"</f>
        <v>78629-8007</v>
      </c>
      <c r="AH124" t="s">
        <v>2</v>
      </c>
      <c r="AI124" t="s">
        <v>217</v>
      </c>
      <c r="AJ124" t="s">
        <v>1922</v>
      </c>
      <c r="AK124" t="s">
        <v>1923</v>
      </c>
      <c r="AM124">
        <v>6629</v>
      </c>
      <c r="AP124" t="s">
        <v>1924</v>
      </c>
      <c r="AQ124" t="s">
        <v>73</v>
      </c>
      <c r="AR124">
        <v>4</v>
      </c>
      <c r="AS124" t="s">
        <v>1925</v>
      </c>
      <c r="AU124" t="s">
        <v>8</v>
      </c>
      <c r="AV124" t="str">
        <f>"78617-3602"</f>
        <v>78617-3602</v>
      </c>
      <c r="AX124" t="s">
        <v>1926</v>
      </c>
      <c r="AY124" t="s">
        <v>1927</v>
      </c>
      <c r="AZ124" t="s">
        <v>18</v>
      </c>
      <c r="BA124" t="s">
        <v>1928</v>
      </c>
      <c r="BB124" t="str">
        <f>"837"</f>
        <v>837</v>
      </c>
      <c r="BC124" t="str">
        <f>"837"</f>
        <v>837</v>
      </c>
      <c r="BD124" t="str">
        <f>"192590001802000000000"</f>
        <v>192590001802000000000</v>
      </c>
      <c r="BE124">
        <v>48177</v>
      </c>
      <c r="BG124">
        <v>200</v>
      </c>
      <c r="BH124">
        <v>3128</v>
      </c>
      <c r="BN124">
        <v>29.530499530378101</v>
      </c>
      <c r="BO124">
        <v>-97.461624629323794</v>
      </c>
      <c r="BX124" t="s">
        <v>22</v>
      </c>
      <c r="CA124" t="str">
        <f>"23"</f>
        <v>23</v>
      </c>
      <c r="CD124">
        <v>0</v>
      </c>
      <c r="CO124">
        <v>0</v>
      </c>
      <c r="EA124" s="1">
        <v>1</v>
      </c>
      <c r="EC124" t="s">
        <v>23</v>
      </c>
      <c r="ED124" t="s">
        <v>24</v>
      </c>
      <c r="EE124" t="s">
        <v>25</v>
      </c>
      <c r="EG124">
        <v>72963</v>
      </c>
      <c r="EH124">
        <v>1.68</v>
      </c>
      <c r="EI124">
        <f t="shared" si="3"/>
        <v>38640</v>
      </c>
      <c r="EJ124">
        <f t="shared" si="2"/>
        <v>19320</v>
      </c>
      <c r="EW124" t="s">
        <v>26</v>
      </c>
      <c r="EX124" t="s">
        <v>27</v>
      </c>
      <c r="EY124" t="s">
        <v>28</v>
      </c>
      <c r="EZ124" s="2">
        <v>40515</v>
      </c>
      <c r="FA124" t="s">
        <v>29</v>
      </c>
      <c r="FB124" t="str">
        <f>"FALSE"</f>
        <v>FALSE</v>
      </c>
      <c r="FC124">
        <v>2019</v>
      </c>
      <c r="FD124">
        <v>2016</v>
      </c>
      <c r="FE124" t="s">
        <v>30</v>
      </c>
      <c r="FF124" t="s">
        <v>31</v>
      </c>
      <c r="FG124" t="s">
        <v>31</v>
      </c>
      <c r="FH124" t="s">
        <v>31</v>
      </c>
      <c r="FI124" t="s">
        <v>31</v>
      </c>
      <c r="FJ124" t="s">
        <v>31</v>
      </c>
      <c r="FK124" t="s">
        <v>31</v>
      </c>
      <c r="FL124" t="s">
        <v>31</v>
      </c>
      <c r="FM124" t="s">
        <v>31</v>
      </c>
      <c r="FN124" t="s">
        <v>31</v>
      </c>
      <c r="FO124" t="s">
        <v>31</v>
      </c>
      <c r="FP124" t="s">
        <v>31</v>
      </c>
      <c r="FQ124" t="s">
        <v>31</v>
      </c>
      <c r="FR124" t="s">
        <v>31</v>
      </c>
      <c r="FS124" s="3">
        <v>15080</v>
      </c>
      <c r="FT124" s="3">
        <v>15080</v>
      </c>
      <c r="FW124" s="3">
        <v>15080</v>
      </c>
      <c r="FX124" s="3">
        <v>15080</v>
      </c>
      <c r="GE124" s="3">
        <v>334.47</v>
      </c>
      <c r="GG124" s="3">
        <v>15080</v>
      </c>
      <c r="GI124" t="s">
        <v>32</v>
      </c>
      <c r="GL124" t="s">
        <v>33</v>
      </c>
      <c r="GM124" t="s">
        <v>34</v>
      </c>
      <c r="GN124" t="s">
        <v>35</v>
      </c>
      <c r="GS124" t="str">
        <f>""</f>
        <v/>
      </c>
      <c r="GT124" t="str">
        <f>""</f>
        <v/>
      </c>
      <c r="GV124" s="2">
        <v>38992</v>
      </c>
      <c r="GW124" s="3">
        <v>0</v>
      </c>
      <c r="GY124" t="s">
        <v>36</v>
      </c>
      <c r="GZ124" t="s">
        <v>37</v>
      </c>
      <c r="HF124" t="str">
        <f>""</f>
        <v/>
      </c>
      <c r="HK124" t="str">
        <f>""</f>
        <v/>
      </c>
      <c r="HN124" t="s">
        <v>38</v>
      </c>
      <c r="HP124" t="str">
        <f>"0009510746"</f>
        <v>0009510746</v>
      </c>
      <c r="HZ124" t="str">
        <f>""</f>
        <v/>
      </c>
      <c r="IA124" t="str">
        <f>HYPERLINK("https://web.datatree.com/?/property?propertyId=128805445")</f>
        <v>https://web.datatree.com/?/property?propertyId=128805445</v>
      </c>
    </row>
    <row r="125" spans="1:235" x14ac:dyDescent="0.3">
      <c r="A125" t="s">
        <v>189</v>
      </c>
      <c r="B125" t="s">
        <v>190</v>
      </c>
      <c r="C125" t="s">
        <v>190</v>
      </c>
      <c r="D125" t="s">
        <v>191</v>
      </c>
      <c r="E125" t="s">
        <v>3</v>
      </c>
      <c r="F125">
        <v>2</v>
      </c>
      <c r="O125" t="s">
        <v>192</v>
      </c>
      <c r="P125" t="s">
        <v>189</v>
      </c>
      <c r="T125" t="s">
        <v>55</v>
      </c>
      <c r="V125" t="s">
        <v>31</v>
      </c>
      <c r="Z125" t="s">
        <v>193</v>
      </c>
      <c r="AA125" t="s">
        <v>7</v>
      </c>
      <c r="AC125" t="s">
        <v>72</v>
      </c>
      <c r="AE125" t="s">
        <v>8</v>
      </c>
      <c r="AF125" t="str">
        <f>"78959"</f>
        <v>78959</v>
      </c>
      <c r="AG125" t="str">
        <f>"78959"</f>
        <v>78959</v>
      </c>
      <c r="AH125" t="s">
        <v>2</v>
      </c>
      <c r="AJ125" t="s">
        <v>194</v>
      </c>
      <c r="AK125" t="s">
        <v>195</v>
      </c>
      <c r="AM125">
        <v>4421</v>
      </c>
      <c r="AP125" t="s">
        <v>196</v>
      </c>
      <c r="AS125" t="s">
        <v>197</v>
      </c>
      <c r="AU125" t="s">
        <v>8</v>
      </c>
      <c r="AV125" t="str">
        <f>"78954-5013"</f>
        <v>78954-5013</v>
      </c>
      <c r="AW125" t="s">
        <v>152</v>
      </c>
      <c r="AX125" t="s">
        <v>198</v>
      </c>
      <c r="AY125" t="s">
        <v>199</v>
      </c>
      <c r="AZ125" t="s">
        <v>18</v>
      </c>
      <c r="BA125" t="s">
        <v>200</v>
      </c>
      <c r="BB125" t="str">
        <f>"16164"</f>
        <v>16164</v>
      </c>
      <c r="BC125" t="str">
        <f>"16164"</f>
        <v>16164</v>
      </c>
      <c r="BD125" t="str">
        <f>"180116505001201000000"</f>
        <v>180116505001201000000</v>
      </c>
      <c r="BE125">
        <v>48177</v>
      </c>
      <c r="BG125">
        <v>100</v>
      </c>
      <c r="BH125">
        <v>2028</v>
      </c>
      <c r="BN125">
        <v>29.6971587286165</v>
      </c>
      <c r="BO125">
        <v>-97.296420720850506</v>
      </c>
      <c r="BX125" t="s">
        <v>22</v>
      </c>
      <c r="CA125" t="str">
        <f>""</f>
        <v/>
      </c>
      <c r="CD125">
        <v>0</v>
      </c>
      <c r="CO125">
        <v>0</v>
      </c>
      <c r="EA125" s="1">
        <v>1</v>
      </c>
      <c r="EC125" t="s">
        <v>23</v>
      </c>
      <c r="ED125" t="s">
        <v>201</v>
      </c>
      <c r="EE125" t="s">
        <v>25</v>
      </c>
      <c r="EG125">
        <v>73399</v>
      </c>
      <c r="EH125">
        <v>1.68</v>
      </c>
      <c r="EI125">
        <f t="shared" si="3"/>
        <v>38640</v>
      </c>
      <c r="EJ125">
        <f t="shared" si="2"/>
        <v>19320</v>
      </c>
      <c r="EW125" t="s">
        <v>26</v>
      </c>
      <c r="EX125" t="s">
        <v>202</v>
      </c>
      <c r="EY125" t="s">
        <v>203</v>
      </c>
      <c r="EZ125" s="2">
        <v>40515</v>
      </c>
      <c r="FA125" t="s">
        <v>204</v>
      </c>
      <c r="FB125" t="str">
        <f>"FALSE"</f>
        <v>FALSE</v>
      </c>
      <c r="FC125">
        <v>2019</v>
      </c>
      <c r="FD125">
        <v>2016</v>
      </c>
      <c r="FE125" t="s">
        <v>205</v>
      </c>
      <c r="FF125" t="s">
        <v>31</v>
      </c>
      <c r="FG125" t="s">
        <v>31</v>
      </c>
      <c r="FH125" t="s">
        <v>31</v>
      </c>
      <c r="FI125" t="s">
        <v>31</v>
      </c>
      <c r="FJ125" t="s">
        <v>31</v>
      </c>
      <c r="FK125" t="s">
        <v>31</v>
      </c>
      <c r="FL125" t="s">
        <v>31</v>
      </c>
      <c r="FM125" t="s">
        <v>31</v>
      </c>
      <c r="FN125" t="s">
        <v>31</v>
      </c>
      <c r="FO125" t="s">
        <v>31</v>
      </c>
      <c r="FP125" t="s">
        <v>31</v>
      </c>
      <c r="FQ125" t="s">
        <v>31</v>
      </c>
      <c r="FR125" t="s">
        <v>31</v>
      </c>
      <c r="FS125" s="3">
        <v>22060</v>
      </c>
      <c r="FT125" s="3">
        <v>21150</v>
      </c>
      <c r="FU125" s="3">
        <v>910</v>
      </c>
      <c r="FV125">
        <v>4.13</v>
      </c>
      <c r="FW125" s="3">
        <v>22060</v>
      </c>
      <c r="FX125" s="3">
        <v>21150</v>
      </c>
      <c r="FY125" s="3">
        <v>910</v>
      </c>
      <c r="FZ125">
        <v>4.13</v>
      </c>
      <c r="GE125" s="3">
        <v>469.89</v>
      </c>
      <c r="GG125" s="3">
        <v>22060</v>
      </c>
      <c r="GI125" t="s">
        <v>206</v>
      </c>
      <c r="GL125" t="s">
        <v>207</v>
      </c>
      <c r="GM125" t="s">
        <v>207</v>
      </c>
      <c r="GN125" t="s">
        <v>207</v>
      </c>
      <c r="GS125" t="str">
        <f>""</f>
        <v/>
      </c>
      <c r="GT125" t="str">
        <f>""</f>
        <v/>
      </c>
      <c r="GV125" s="2">
        <v>30240</v>
      </c>
      <c r="GW125" s="3">
        <v>0</v>
      </c>
      <c r="GY125" t="s">
        <v>36</v>
      </c>
      <c r="GZ125" t="s">
        <v>37</v>
      </c>
      <c r="HF125" t="str">
        <f>""</f>
        <v/>
      </c>
      <c r="HK125" t="str">
        <f>""</f>
        <v/>
      </c>
      <c r="HN125" t="s">
        <v>38</v>
      </c>
      <c r="HP125" t="str">
        <f>"0005320532"</f>
        <v>0005320532</v>
      </c>
      <c r="HZ125" t="str">
        <f>""</f>
        <v/>
      </c>
      <c r="IA125" t="str">
        <f>HYPERLINK("https://web.datatree.com/?/property?propertyId=128794649")</f>
        <v>https://web.datatree.com/?/property?propertyId=128794649</v>
      </c>
    </row>
    <row r="126" spans="1:235" x14ac:dyDescent="0.3">
      <c r="A126" t="s">
        <v>1541</v>
      </c>
      <c r="B126" t="s">
        <v>1542</v>
      </c>
      <c r="C126" t="s">
        <v>1542</v>
      </c>
      <c r="D126" t="s">
        <v>1543</v>
      </c>
      <c r="E126" t="s">
        <v>3</v>
      </c>
      <c r="F126">
        <v>1</v>
      </c>
      <c r="O126" t="s">
        <v>1544</v>
      </c>
      <c r="P126" t="s">
        <v>1541</v>
      </c>
      <c r="T126" t="s">
        <v>55</v>
      </c>
      <c r="W126">
        <v>99</v>
      </c>
      <c r="Z126" t="s">
        <v>1545</v>
      </c>
      <c r="AC126" t="s">
        <v>2</v>
      </c>
      <c r="AE126" t="s">
        <v>8</v>
      </c>
      <c r="AF126" t="str">
        <f>"78629"</f>
        <v>78629</v>
      </c>
      <c r="AG126" t="str">
        <f>"78629-2810"</f>
        <v>78629-2810</v>
      </c>
      <c r="AH126" t="s">
        <v>2</v>
      </c>
      <c r="AI126" t="s">
        <v>152</v>
      </c>
      <c r="AJ126" t="s">
        <v>1546</v>
      </c>
      <c r="AK126" t="s">
        <v>1547</v>
      </c>
      <c r="AP126" t="s">
        <v>1548</v>
      </c>
      <c r="AS126" t="s">
        <v>2</v>
      </c>
      <c r="AT126" t="s">
        <v>2</v>
      </c>
      <c r="AU126" t="s">
        <v>8</v>
      </c>
      <c r="AV126" t="str">
        <f>"78629"</f>
        <v>78629</v>
      </c>
      <c r="AW126" t="s">
        <v>254</v>
      </c>
      <c r="AX126" t="s">
        <v>1549</v>
      </c>
      <c r="AY126" t="s">
        <v>1550</v>
      </c>
      <c r="AZ126" t="s">
        <v>18</v>
      </c>
      <c r="BA126" t="s">
        <v>1551</v>
      </c>
      <c r="BB126" t="str">
        <f>"1027"</f>
        <v>1027</v>
      </c>
      <c r="BC126" t="str">
        <f>"1027"</f>
        <v>1027</v>
      </c>
      <c r="BD126" t="str">
        <f>"902542500000001000000"</f>
        <v>902542500000001000000</v>
      </c>
      <c r="BE126">
        <v>48177</v>
      </c>
      <c r="BG126">
        <v>200</v>
      </c>
      <c r="BH126">
        <v>1040</v>
      </c>
      <c r="BN126">
        <v>29.509842602256999</v>
      </c>
      <c r="BO126">
        <v>-97.416827025407997</v>
      </c>
      <c r="BQ126">
        <v>7</v>
      </c>
      <c r="BX126" t="s">
        <v>22</v>
      </c>
      <c r="CA126" t="str">
        <f>"23|25"</f>
        <v>23|25</v>
      </c>
      <c r="CD126">
        <v>0</v>
      </c>
      <c r="CO126">
        <v>0</v>
      </c>
      <c r="EA126" s="1">
        <v>1</v>
      </c>
      <c r="EC126" t="s">
        <v>23</v>
      </c>
      <c r="ED126" t="s">
        <v>24</v>
      </c>
      <c r="EE126" t="s">
        <v>25</v>
      </c>
      <c r="EF126" t="s">
        <v>469</v>
      </c>
      <c r="EG126">
        <v>74618</v>
      </c>
      <c r="EH126">
        <v>1.71</v>
      </c>
      <c r="EI126">
        <f t="shared" ref="EI126:EI159" si="4">15000*EH126</f>
        <v>25650</v>
      </c>
      <c r="EJ126">
        <f t="shared" si="2"/>
        <v>12825</v>
      </c>
      <c r="EW126" t="s">
        <v>26</v>
      </c>
      <c r="EX126" t="s">
        <v>64</v>
      </c>
      <c r="EY126" t="s">
        <v>65</v>
      </c>
      <c r="EZ126" s="2">
        <v>40515</v>
      </c>
      <c r="FA126" t="s">
        <v>143</v>
      </c>
      <c r="FB126" t="str">
        <f>"FALSE"</f>
        <v>FALSE</v>
      </c>
      <c r="FC126">
        <v>2019</v>
      </c>
      <c r="FD126">
        <v>2016</v>
      </c>
      <c r="FE126" t="s">
        <v>30</v>
      </c>
      <c r="FF126" t="s">
        <v>31</v>
      </c>
      <c r="FG126" t="s">
        <v>31</v>
      </c>
      <c r="FH126" t="s">
        <v>31</v>
      </c>
      <c r="FI126" t="s">
        <v>31</v>
      </c>
      <c r="FJ126" t="s">
        <v>31</v>
      </c>
      <c r="FK126" t="s">
        <v>31</v>
      </c>
      <c r="FL126" t="s">
        <v>31</v>
      </c>
      <c r="FM126" t="s">
        <v>31</v>
      </c>
      <c r="FN126" t="s">
        <v>31</v>
      </c>
      <c r="FO126" t="s">
        <v>31</v>
      </c>
      <c r="FP126" t="s">
        <v>31</v>
      </c>
      <c r="FQ126" t="s">
        <v>31</v>
      </c>
      <c r="FR126" t="s">
        <v>31</v>
      </c>
      <c r="FS126" s="3">
        <v>20210</v>
      </c>
      <c r="FT126" s="3">
        <v>20210</v>
      </c>
      <c r="FW126" s="3">
        <v>20210</v>
      </c>
      <c r="FX126" s="3">
        <v>20210</v>
      </c>
      <c r="GE126" s="3">
        <v>412.51</v>
      </c>
      <c r="GG126" s="3">
        <v>20210</v>
      </c>
      <c r="GI126" t="s">
        <v>32</v>
      </c>
      <c r="GL126" t="s">
        <v>273</v>
      </c>
      <c r="GM126" t="s">
        <v>34</v>
      </c>
      <c r="GN126" t="s">
        <v>35</v>
      </c>
      <c r="GS126" t="str">
        <f>""</f>
        <v/>
      </c>
      <c r="GT126" t="str">
        <f>""</f>
        <v/>
      </c>
      <c r="GV126" s="2">
        <v>39580</v>
      </c>
      <c r="GW126" s="3">
        <v>0</v>
      </c>
      <c r="GY126" t="s">
        <v>36</v>
      </c>
      <c r="GZ126" t="s">
        <v>37</v>
      </c>
      <c r="HF126" t="str">
        <f>""</f>
        <v/>
      </c>
      <c r="HK126" t="str">
        <f>""</f>
        <v/>
      </c>
      <c r="HN126" t="s">
        <v>38</v>
      </c>
      <c r="HP126" t="str">
        <f>"0009830396"</f>
        <v>0009830396</v>
      </c>
      <c r="HZ126" t="str">
        <f>""</f>
        <v/>
      </c>
      <c r="IA126" t="str">
        <f>HYPERLINK("https://web.datatree.com/?/property?propertyId=128789197")</f>
        <v>https://web.datatree.com/?/property?propertyId=128789197</v>
      </c>
    </row>
    <row r="127" spans="1:235" x14ac:dyDescent="0.3">
      <c r="A127" t="s">
        <v>1595</v>
      </c>
      <c r="B127" t="s">
        <v>1596</v>
      </c>
      <c r="C127" t="s">
        <v>1597</v>
      </c>
      <c r="D127" t="s">
        <v>540</v>
      </c>
      <c r="E127" t="s">
        <v>3</v>
      </c>
      <c r="F127">
        <v>2</v>
      </c>
      <c r="G127" t="s">
        <v>1598</v>
      </c>
      <c r="H127" t="s">
        <v>1599</v>
      </c>
      <c r="I127" t="s">
        <v>1599</v>
      </c>
      <c r="J127" t="s">
        <v>540</v>
      </c>
      <c r="K127" t="s">
        <v>3</v>
      </c>
      <c r="L127">
        <v>2</v>
      </c>
      <c r="O127" t="s">
        <v>1600</v>
      </c>
      <c r="P127" t="s">
        <v>1601</v>
      </c>
      <c r="T127" t="s">
        <v>137</v>
      </c>
      <c r="W127">
        <v>175</v>
      </c>
      <c r="Z127" t="s">
        <v>1602</v>
      </c>
      <c r="AC127" t="s">
        <v>2</v>
      </c>
      <c r="AE127" t="s">
        <v>8</v>
      </c>
      <c r="AF127" t="str">
        <f>"78629"</f>
        <v>78629</v>
      </c>
      <c r="AG127" t="str">
        <f>"78629-2846"</f>
        <v>78629-2846</v>
      </c>
      <c r="AH127" t="s">
        <v>2</v>
      </c>
      <c r="AI127" t="s">
        <v>152</v>
      </c>
      <c r="AJ127" t="s">
        <v>1603</v>
      </c>
      <c r="AK127" t="s">
        <v>1604</v>
      </c>
      <c r="AM127">
        <v>175</v>
      </c>
      <c r="AP127" t="s">
        <v>1602</v>
      </c>
      <c r="AS127" t="s">
        <v>2</v>
      </c>
      <c r="AU127" t="s">
        <v>8</v>
      </c>
      <c r="AV127" t="str">
        <f>"78629-2846"</f>
        <v>78629-2846</v>
      </c>
      <c r="AW127" t="s">
        <v>152</v>
      </c>
      <c r="AX127" t="s">
        <v>1603</v>
      </c>
      <c r="AY127" t="s">
        <v>1605</v>
      </c>
      <c r="BA127" t="s">
        <v>1606</v>
      </c>
      <c r="BB127" t="str">
        <f>"22443"</f>
        <v>22443</v>
      </c>
      <c r="BC127" t="str">
        <f>"22443"</f>
        <v>22443</v>
      </c>
      <c r="BD127" t="str">
        <f>"902542520000000000000"</f>
        <v>902542520000000000000</v>
      </c>
      <c r="BE127">
        <v>48177</v>
      </c>
      <c r="BG127">
        <v>200</v>
      </c>
      <c r="BH127">
        <v>1040</v>
      </c>
      <c r="BN127">
        <v>29.509789999999999</v>
      </c>
      <c r="BO127">
        <v>-97.418108000000004</v>
      </c>
      <c r="BX127" t="s">
        <v>22</v>
      </c>
      <c r="CA127" t="str">
        <f>"23/24/25"</f>
        <v>23/24/25</v>
      </c>
      <c r="CD127">
        <v>0</v>
      </c>
      <c r="CO127">
        <v>0</v>
      </c>
      <c r="EA127" s="1">
        <v>1</v>
      </c>
      <c r="EC127" t="s">
        <v>23</v>
      </c>
      <c r="ED127" t="s">
        <v>24</v>
      </c>
      <c r="EE127" t="s">
        <v>25</v>
      </c>
      <c r="EF127" t="s">
        <v>469</v>
      </c>
      <c r="EG127">
        <v>78016</v>
      </c>
      <c r="EH127">
        <v>1.79</v>
      </c>
      <c r="EI127">
        <f t="shared" si="4"/>
        <v>26850</v>
      </c>
      <c r="EJ127">
        <f t="shared" si="2"/>
        <v>13425</v>
      </c>
      <c r="EW127" t="s">
        <v>26</v>
      </c>
      <c r="EX127" t="s">
        <v>64</v>
      </c>
      <c r="EY127" t="s">
        <v>65</v>
      </c>
      <c r="EZ127" s="2">
        <v>40515</v>
      </c>
      <c r="FA127" t="s">
        <v>143</v>
      </c>
      <c r="FB127" t="str">
        <f>"FALSE"</f>
        <v>FALSE</v>
      </c>
      <c r="FC127">
        <v>2019</v>
      </c>
      <c r="FD127">
        <v>2016</v>
      </c>
      <c r="FE127" t="s">
        <v>30</v>
      </c>
      <c r="FF127" t="s">
        <v>31</v>
      </c>
      <c r="FG127" t="s">
        <v>31</v>
      </c>
      <c r="FH127" t="s">
        <v>31</v>
      </c>
      <c r="FI127" t="s">
        <v>31</v>
      </c>
      <c r="FJ127" t="s">
        <v>31</v>
      </c>
      <c r="FK127" t="s">
        <v>31</v>
      </c>
      <c r="FL127" t="s">
        <v>31</v>
      </c>
      <c r="FM127" t="s">
        <v>31</v>
      </c>
      <c r="FN127" t="s">
        <v>31</v>
      </c>
      <c r="FO127" t="s">
        <v>31</v>
      </c>
      <c r="FP127" t="s">
        <v>31</v>
      </c>
      <c r="FQ127" t="s">
        <v>31</v>
      </c>
      <c r="FR127" t="s">
        <v>31</v>
      </c>
      <c r="FS127" s="3">
        <v>21130</v>
      </c>
      <c r="FT127" s="3">
        <v>21130</v>
      </c>
      <c r="FW127" s="3">
        <v>21130</v>
      </c>
      <c r="FX127" s="3">
        <v>21130</v>
      </c>
      <c r="GE127" s="3">
        <v>431.28</v>
      </c>
      <c r="GG127" s="3">
        <v>21130</v>
      </c>
      <c r="GI127" t="s">
        <v>32</v>
      </c>
      <c r="GL127" t="s">
        <v>273</v>
      </c>
      <c r="GM127" t="s">
        <v>34</v>
      </c>
      <c r="GN127" t="s">
        <v>35</v>
      </c>
      <c r="GS127" t="str">
        <f>""</f>
        <v/>
      </c>
      <c r="GT127" t="str">
        <f>""</f>
        <v/>
      </c>
      <c r="GV127" s="2">
        <v>39923</v>
      </c>
      <c r="GW127" s="3">
        <v>0</v>
      </c>
      <c r="GY127" t="s">
        <v>36</v>
      </c>
      <c r="GZ127" t="s">
        <v>37</v>
      </c>
      <c r="HF127" t="str">
        <f>""</f>
        <v/>
      </c>
      <c r="HK127" t="str">
        <f>""</f>
        <v/>
      </c>
      <c r="HN127" t="s">
        <v>38</v>
      </c>
      <c r="HP127" t="str">
        <f>"0010020345"</f>
        <v>0010020345</v>
      </c>
      <c r="HZ127" t="str">
        <f>""</f>
        <v/>
      </c>
      <c r="IA127" t="str">
        <f>HYPERLINK("https://web.datatree.com/?/property?propertyId=128797619")</f>
        <v>https://web.datatree.com/?/property?propertyId=128797619</v>
      </c>
    </row>
    <row r="128" spans="1:235" x14ac:dyDescent="0.3">
      <c r="A128" t="s">
        <v>1402</v>
      </c>
      <c r="B128" t="s">
        <v>1403</v>
      </c>
      <c r="C128" t="s">
        <v>1403</v>
      </c>
      <c r="D128" t="s">
        <v>1404</v>
      </c>
      <c r="E128" t="s">
        <v>3</v>
      </c>
      <c r="F128">
        <v>8</v>
      </c>
      <c r="O128" t="s">
        <v>1405</v>
      </c>
      <c r="P128" t="s">
        <v>1402</v>
      </c>
      <c r="T128" t="s">
        <v>55</v>
      </c>
      <c r="Z128" t="s">
        <v>1406</v>
      </c>
      <c r="AE128" t="s">
        <v>8</v>
      </c>
      <c r="AH128" t="s">
        <v>2</v>
      </c>
      <c r="AJ128" t="s">
        <v>1407</v>
      </c>
      <c r="AK128" t="s">
        <v>1408</v>
      </c>
      <c r="AM128">
        <v>3016</v>
      </c>
      <c r="AP128" t="s">
        <v>1409</v>
      </c>
      <c r="AQ128" t="s">
        <v>1410</v>
      </c>
      <c r="AS128" t="s">
        <v>1411</v>
      </c>
      <c r="AU128" t="s">
        <v>8</v>
      </c>
      <c r="AV128" t="str">
        <f>"77449-6201"</f>
        <v>77449-6201</v>
      </c>
      <c r="AW128" t="s">
        <v>1412</v>
      </c>
      <c r="AX128" t="s">
        <v>1413</v>
      </c>
      <c r="AY128" t="s">
        <v>1414</v>
      </c>
      <c r="AZ128" t="s">
        <v>18</v>
      </c>
      <c r="BA128" t="s">
        <v>1415</v>
      </c>
      <c r="BB128" t="str">
        <f>"15849"</f>
        <v>15849</v>
      </c>
      <c r="BC128" t="str">
        <f>"15849"</f>
        <v>15849</v>
      </c>
      <c r="BD128" t="str">
        <f>"171931100000050000000"</f>
        <v>171931100000050000000</v>
      </c>
      <c r="BE128">
        <v>48177</v>
      </c>
      <c r="BI128" t="s">
        <v>20</v>
      </c>
      <c r="BN128">
        <v>29.268818868598199</v>
      </c>
      <c r="BO128">
        <v>-97.760863289187199</v>
      </c>
      <c r="BX128" t="s">
        <v>22</v>
      </c>
      <c r="CA128" t="str">
        <f>""</f>
        <v/>
      </c>
      <c r="CD128">
        <v>0</v>
      </c>
      <c r="CO128">
        <v>0</v>
      </c>
      <c r="EA128" s="1">
        <v>1</v>
      </c>
      <c r="EC128" t="s">
        <v>23</v>
      </c>
      <c r="ED128" t="s">
        <v>24</v>
      </c>
      <c r="EE128" t="s">
        <v>25</v>
      </c>
      <c r="EG128">
        <v>78094</v>
      </c>
      <c r="EH128">
        <v>1.79</v>
      </c>
      <c r="EI128">
        <f t="shared" si="4"/>
        <v>26850</v>
      </c>
      <c r="EJ128">
        <f t="shared" si="2"/>
        <v>13425</v>
      </c>
      <c r="EK128">
        <v>301.39999999999998</v>
      </c>
      <c r="EL128">
        <v>109.8</v>
      </c>
      <c r="EM128">
        <v>45000</v>
      </c>
      <c r="EN128">
        <v>45000</v>
      </c>
      <c r="EW128" t="s">
        <v>26</v>
      </c>
      <c r="EX128" t="s">
        <v>116</v>
      </c>
      <c r="EY128" t="s">
        <v>117</v>
      </c>
      <c r="EZ128" s="2">
        <v>40515</v>
      </c>
      <c r="FA128" t="s">
        <v>118</v>
      </c>
      <c r="FB128" t="str">
        <f>"FALSE"</f>
        <v>FALSE</v>
      </c>
      <c r="FC128">
        <v>2019</v>
      </c>
      <c r="FD128">
        <v>2016</v>
      </c>
      <c r="FE128" t="s">
        <v>119</v>
      </c>
      <c r="FF128" t="s">
        <v>31</v>
      </c>
      <c r="FG128" t="s">
        <v>31</v>
      </c>
      <c r="FH128" t="s">
        <v>31</v>
      </c>
      <c r="FI128" t="s">
        <v>31</v>
      </c>
      <c r="FJ128" t="s">
        <v>31</v>
      </c>
      <c r="FK128" t="s">
        <v>31</v>
      </c>
      <c r="FL128" t="s">
        <v>31</v>
      </c>
      <c r="FM128" t="s">
        <v>31</v>
      </c>
      <c r="FN128" t="s">
        <v>31</v>
      </c>
      <c r="FO128" t="s">
        <v>31</v>
      </c>
      <c r="FP128" t="s">
        <v>31</v>
      </c>
      <c r="FQ128" t="s">
        <v>31</v>
      </c>
      <c r="FR128" t="s">
        <v>31</v>
      </c>
      <c r="FS128" s="3">
        <v>56820</v>
      </c>
      <c r="FT128" s="3">
        <v>56820</v>
      </c>
      <c r="FW128" s="3">
        <v>56820</v>
      </c>
      <c r="FX128" s="3">
        <v>56820</v>
      </c>
      <c r="GE128" s="3">
        <v>736.55</v>
      </c>
      <c r="GG128" s="3">
        <v>56820</v>
      </c>
      <c r="GI128" t="s">
        <v>120</v>
      </c>
      <c r="GL128" t="s">
        <v>121</v>
      </c>
      <c r="GM128" t="s">
        <v>122</v>
      </c>
      <c r="GN128" t="s">
        <v>123</v>
      </c>
      <c r="GS128" t="str">
        <f>""</f>
        <v/>
      </c>
      <c r="GT128" t="str">
        <f>""</f>
        <v/>
      </c>
      <c r="HF128" t="str">
        <f>""</f>
        <v/>
      </c>
      <c r="HK128" t="str">
        <f>""</f>
        <v/>
      </c>
      <c r="HN128" t="s">
        <v>38</v>
      </c>
      <c r="HP128" t="str">
        <f>""</f>
        <v/>
      </c>
      <c r="HZ128" t="str">
        <f>""</f>
        <v/>
      </c>
      <c r="IA128" t="str">
        <f>HYPERLINK("https://web.datatree.com/?/property?propertyId=128794424")</f>
        <v>https://web.datatree.com/?/property?propertyId=128794424</v>
      </c>
    </row>
    <row r="129" spans="1:235" x14ac:dyDescent="0.3">
      <c r="A129" t="s">
        <v>208</v>
      </c>
      <c r="B129" t="s">
        <v>209</v>
      </c>
      <c r="C129" t="s">
        <v>210</v>
      </c>
      <c r="D129" t="s">
        <v>211</v>
      </c>
      <c r="E129" t="s">
        <v>3</v>
      </c>
      <c r="F129">
        <v>3</v>
      </c>
      <c r="O129" t="s">
        <v>212</v>
      </c>
      <c r="P129" t="s">
        <v>208</v>
      </c>
      <c r="T129" t="s">
        <v>55</v>
      </c>
      <c r="Z129" t="s">
        <v>213</v>
      </c>
      <c r="AC129" t="s">
        <v>2</v>
      </c>
      <c r="AE129" t="s">
        <v>8</v>
      </c>
      <c r="AF129" t="str">
        <f>"78629"</f>
        <v>78629</v>
      </c>
      <c r="AG129" t="str">
        <f>"78629"</f>
        <v>78629</v>
      </c>
      <c r="AH129" t="s">
        <v>2</v>
      </c>
      <c r="AJ129" t="s">
        <v>214</v>
      </c>
      <c r="AK129" t="s">
        <v>215</v>
      </c>
      <c r="AM129">
        <v>198</v>
      </c>
      <c r="AP129" t="s">
        <v>216</v>
      </c>
      <c r="AS129" t="s">
        <v>2</v>
      </c>
      <c r="AU129" t="s">
        <v>8</v>
      </c>
      <c r="AV129" t="str">
        <f>"78629-5109"</f>
        <v>78629-5109</v>
      </c>
      <c r="AW129" t="s">
        <v>217</v>
      </c>
      <c r="AX129" t="s">
        <v>218</v>
      </c>
      <c r="AY129" t="s">
        <v>219</v>
      </c>
      <c r="AZ129" t="s">
        <v>18</v>
      </c>
      <c r="BA129" t="s">
        <v>220</v>
      </c>
      <c r="BB129" t="str">
        <f>"1134"</f>
        <v>1134</v>
      </c>
      <c r="BC129" t="str">
        <f>"1134"</f>
        <v>1134</v>
      </c>
      <c r="BD129" t="str">
        <f>"102561010000000000000"</f>
        <v>102561010000000000000</v>
      </c>
      <c r="BE129">
        <v>48177</v>
      </c>
      <c r="BG129">
        <v>400</v>
      </c>
      <c r="BH129">
        <v>2001</v>
      </c>
      <c r="BN129">
        <v>29.560945937784702</v>
      </c>
      <c r="BO129">
        <v>-97.487828015689203</v>
      </c>
      <c r="BP129" t="s">
        <v>221</v>
      </c>
      <c r="BX129" t="s">
        <v>22</v>
      </c>
      <c r="CA129" t="str">
        <f>"1/2"</f>
        <v>1/2</v>
      </c>
      <c r="CB129">
        <v>18</v>
      </c>
      <c r="CC129">
        <v>1064</v>
      </c>
      <c r="CD129">
        <v>1064</v>
      </c>
      <c r="CH129">
        <v>1064</v>
      </c>
      <c r="CJ129">
        <v>1999</v>
      </c>
      <c r="CO129">
        <v>0</v>
      </c>
      <c r="CU129">
        <v>1</v>
      </c>
      <c r="EA129" s="1">
        <v>1</v>
      </c>
      <c r="EC129" t="s">
        <v>23</v>
      </c>
      <c r="ED129" t="s">
        <v>24</v>
      </c>
      <c r="EE129" t="s">
        <v>25</v>
      </c>
      <c r="EG129">
        <v>78364</v>
      </c>
      <c r="EH129">
        <v>1.8</v>
      </c>
      <c r="EI129">
        <f t="shared" si="4"/>
        <v>27000</v>
      </c>
      <c r="EJ129">
        <f t="shared" si="2"/>
        <v>13500</v>
      </c>
      <c r="ER129">
        <v>1</v>
      </c>
      <c r="EW129" t="s">
        <v>26</v>
      </c>
      <c r="EX129" t="s">
        <v>27</v>
      </c>
      <c r="EY129" t="s">
        <v>28</v>
      </c>
      <c r="EZ129" s="2">
        <v>40515</v>
      </c>
      <c r="FA129" t="s">
        <v>143</v>
      </c>
      <c r="FB129" t="str">
        <f>"FALSE"</f>
        <v>FALSE</v>
      </c>
      <c r="FC129">
        <v>2019</v>
      </c>
      <c r="FD129">
        <v>2016</v>
      </c>
      <c r="FE129" t="s">
        <v>30</v>
      </c>
      <c r="FF129" t="s">
        <v>31</v>
      </c>
      <c r="FG129" t="s">
        <v>31</v>
      </c>
      <c r="FH129" t="s">
        <v>31</v>
      </c>
      <c r="FI129" t="s">
        <v>31</v>
      </c>
      <c r="FJ129" t="s">
        <v>31</v>
      </c>
      <c r="FK129" t="s">
        <v>31</v>
      </c>
      <c r="FL129" t="s">
        <v>31</v>
      </c>
      <c r="FM129" t="s">
        <v>31</v>
      </c>
      <c r="FN129" t="s">
        <v>31</v>
      </c>
      <c r="FO129" t="s">
        <v>31</v>
      </c>
      <c r="FP129" t="s">
        <v>31</v>
      </c>
      <c r="FQ129" t="s">
        <v>31</v>
      </c>
      <c r="FR129" t="s">
        <v>31</v>
      </c>
      <c r="FS129" s="3">
        <v>15850</v>
      </c>
      <c r="FT129" s="3">
        <v>15850</v>
      </c>
      <c r="FW129" s="3">
        <v>15850</v>
      </c>
      <c r="FX129" s="3">
        <v>15850</v>
      </c>
      <c r="GE129" s="3">
        <v>323.51</v>
      </c>
      <c r="GG129" s="3">
        <v>15850</v>
      </c>
      <c r="GI129" t="s">
        <v>32</v>
      </c>
      <c r="GL129" t="s">
        <v>33</v>
      </c>
      <c r="GM129" t="s">
        <v>34</v>
      </c>
      <c r="GN129" t="s">
        <v>35</v>
      </c>
      <c r="GS129" t="str">
        <f>""</f>
        <v/>
      </c>
      <c r="GT129" t="str">
        <f>""</f>
        <v/>
      </c>
      <c r="HF129" t="str">
        <f>""</f>
        <v/>
      </c>
      <c r="HK129" t="str">
        <f>""</f>
        <v/>
      </c>
      <c r="HN129" t="s">
        <v>38</v>
      </c>
      <c r="HP129" t="str">
        <f>""</f>
        <v/>
      </c>
      <c r="HZ129" t="str">
        <f>""</f>
        <v/>
      </c>
      <c r="IA129" t="str">
        <f>HYPERLINK("https://web.datatree.com/?/property?propertyId=128790263")</f>
        <v>https://web.datatree.com/?/property?propertyId=128790263</v>
      </c>
    </row>
    <row r="130" spans="1:235" x14ac:dyDescent="0.3">
      <c r="A130" t="s">
        <v>274</v>
      </c>
      <c r="B130" t="s">
        <v>275</v>
      </c>
      <c r="C130" t="s">
        <v>275</v>
      </c>
      <c r="D130" t="s">
        <v>276</v>
      </c>
      <c r="E130" t="s">
        <v>3</v>
      </c>
      <c r="F130">
        <v>1</v>
      </c>
      <c r="G130" t="s">
        <v>277</v>
      </c>
      <c r="J130" t="s">
        <v>277</v>
      </c>
      <c r="K130" t="s">
        <v>84</v>
      </c>
      <c r="L130">
        <v>1</v>
      </c>
      <c r="O130" t="s">
        <v>278</v>
      </c>
      <c r="P130" t="s">
        <v>279</v>
      </c>
      <c r="T130" t="s">
        <v>5</v>
      </c>
      <c r="W130">
        <v>832</v>
      </c>
      <c r="Z130" t="s">
        <v>280</v>
      </c>
      <c r="AA130" t="s">
        <v>7</v>
      </c>
      <c r="AC130" t="s">
        <v>2</v>
      </c>
      <c r="AE130" t="s">
        <v>8</v>
      </c>
      <c r="AF130" t="str">
        <f>"78629"</f>
        <v>78629</v>
      </c>
      <c r="AG130" t="str">
        <f>"78629-3450"</f>
        <v>78629-3450</v>
      </c>
      <c r="AH130" t="s">
        <v>2</v>
      </c>
      <c r="AI130" t="s">
        <v>281</v>
      </c>
      <c r="AJ130" t="s">
        <v>282</v>
      </c>
      <c r="AK130" t="s">
        <v>283</v>
      </c>
      <c r="AM130">
        <v>119</v>
      </c>
      <c r="AP130" t="s">
        <v>284</v>
      </c>
      <c r="AQ130" t="s">
        <v>7</v>
      </c>
      <c r="AS130" t="s">
        <v>2</v>
      </c>
      <c r="AT130" t="s">
        <v>2</v>
      </c>
      <c r="AU130" t="s">
        <v>8</v>
      </c>
      <c r="AV130" t="str">
        <f>"78629-3931"</f>
        <v>78629-3931</v>
      </c>
      <c r="AW130" t="s">
        <v>281</v>
      </c>
      <c r="AX130" t="s">
        <v>285</v>
      </c>
      <c r="AY130" t="s">
        <v>286</v>
      </c>
      <c r="AZ130" t="s">
        <v>18</v>
      </c>
      <c r="BA130" t="s">
        <v>287</v>
      </c>
      <c r="BB130" t="str">
        <f>"12109"</f>
        <v>12109</v>
      </c>
      <c r="BC130" t="str">
        <f>"12109"</f>
        <v>12109</v>
      </c>
      <c r="BD130" t="str">
        <f>"161932200001250000000"</f>
        <v>161932200001250000000</v>
      </c>
      <c r="BE130">
        <v>48177</v>
      </c>
      <c r="BG130">
        <v>400</v>
      </c>
      <c r="BH130">
        <v>2006</v>
      </c>
      <c r="BN130">
        <v>29.504595464270299</v>
      </c>
      <c r="BO130">
        <v>-97.457506284989506</v>
      </c>
      <c r="BX130" t="s">
        <v>22</v>
      </c>
      <c r="CA130" t="str">
        <f>""</f>
        <v/>
      </c>
      <c r="CC130">
        <v>432</v>
      </c>
      <c r="CD130">
        <v>432</v>
      </c>
      <c r="CJ130">
        <v>2002</v>
      </c>
      <c r="CO130">
        <v>0</v>
      </c>
      <c r="CU130">
        <v>1</v>
      </c>
      <c r="DG130" t="s">
        <v>288</v>
      </c>
      <c r="DL130" t="s">
        <v>289</v>
      </c>
      <c r="DM130">
        <v>35</v>
      </c>
      <c r="DP130" t="s">
        <v>290</v>
      </c>
      <c r="EA130" s="1">
        <v>1</v>
      </c>
      <c r="EC130" t="s">
        <v>23</v>
      </c>
      <c r="ED130" t="s">
        <v>24</v>
      </c>
      <c r="EE130" t="s">
        <v>25</v>
      </c>
      <c r="EG130">
        <v>81414</v>
      </c>
      <c r="EH130">
        <v>1.87</v>
      </c>
      <c r="EI130">
        <f t="shared" si="4"/>
        <v>28050</v>
      </c>
      <c r="EJ130">
        <f t="shared" si="2"/>
        <v>14025</v>
      </c>
      <c r="EK130">
        <v>90</v>
      </c>
      <c r="EL130">
        <v>125.3</v>
      </c>
      <c r="ER130">
        <v>1</v>
      </c>
      <c r="EW130" t="s">
        <v>270</v>
      </c>
      <c r="EX130" t="s">
        <v>27</v>
      </c>
      <c r="EY130" t="s">
        <v>28</v>
      </c>
      <c r="EZ130" s="2">
        <v>40515</v>
      </c>
      <c r="FA130" t="s">
        <v>29</v>
      </c>
      <c r="FB130" t="str">
        <f>"TRUE"</f>
        <v>TRUE</v>
      </c>
      <c r="FC130">
        <v>2019</v>
      </c>
      <c r="FD130">
        <v>2016</v>
      </c>
      <c r="FE130" t="s">
        <v>30</v>
      </c>
      <c r="FF130" t="s">
        <v>31</v>
      </c>
      <c r="FG130" t="s">
        <v>31</v>
      </c>
      <c r="FH130" t="s">
        <v>31</v>
      </c>
      <c r="FI130" t="s">
        <v>31</v>
      </c>
      <c r="FJ130" t="s">
        <v>31</v>
      </c>
      <c r="FK130" t="s">
        <v>31</v>
      </c>
      <c r="FL130" t="s">
        <v>31</v>
      </c>
      <c r="FM130" t="s">
        <v>31</v>
      </c>
      <c r="FN130" t="s">
        <v>31</v>
      </c>
      <c r="FO130" t="s">
        <v>31</v>
      </c>
      <c r="FP130" t="s">
        <v>31</v>
      </c>
      <c r="FQ130" t="s">
        <v>31</v>
      </c>
      <c r="FR130" t="s">
        <v>31</v>
      </c>
      <c r="FS130" s="3">
        <v>84110</v>
      </c>
      <c r="FT130" s="3">
        <v>84110</v>
      </c>
      <c r="FW130" s="3">
        <v>84110</v>
      </c>
      <c r="FX130" s="3">
        <v>84110</v>
      </c>
      <c r="GE130" s="3">
        <v>1865.56</v>
      </c>
      <c r="GG130" s="3">
        <v>84110</v>
      </c>
      <c r="GI130" t="s">
        <v>32</v>
      </c>
      <c r="GL130" t="s">
        <v>33</v>
      </c>
      <c r="GM130" t="s">
        <v>34</v>
      </c>
      <c r="GN130" t="s">
        <v>35</v>
      </c>
      <c r="GS130" t="str">
        <f>""</f>
        <v/>
      </c>
      <c r="GT130" t="str">
        <f>""</f>
        <v/>
      </c>
      <c r="GV130" s="2">
        <v>36923</v>
      </c>
      <c r="GW130" s="3">
        <v>0</v>
      </c>
      <c r="GY130" t="s">
        <v>36</v>
      </c>
      <c r="GZ130" t="s">
        <v>37</v>
      </c>
      <c r="HA130" s="3">
        <v>0</v>
      </c>
      <c r="HF130" t="str">
        <f>""</f>
        <v/>
      </c>
      <c r="HK130" t="str">
        <f>""</f>
        <v/>
      </c>
      <c r="HN130" t="s">
        <v>38</v>
      </c>
      <c r="HP130" t="str">
        <f>"0008440298"</f>
        <v>0008440298</v>
      </c>
      <c r="HZ130" t="str">
        <f>""</f>
        <v/>
      </c>
      <c r="IA130" t="str">
        <f>HYPERLINK("https://web.datatree.com/?/property?propertyId=128791066")</f>
        <v>https://web.datatree.com/?/property?propertyId=128791066</v>
      </c>
    </row>
    <row r="131" spans="1:235" x14ac:dyDescent="0.3">
      <c r="A131" t="s">
        <v>1665</v>
      </c>
      <c r="D131" t="s">
        <v>1665</v>
      </c>
      <c r="E131" t="s">
        <v>84</v>
      </c>
      <c r="F131">
        <v>1</v>
      </c>
      <c r="O131" t="s">
        <v>1665</v>
      </c>
      <c r="P131" t="s">
        <v>1665</v>
      </c>
      <c r="R131" t="s">
        <v>85</v>
      </c>
      <c r="T131" t="s">
        <v>55</v>
      </c>
      <c r="Z131" t="s">
        <v>1666</v>
      </c>
      <c r="AA131" t="s">
        <v>7</v>
      </c>
      <c r="AC131" t="s">
        <v>2</v>
      </c>
      <c r="AE131" t="s">
        <v>8</v>
      </c>
      <c r="AF131" t="str">
        <f>"78629"</f>
        <v>78629</v>
      </c>
      <c r="AG131" t="str">
        <f>"78629"</f>
        <v>78629</v>
      </c>
      <c r="AH131" t="s">
        <v>2</v>
      </c>
      <c r="AJ131" t="s">
        <v>1667</v>
      </c>
      <c r="AK131" t="s">
        <v>1668</v>
      </c>
      <c r="AM131">
        <v>2909</v>
      </c>
      <c r="AP131" t="s">
        <v>1669</v>
      </c>
      <c r="AQ131" t="s">
        <v>105</v>
      </c>
      <c r="AR131">
        <v>115</v>
      </c>
      <c r="AS131" t="s">
        <v>1670</v>
      </c>
      <c r="AT131" t="s">
        <v>1670</v>
      </c>
      <c r="AU131" t="s">
        <v>8</v>
      </c>
      <c r="AV131" t="str">
        <f>"75204-1309"</f>
        <v>75204-1309</v>
      </c>
      <c r="AW131" t="s">
        <v>535</v>
      </c>
      <c r="AX131" t="s">
        <v>1671</v>
      </c>
      <c r="AY131" t="s">
        <v>1672</v>
      </c>
      <c r="AZ131" t="s">
        <v>18</v>
      </c>
      <c r="BA131" t="s">
        <v>1673</v>
      </c>
      <c r="BB131" t="str">
        <f>"27099"</f>
        <v>27099</v>
      </c>
      <c r="BC131" t="str">
        <f>"27099"</f>
        <v>27099</v>
      </c>
      <c r="BD131" t="str">
        <f>"992592000100000000000"</f>
        <v>992592000100000000000</v>
      </c>
      <c r="BE131">
        <v>48177</v>
      </c>
      <c r="BG131">
        <v>400</v>
      </c>
      <c r="BH131">
        <v>2001</v>
      </c>
      <c r="BN131">
        <v>29.524829652087401</v>
      </c>
      <c r="BO131">
        <v>-97.432764779208696</v>
      </c>
      <c r="BP131" t="s">
        <v>1674</v>
      </c>
      <c r="BX131" t="s">
        <v>22</v>
      </c>
      <c r="CA131" t="str">
        <f>"1"</f>
        <v>1</v>
      </c>
      <c r="CB131" t="s">
        <v>749</v>
      </c>
      <c r="CD131">
        <v>0</v>
      </c>
      <c r="CO131">
        <v>0</v>
      </c>
      <c r="EA131" s="1">
        <v>1</v>
      </c>
      <c r="EC131" t="s">
        <v>23</v>
      </c>
      <c r="ED131" t="s">
        <v>24</v>
      </c>
      <c r="EE131" t="s">
        <v>25</v>
      </c>
      <c r="EG131">
        <v>82459</v>
      </c>
      <c r="EH131">
        <v>1.89</v>
      </c>
      <c r="EI131">
        <f t="shared" si="4"/>
        <v>28350</v>
      </c>
      <c r="EJ131">
        <f t="shared" ref="EJ131:EJ185" si="5">EI131/2</f>
        <v>14175</v>
      </c>
      <c r="EW131" t="s">
        <v>26</v>
      </c>
      <c r="EX131" t="s">
        <v>683</v>
      </c>
      <c r="EY131" t="s">
        <v>684</v>
      </c>
      <c r="EZ131" s="2">
        <v>40515</v>
      </c>
      <c r="FA131" t="s">
        <v>29</v>
      </c>
      <c r="FB131" t="str">
        <f>"FALSE"</f>
        <v>FALSE</v>
      </c>
      <c r="FC131">
        <v>2019</v>
      </c>
      <c r="FD131">
        <v>2016</v>
      </c>
      <c r="FE131" t="s">
        <v>30</v>
      </c>
      <c r="FF131" t="s">
        <v>31</v>
      </c>
      <c r="FG131" t="s">
        <v>31</v>
      </c>
      <c r="FH131" t="s">
        <v>31</v>
      </c>
      <c r="FI131" t="s">
        <v>31</v>
      </c>
      <c r="FJ131" t="s">
        <v>31</v>
      </c>
      <c r="FK131" t="s">
        <v>31</v>
      </c>
      <c r="FL131" t="s">
        <v>31</v>
      </c>
      <c r="FM131" t="s">
        <v>31</v>
      </c>
      <c r="FN131" t="s">
        <v>31</v>
      </c>
      <c r="FO131" t="s">
        <v>31</v>
      </c>
      <c r="FP131" t="s">
        <v>31</v>
      </c>
      <c r="FQ131" t="s">
        <v>31</v>
      </c>
      <c r="FR131" t="s">
        <v>31</v>
      </c>
      <c r="FS131" s="3">
        <v>24380</v>
      </c>
      <c r="FT131" s="3">
        <v>24380</v>
      </c>
      <c r="FW131" s="3">
        <v>24380</v>
      </c>
      <c r="FX131" s="3">
        <v>24380</v>
      </c>
      <c r="GE131" s="3">
        <v>540.75</v>
      </c>
      <c r="GG131" s="3">
        <v>24380</v>
      </c>
      <c r="GI131" t="s">
        <v>32</v>
      </c>
      <c r="GL131" t="s">
        <v>33</v>
      </c>
      <c r="GM131" t="s">
        <v>34</v>
      </c>
      <c r="GN131" t="s">
        <v>35</v>
      </c>
      <c r="GS131" t="str">
        <f>""</f>
        <v/>
      </c>
      <c r="GT131" t="str">
        <f>""</f>
        <v/>
      </c>
      <c r="HF131" t="str">
        <f>""</f>
        <v/>
      </c>
      <c r="HK131" t="str">
        <f>""</f>
        <v/>
      </c>
      <c r="HN131" t="s">
        <v>38</v>
      </c>
      <c r="HP131" t="str">
        <f>""</f>
        <v/>
      </c>
      <c r="HZ131" t="str">
        <f>""</f>
        <v/>
      </c>
      <c r="IA131" t="str">
        <f>HYPERLINK("https://web.datatree.com/?/property?propertyId=199635041")</f>
        <v>https://web.datatree.com/?/property?propertyId=199635041</v>
      </c>
    </row>
    <row r="132" spans="1:235" x14ac:dyDescent="0.3">
      <c r="A132" t="s">
        <v>539</v>
      </c>
      <c r="B132" t="s">
        <v>407</v>
      </c>
      <c r="C132" t="s">
        <v>407</v>
      </c>
      <c r="D132" t="s">
        <v>540</v>
      </c>
      <c r="E132" t="s">
        <v>3</v>
      </c>
      <c r="F132">
        <v>4</v>
      </c>
      <c r="G132" t="s">
        <v>541</v>
      </c>
      <c r="H132" t="s">
        <v>542</v>
      </c>
      <c r="I132" t="s">
        <v>542</v>
      </c>
      <c r="J132" t="s">
        <v>540</v>
      </c>
      <c r="K132" t="s">
        <v>3</v>
      </c>
      <c r="L132">
        <v>4</v>
      </c>
      <c r="O132" t="s">
        <v>543</v>
      </c>
      <c r="P132" t="s">
        <v>544</v>
      </c>
      <c r="T132" t="s">
        <v>55</v>
      </c>
      <c r="W132">
        <v>208</v>
      </c>
      <c r="Z132" t="s">
        <v>545</v>
      </c>
      <c r="AC132" t="s">
        <v>512</v>
      </c>
      <c r="AE132" t="s">
        <v>8</v>
      </c>
      <c r="AF132" t="str">
        <f>"78159"</f>
        <v>78159</v>
      </c>
      <c r="AG132" t="str">
        <f>"78159"</f>
        <v>78159</v>
      </c>
      <c r="AH132" t="s">
        <v>2</v>
      </c>
      <c r="AJ132" t="s">
        <v>546</v>
      </c>
      <c r="AK132" t="s">
        <v>547</v>
      </c>
      <c r="AP132" t="s">
        <v>548</v>
      </c>
      <c r="AS132" t="s">
        <v>512</v>
      </c>
      <c r="AU132" t="s">
        <v>8</v>
      </c>
      <c r="AV132" t="str">
        <f>"78159"</f>
        <v>78159</v>
      </c>
      <c r="AW132" t="s">
        <v>549</v>
      </c>
      <c r="AX132" t="s">
        <v>550</v>
      </c>
      <c r="AY132" t="s">
        <v>551</v>
      </c>
      <c r="AZ132" t="s">
        <v>18</v>
      </c>
      <c r="BA132" t="s">
        <v>552</v>
      </c>
      <c r="BB132" t="str">
        <f>"16911"</f>
        <v>16911</v>
      </c>
      <c r="BC132" t="str">
        <f>"16911"</f>
        <v>16911</v>
      </c>
      <c r="BD132" t="str">
        <f>"190402509011200000000"</f>
        <v>190402509011200000000</v>
      </c>
      <c r="BE132">
        <v>48177</v>
      </c>
      <c r="BG132">
        <v>600</v>
      </c>
      <c r="BH132">
        <v>2048</v>
      </c>
      <c r="BN132">
        <v>29.266127867272498</v>
      </c>
      <c r="BO132">
        <v>-97.641498020522207</v>
      </c>
      <c r="BP132" t="s">
        <v>553</v>
      </c>
      <c r="BX132" t="s">
        <v>22</v>
      </c>
      <c r="CA132" t="str">
        <f>""</f>
        <v/>
      </c>
      <c r="CD132">
        <v>0</v>
      </c>
      <c r="CO132">
        <v>0</v>
      </c>
      <c r="EA132" s="1">
        <v>1</v>
      </c>
      <c r="EC132" t="s">
        <v>23</v>
      </c>
      <c r="ED132" t="s">
        <v>24</v>
      </c>
      <c r="EE132" t="s">
        <v>25</v>
      </c>
      <c r="EG132">
        <v>83984</v>
      </c>
      <c r="EH132">
        <v>1.93</v>
      </c>
      <c r="EI132">
        <f t="shared" si="4"/>
        <v>28950</v>
      </c>
      <c r="EJ132">
        <f t="shared" si="5"/>
        <v>14475</v>
      </c>
      <c r="EW132" t="s">
        <v>26</v>
      </c>
      <c r="EX132" t="s">
        <v>491</v>
      </c>
      <c r="EY132" t="s">
        <v>492</v>
      </c>
      <c r="EZ132" s="2">
        <v>40515</v>
      </c>
      <c r="FA132" t="s">
        <v>524</v>
      </c>
      <c r="FB132" t="str">
        <f>"FALSE"</f>
        <v>FALSE</v>
      </c>
      <c r="FC132">
        <v>2019</v>
      </c>
      <c r="FD132">
        <v>2016</v>
      </c>
      <c r="FE132" t="s">
        <v>119</v>
      </c>
      <c r="FF132" t="s">
        <v>31</v>
      </c>
      <c r="FG132" t="s">
        <v>31</v>
      </c>
      <c r="FH132" t="s">
        <v>31</v>
      </c>
      <c r="FI132" t="s">
        <v>31</v>
      </c>
      <c r="FJ132" t="s">
        <v>31</v>
      </c>
      <c r="FK132" t="s">
        <v>31</v>
      </c>
      <c r="FL132" t="s">
        <v>31</v>
      </c>
      <c r="FM132" t="s">
        <v>31</v>
      </c>
      <c r="FN132" t="s">
        <v>31</v>
      </c>
      <c r="FO132" t="s">
        <v>31</v>
      </c>
      <c r="FP132" t="s">
        <v>31</v>
      </c>
      <c r="FQ132" t="s">
        <v>31</v>
      </c>
      <c r="FR132" t="s">
        <v>31</v>
      </c>
      <c r="FS132" s="3">
        <v>17770</v>
      </c>
      <c r="FT132" s="3">
        <v>17770</v>
      </c>
      <c r="FW132" s="3">
        <v>17770</v>
      </c>
      <c r="FX132" s="3">
        <v>17770</v>
      </c>
      <c r="GE132" s="3">
        <v>417.88</v>
      </c>
      <c r="GG132" s="3">
        <v>17770</v>
      </c>
      <c r="GI132" t="s">
        <v>120</v>
      </c>
      <c r="GL132" t="s">
        <v>121</v>
      </c>
      <c r="GM132" t="s">
        <v>122</v>
      </c>
      <c r="GN132" t="s">
        <v>123</v>
      </c>
      <c r="GS132" t="str">
        <f>""</f>
        <v/>
      </c>
      <c r="GT132" t="str">
        <f>""</f>
        <v/>
      </c>
      <c r="GV132" s="2">
        <v>36631</v>
      </c>
      <c r="GW132" s="3">
        <v>0</v>
      </c>
      <c r="GY132" t="s">
        <v>36</v>
      </c>
      <c r="GZ132" t="s">
        <v>37</v>
      </c>
      <c r="HF132" t="str">
        <f>""</f>
        <v/>
      </c>
      <c r="HK132" t="str">
        <f>""</f>
        <v/>
      </c>
      <c r="HN132" t="s">
        <v>38</v>
      </c>
      <c r="HP132" t="str">
        <f>"0008320994"</f>
        <v>0008320994</v>
      </c>
      <c r="HZ132" t="str">
        <f>""</f>
        <v/>
      </c>
      <c r="IA132" t="str">
        <f>HYPERLINK("https://web.datatree.com/?/property?propertyId=128795383")</f>
        <v>https://web.datatree.com/?/property?propertyId=128795383</v>
      </c>
    </row>
    <row r="133" spans="1:235" x14ac:dyDescent="0.3">
      <c r="A133" t="s">
        <v>554</v>
      </c>
      <c r="B133" t="s">
        <v>555</v>
      </c>
      <c r="C133" t="s">
        <v>556</v>
      </c>
      <c r="D133" t="s">
        <v>557</v>
      </c>
      <c r="E133" t="s">
        <v>3</v>
      </c>
      <c r="F133">
        <v>3</v>
      </c>
      <c r="G133" t="s">
        <v>558</v>
      </c>
      <c r="H133" t="s">
        <v>559</v>
      </c>
      <c r="I133" t="s">
        <v>560</v>
      </c>
      <c r="J133" t="s">
        <v>557</v>
      </c>
      <c r="K133" t="s">
        <v>3</v>
      </c>
      <c r="L133">
        <v>3</v>
      </c>
      <c r="O133" t="s">
        <v>561</v>
      </c>
      <c r="P133" t="s">
        <v>562</v>
      </c>
      <c r="T133" t="s">
        <v>5</v>
      </c>
      <c r="V133" t="s">
        <v>52</v>
      </c>
      <c r="W133">
        <v>400</v>
      </c>
      <c r="Z133" t="s">
        <v>563</v>
      </c>
      <c r="AC133" t="s">
        <v>512</v>
      </c>
      <c r="AE133" t="s">
        <v>8</v>
      </c>
      <c r="AF133" t="str">
        <f>"78159"</f>
        <v>78159</v>
      </c>
      <c r="AG133" t="str">
        <f>"78159"</f>
        <v>78159</v>
      </c>
      <c r="AH133" t="s">
        <v>2</v>
      </c>
      <c r="AJ133" t="s">
        <v>564</v>
      </c>
      <c r="AK133" t="s">
        <v>565</v>
      </c>
      <c r="AL133" t="s">
        <v>148</v>
      </c>
      <c r="AM133">
        <v>403</v>
      </c>
      <c r="AP133" t="s">
        <v>566</v>
      </c>
      <c r="AQ133" t="s">
        <v>105</v>
      </c>
      <c r="AS133" t="s">
        <v>106</v>
      </c>
      <c r="AT133" t="s">
        <v>106</v>
      </c>
      <c r="AU133" t="s">
        <v>8</v>
      </c>
      <c r="AV133" t="str">
        <f>"78140-2431"</f>
        <v>78140-2431</v>
      </c>
      <c r="AW133" t="s">
        <v>111</v>
      </c>
      <c r="AX133" t="s">
        <v>567</v>
      </c>
      <c r="AY133" t="s">
        <v>568</v>
      </c>
      <c r="AZ133" t="s">
        <v>18</v>
      </c>
      <c r="BA133" t="s">
        <v>569</v>
      </c>
      <c r="BB133" t="str">
        <f>"16917"</f>
        <v>16917</v>
      </c>
      <c r="BC133" t="str">
        <f>"16917"</f>
        <v>16917</v>
      </c>
      <c r="BD133" t="str">
        <f>"190405005011200000000"</f>
        <v>190405005011200000000</v>
      </c>
      <c r="BE133">
        <v>48177</v>
      </c>
      <c r="BG133">
        <v>600</v>
      </c>
      <c r="BH133">
        <v>2048</v>
      </c>
      <c r="BN133">
        <v>29.267498677050298</v>
      </c>
      <c r="BO133">
        <v>-97.641936797363897</v>
      </c>
      <c r="BP133" t="s">
        <v>553</v>
      </c>
      <c r="BX133" t="s">
        <v>22</v>
      </c>
      <c r="CA133" t="str">
        <f>"4|12"</f>
        <v>4|12</v>
      </c>
      <c r="CB133">
        <v>6</v>
      </c>
      <c r="CD133">
        <v>0</v>
      </c>
      <c r="CO133">
        <v>0</v>
      </c>
      <c r="EA133" s="1">
        <v>1</v>
      </c>
      <c r="EC133" t="s">
        <v>23</v>
      </c>
      <c r="ED133" t="s">
        <v>24</v>
      </c>
      <c r="EE133" t="s">
        <v>25</v>
      </c>
      <c r="EG133">
        <v>83984</v>
      </c>
      <c r="EH133">
        <v>1.93</v>
      </c>
      <c r="EI133">
        <f t="shared" si="4"/>
        <v>28950</v>
      </c>
      <c r="EJ133">
        <f t="shared" si="5"/>
        <v>14475</v>
      </c>
      <c r="EW133" t="s">
        <v>26</v>
      </c>
      <c r="EX133" t="s">
        <v>491</v>
      </c>
      <c r="EY133" t="s">
        <v>492</v>
      </c>
      <c r="EZ133" s="2">
        <v>40515</v>
      </c>
      <c r="FA133" t="s">
        <v>524</v>
      </c>
      <c r="FB133" t="str">
        <f>"FALSE"</f>
        <v>FALSE</v>
      </c>
      <c r="FC133">
        <v>2019</v>
      </c>
      <c r="FD133">
        <v>2016</v>
      </c>
      <c r="FE133" t="s">
        <v>119</v>
      </c>
      <c r="FF133" t="s">
        <v>31</v>
      </c>
      <c r="FG133" t="s">
        <v>31</v>
      </c>
      <c r="FH133" t="s">
        <v>31</v>
      </c>
      <c r="FI133" t="s">
        <v>31</v>
      </c>
      <c r="FJ133" t="s">
        <v>31</v>
      </c>
      <c r="FK133" t="s">
        <v>31</v>
      </c>
      <c r="FL133" t="s">
        <v>31</v>
      </c>
      <c r="FM133" t="s">
        <v>31</v>
      </c>
      <c r="FN133" t="s">
        <v>31</v>
      </c>
      <c r="FO133" t="s">
        <v>31</v>
      </c>
      <c r="FP133" t="s">
        <v>31</v>
      </c>
      <c r="FQ133" t="s">
        <v>31</v>
      </c>
      <c r="FR133" t="s">
        <v>31</v>
      </c>
      <c r="FS133" s="3">
        <v>11050</v>
      </c>
      <c r="FT133" s="3">
        <v>11050</v>
      </c>
      <c r="FW133" s="3">
        <v>11050</v>
      </c>
      <c r="FX133" s="3">
        <v>11050</v>
      </c>
      <c r="GE133" s="3">
        <v>259.85000000000002</v>
      </c>
      <c r="GG133" s="3">
        <v>11050</v>
      </c>
      <c r="GI133" t="s">
        <v>120</v>
      </c>
      <c r="GL133" t="s">
        <v>121</v>
      </c>
      <c r="GM133" t="s">
        <v>122</v>
      </c>
      <c r="GN133" t="s">
        <v>123</v>
      </c>
      <c r="GS133" t="str">
        <f>""</f>
        <v/>
      </c>
      <c r="GT133" t="str">
        <f>""</f>
        <v/>
      </c>
      <c r="GV133" s="2">
        <v>35886</v>
      </c>
      <c r="GW133" s="3">
        <v>0</v>
      </c>
      <c r="GY133" t="s">
        <v>36</v>
      </c>
      <c r="GZ133" t="s">
        <v>37</v>
      </c>
      <c r="HF133" t="str">
        <f>""</f>
        <v/>
      </c>
      <c r="HK133" t="str">
        <f>""</f>
        <v/>
      </c>
      <c r="HN133" t="s">
        <v>38</v>
      </c>
      <c r="HP133" t="str">
        <f>"0007960852"</f>
        <v>0007960852</v>
      </c>
      <c r="HZ133" t="str">
        <f>""</f>
        <v/>
      </c>
      <c r="IA133" t="str">
        <f>HYPERLINK("https://web.datatree.com/?/property?propertyId=128795389")</f>
        <v>https://web.datatree.com/?/property?propertyId=128795389</v>
      </c>
    </row>
    <row r="134" spans="1:235" x14ac:dyDescent="0.3">
      <c r="A134" t="s">
        <v>1739</v>
      </c>
      <c r="B134" t="s">
        <v>1740</v>
      </c>
      <c r="C134" t="s">
        <v>1741</v>
      </c>
      <c r="D134" t="s">
        <v>1742</v>
      </c>
      <c r="E134" t="s">
        <v>3</v>
      </c>
      <c r="F134">
        <v>2</v>
      </c>
      <c r="G134" t="s">
        <v>1743</v>
      </c>
      <c r="H134" t="s">
        <v>1744</v>
      </c>
      <c r="I134" t="s">
        <v>1192</v>
      </c>
      <c r="J134" t="s">
        <v>1745</v>
      </c>
      <c r="K134" t="s">
        <v>3</v>
      </c>
      <c r="L134">
        <v>1</v>
      </c>
      <c r="O134" t="s">
        <v>1746</v>
      </c>
      <c r="P134" t="s">
        <v>1747</v>
      </c>
      <c r="T134" t="s">
        <v>137</v>
      </c>
      <c r="W134">
        <v>115</v>
      </c>
      <c r="Z134" t="s">
        <v>1684</v>
      </c>
      <c r="AA134" t="s">
        <v>77</v>
      </c>
      <c r="AC134" t="s">
        <v>2</v>
      </c>
      <c r="AE134" t="s">
        <v>8</v>
      </c>
      <c r="AF134" t="str">
        <f>"78629"</f>
        <v>78629</v>
      </c>
      <c r="AG134" t="str">
        <f>"78629-3255"</f>
        <v>78629-3255</v>
      </c>
      <c r="AH134" t="s">
        <v>2</v>
      </c>
      <c r="AI134" t="s">
        <v>346</v>
      </c>
      <c r="AJ134" t="s">
        <v>1748</v>
      </c>
      <c r="AK134" t="s">
        <v>1749</v>
      </c>
      <c r="AM134">
        <v>115</v>
      </c>
      <c r="AP134" t="s">
        <v>1684</v>
      </c>
      <c r="AQ134" t="s">
        <v>77</v>
      </c>
      <c r="AS134" t="s">
        <v>2</v>
      </c>
      <c r="AU134" t="s">
        <v>8</v>
      </c>
      <c r="AV134" t="str">
        <f>"78629-3255"</f>
        <v>78629-3255</v>
      </c>
      <c r="AW134" t="s">
        <v>346</v>
      </c>
      <c r="AX134" t="s">
        <v>1748</v>
      </c>
      <c r="AY134" t="s">
        <v>1750</v>
      </c>
      <c r="BA134" t="s">
        <v>1751</v>
      </c>
      <c r="BB134" t="str">
        <f>"26910"</f>
        <v>26910</v>
      </c>
      <c r="BC134" t="str">
        <f>"26910"</f>
        <v>26910</v>
      </c>
      <c r="BD134" t="str">
        <f>"94711-05000-00000-000000"</f>
        <v>94711-05000-00000-000000</v>
      </c>
      <c r="BE134">
        <v>48177</v>
      </c>
      <c r="BG134">
        <v>200</v>
      </c>
      <c r="BH134">
        <v>3108</v>
      </c>
      <c r="BN134">
        <v>29.586509053196099</v>
      </c>
      <c r="BO134">
        <v>-97.4180929421549</v>
      </c>
      <c r="CA134" t="str">
        <f>""</f>
        <v/>
      </c>
      <c r="CD134">
        <v>0</v>
      </c>
      <c r="CO134">
        <v>0</v>
      </c>
      <c r="CP134">
        <v>0</v>
      </c>
      <c r="EA134" s="1">
        <v>1</v>
      </c>
      <c r="EC134" t="s">
        <v>23</v>
      </c>
      <c r="EE134" t="s">
        <v>25</v>
      </c>
      <c r="EG134">
        <v>87120</v>
      </c>
      <c r="EH134">
        <v>2</v>
      </c>
      <c r="EI134">
        <f t="shared" si="4"/>
        <v>30000</v>
      </c>
      <c r="EJ134">
        <f t="shared" si="5"/>
        <v>15000</v>
      </c>
      <c r="EW134" t="s">
        <v>26</v>
      </c>
      <c r="EX134" t="s">
        <v>584</v>
      </c>
      <c r="EY134" t="s">
        <v>585</v>
      </c>
      <c r="EZ134" s="2">
        <v>40515</v>
      </c>
      <c r="FA134" t="s">
        <v>143</v>
      </c>
      <c r="FB134" t="str">
        <f>"FALSE"</f>
        <v>FALSE</v>
      </c>
      <c r="FC134">
        <v>2019</v>
      </c>
      <c r="FD134">
        <v>2016</v>
      </c>
      <c r="FE134" t="s">
        <v>30</v>
      </c>
      <c r="FF134" t="s">
        <v>31</v>
      </c>
      <c r="FG134" t="s">
        <v>31</v>
      </c>
      <c r="FH134" t="s">
        <v>31</v>
      </c>
      <c r="FI134" t="s">
        <v>31</v>
      </c>
      <c r="FJ134" t="s">
        <v>31</v>
      </c>
      <c r="FK134" t="s">
        <v>31</v>
      </c>
      <c r="FL134" t="s">
        <v>31</v>
      </c>
      <c r="FM134" t="s">
        <v>31</v>
      </c>
      <c r="FN134" t="s">
        <v>31</v>
      </c>
      <c r="FO134" t="s">
        <v>31</v>
      </c>
      <c r="FP134" t="s">
        <v>31</v>
      </c>
      <c r="FQ134" t="s">
        <v>31</v>
      </c>
      <c r="FR134" t="s">
        <v>31</v>
      </c>
      <c r="FS134" s="3">
        <v>35000</v>
      </c>
      <c r="FT134" s="3">
        <v>35000</v>
      </c>
      <c r="FW134" s="3">
        <v>35000</v>
      </c>
      <c r="FX134" s="3">
        <v>35000</v>
      </c>
      <c r="GG134" s="3">
        <v>35000</v>
      </c>
      <c r="GI134" t="s">
        <v>32</v>
      </c>
      <c r="GL134" t="s">
        <v>33</v>
      </c>
      <c r="GM134" t="s">
        <v>34</v>
      </c>
      <c r="GN134" t="s">
        <v>35</v>
      </c>
      <c r="GS134" t="str">
        <f>""</f>
        <v/>
      </c>
      <c r="GT134" t="str">
        <f>""</f>
        <v/>
      </c>
      <c r="GU134" s="2">
        <v>42818</v>
      </c>
      <c r="GV134" s="2">
        <v>42824</v>
      </c>
      <c r="GW134" s="3">
        <v>61875</v>
      </c>
      <c r="GX134" t="s">
        <v>892</v>
      </c>
      <c r="GY134" t="s">
        <v>893</v>
      </c>
      <c r="GZ134" t="s">
        <v>1736</v>
      </c>
      <c r="HB134" s="3">
        <v>49500</v>
      </c>
      <c r="HC134" t="s">
        <v>895</v>
      </c>
      <c r="HF134" t="str">
        <f>"289451"</f>
        <v>289451</v>
      </c>
      <c r="HK134" t="str">
        <f>""</f>
        <v/>
      </c>
      <c r="HL134" t="s">
        <v>1752</v>
      </c>
      <c r="HM134" t="s">
        <v>1753</v>
      </c>
      <c r="HN134" t="s">
        <v>1738</v>
      </c>
      <c r="HP134" t="str">
        <f>"289450"</f>
        <v>289450</v>
      </c>
      <c r="HQ134" s="2">
        <v>42818</v>
      </c>
      <c r="HR134" s="2">
        <v>42824</v>
      </c>
      <c r="HS134" s="3">
        <v>61875</v>
      </c>
      <c r="HT134" t="s">
        <v>893</v>
      </c>
      <c r="HU134" t="s">
        <v>1752</v>
      </c>
      <c r="HV134" s="3">
        <v>49500</v>
      </c>
      <c r="HW134" t="s">
        <v>895</v>
      </c>
      <c r="HZ134" t="str">
        <f>"1251.555"</f>
        <v>1251.555</v>
      </c>
      <c r="IA134" t="str">
        <f>HYPERLINK("https://web.datatree.com/?/property?propertyId=199634521")</f>
        <v>https://web.datatree.com/?/property?propertyId=199634521</v>
      </c>
    </row>
    <row r="135" spans="1:235" x14ac:dyDescent="0.3">
      <c r="A135" t="s">
        <v>124</v>
      </c>
      <c r="D135" t="s">
        <v>124</v>
      </c>
      <c r="E135" t="s">
        <v>84</v>
      </c>
      <c r="F135">
        <v>3</v>
      </c>
      <c r="O135" t="s">
        <v>124</v>
      </c>
      <c r="P135" t="s">
        <v>124</v>
      </c>
      <c r="R135" t="s">
        <v>85</v>
      </c>
      <c r="T135" t="s">
        <v>5</v>
      </c>
      <c r="V135" t="s">
        <v>31</v>
      </c>
      <c r="W135">
        <v>500</v>
      </c>
      <c r="Z135" t="s">
        <v>106</v>
      </c>
      <c r="AA135" t="s">
        <v>105</v>
      </c>
      <c r="AC135" t="s">
        <v>106</v>
      </c>
      <c r="AE135" t="s">
        <v>8</v>
      </c>
      <c r="AF135" t="str">
        <f>"78140"</f>
        <v>78140</v>
      </c>
      <c r="AG135" t="str">
        <f>"78140-2667"</f>
        <v>78140-2667</v>
      </c>
      <c r="AH135" t="s">
        <v>2</v>
      </c>
      <c r="AJ135" t="s">
        <v>125</v>
      </c>
      <c r="AK135" t="s">
        <v>126</v>
      </c>
      <c r="AL135" t="s">
        <v>52</v>
      </c>
      <c r="AM135">
        <v>306</v>
      </c>
      <c r="AP135" t="s">
        <v>127</v>
      </c>
      <c r="AQ135" t="s">
        <v>105</v>
      </c>
      <c r="AS135" t="s">
        <v>106</v>
      </c>
      <c r="AT135" t="s">
        <v>106</v>
      </c>
      <c r="AU135" t="s">
        <v>8</v>
      </c>
      <c r="AV135" t="str">
        <f>"78140-2809"</f>
        <v>78140-2809</v>
      </c>
      <c r="AW135" t="s">
        <v>111</v>
      </c>
      <c r="AX135" t="s">
        <v>128</v>
      </c>
      <c r="AY135" t="s">
        <v>129</v>
      </c>
      <c r="AZ135" t="s">
        <v>18</v>
      </c>
      <c r="BA135" t="s">
        <v>130</v>
      </c>
      <c r="BB135" t="str">
        <f>"15707"</f>
        <v>15707</v>
      </c>
      <c r="BC135" t="str">
        <f>"15707"</f>
        <v>15707</v>
      </c>
      <c r="BD135" t="str">
        <f>"171603568000050000000"</f>
        <v>171603568000050000000</v>
      </c>
      <c r="BE135">
        <v>48177</v>
      </c>
      <c r="BG135">
        <v>500</v>
      </c>
      <c r="BH135">
        <v>3055</v>
      </c>
      <c r="BI135" t="s">
        <v>20</v>
      </c>
      <c r="BN135">
        <v>29.263229568680899</v>
      </c>
      <c r="BO135">
        <v>-97.764042218318494</v>
      </c>
      <c r="BP135" t="s">
        <v>115</v>
      </c>
      <c r="BX135" t="s">
        <v>22</v>
      </c>
      <c r="CA135" t="str">
        <f>""</f>
        <v/>
      </c>
      <c r="CC135">
        <v>3040</v>
      </c>
      <c r="CD135">
        <v>3040</v>
      </c>
      <c r="CO135">
        <v>0</v>
      </c>
      <c r="DA135" t="s">
        <v>131</v>
      </c>
      <c r="DC135" t="s">
        <v>131</v>
      </c>
      <c r="EA135" s="1">
        <v>1</v>
      </c>
      <c r="EC135" t="s">
        <v>23</v>
      </c>
      <c r="ED135" t="s">
        <v>24</v>
      </c>
      <c r="EE135" t="s">
        <v>25</v>
      </c>
      <c r="EG135">
        <v>87120</v>
      </c>
      <c r="EH135">
        <v>2</v>
      </c>
      <c r="EI135">
        <f t="shared" si="4"/>
        <v>30000</v>
      </c>
      <c r="EJ135">
        <f t="shared" si="5"/>
        <v>15000</v>
      </c>
      <c r="ER135">
        <v>2</v>
      </c>
      <c r="EW135" t="s">
        <v>26</v>
      </c>
      <c r="EX135" t="s">
        <v>116</v>
      </c>
      <c r="EY135" t="s">
        <v>117</v>
      </c>
      <c r="EZ135" s="2">
        <v>40515</v>
      </c>
      <c r="FA135" t="s">
        <v>118</v>
      </c>
      <c r="FB135" t="str">
        <f>"FALSE"</f>
        <v>FALSE</v>
      </c>
      <c r="FC135">
        <v>2019</v>
      </c>
      <c r="FD135">
        <v>2016</v>
      </c>
      <c r="FE135" t="s">
        <v>119</v>
      </c>
      <c r="FF135" t="s">
        <v>31</v>
      </c>
      <c r="FG135" t="s">
        <v>31</v>
      </c>
      <c r="FH135" t="s">
        <v>31</v>
      </c>
      <c r="FI135" t="s">
        <v>31</v>
      </c>
      <c r="FJ135" t="s">
        <v>31</v>
      </c>
      <c r="FK135" t="s">
        <v>31</v>
      </c>
      <c r="FL135" t="s">
        <v>31</v>
      </c>
      <c r="FM135" t="s">
        <v>31</v>
      </c>
      <c r="FN135" t="s">
        <v>31</v>
      </c>
      <c r="FO135" t="s">
        <v>31</v>
      </c>
      <c r="FP135" t="s">
        <v>31</v>
      </c>
      <c r="FQ135" t="s">
        <v>31</v>
      </c>
      <c r="FR135" t="s">
        <v>31</v>
      </c>
      <c r="FS135" s="3">
        <v>24680</v>
      </c>
      <c r="FT135" s="3">
        <v>24680</v>
      </c>
      <c r="FW135" s="3">
        <v>24680</v>
      </c>
      <c r="FX135" s="3">
        <v>24680</v>
      </c>
      <c r="GE135" s="3">
        <v>533.24</v>
      </c>
      <c r="GG135" s="3">
        <v>24680</v>
      </c>
      <c r="GI135" t="s">
        <v>120</v>
      </c>
      <c r="GL135" t="s">
        <v>121</v>
      </c>
      <c r="GM135" t="s">
        <v>122</v>
      </c>
      <c r="GN135" t="s">
        <v>123</v>
      </c>
      <c r="GS135" t="str">
        <f>""</f>
        <v/>
      </c>
      <c r="GT135" t="str">
        <f>""</f>
        <v/>
      </c>
      <c r="HF135" t="str">
        <f>""</f>
        <v/>
      </c>
      <c r="HK135" t="str">
        <f>""</f>
        <v/>
      </c>
      <c r="HN135" t="s">
        <v>38</v>
      </c>
      <c r="HP135" t="str">
        <f>""</f>
        <v/>
      </c>
      <c r="HZ135" t="str">
        <f>""</f>
        <v/>
      </c>
      <c r="IA135" t="str">
        <f>HYPERLINK("https://web.datatree.com/?/property?propertyId=128794278")</f>
        <v>https://web.datatree.com/?/property?propertyId=128794278</v>
      </c>
    </row>
    <row r="136" spans="1:235" x14ac:dyDescent="0.3">
      <c r="A136" t="s">
        <v>1333</v>
      </c>
      <c r="B136" t="s">
        <v>1110</v>
      </c>
      <c r="C136" t="s">
        <v>1110</v>
      </c>
      <c r="D136" t="s">
        <v>1334</v>
      </c>
      <c r="E136" t="s">
        <v>3</v>
      </c>
      <c r="F136">
        <v>2</v>
      </c>
      <c r="O136" t="s">
        <v>1335</v>
      </c>
      <c r="P136" t="s">
        <v>1333</v>
      </c>
      <c r="T136" t="s">
        <v>55</v>
      </c>
      <c r="W136">
        <v>509</v>
      </c>
      <c r="Z136" t="s">
        <v>227</v>
      </c>
      <c r="AC136" t="s">
        <v>2</v>
      </c>
      <c r="AE136" t="s">
        <v>8</v>
      </c>
      <c r="AF136" t="str">
        <f>"78629"</f>
        <v>78629</v>
      </c>
      <c r="AG136" t="str">
        <f>"78629"</f>
        <v>78629</v>
      </c>
      <c r="AH136" t="s">
        <v>2</v>
      </c>
      <c r="AJ136" t="s">
        <v>1336</v>
      </c>
      <c r="AK136" t="s">
        <v>1337</v>
      </c>
      <c r="AM136">
        <v>17346</v>
      </c>
      <c r="AP136" t="s">
        <v>1338</v>
      </c>
      <c r="AQ136" t="s">
        <v>77</v>
      </c>
      <c r="AS136" t="s">
        <v>374</v>
      </c>
      <c r="AU136" t="s">
        <v>8</v>
      </c>
      <c r="AV136" t="str">
        <f>"77095-4998"</f>
        <v>77095-4998</v>
      </c>
      <c r="AW136" t="s">
        <v>1339</v>
      </c>
      <c r="AX136" t="s">
        <v>1340</v>
      </c>
      <c r="AY136" t="s">
        <v>1341</v>
      </c>
      <c r="AZ136" t="s">
        <v>18</v>
      </c>
      <c r="BA136" t="s">
        <v>1342</v>
      </c>
      <c r="BB136" t="str">
        <f>"5292"</f>
        <v>5292</v>
      </c>
      <c r="BC136" t="str">
        <f>"5292"</f>
        <v>5292</v>
      </c>
      <c r="BD136" t="str">
        <f>"119005000000000000000"</f>
        <v>119005000000000000000</v>
      </c>
      <c r="BE136">
        <v>48177</v>
      </c>
      <c r="BG136">
        <v>400</v>
      </c>
      <c r="BH136">
        <v>2001</v>
      </c>
      <c r="BN136">
        <v>29.5892677122477</v>
      </c>
      <c r="BO136">
        <v>-97.606877632163702</v>
      </c>
      <c r="BX136" t="s">
        <v>22</v>
      </c>
      <c r="CA136" t="str">
        <f>""</f>
        <v/>
      </c>
      <c r="CC136">
        <v>1288</v>
      </c>
      <c r="CD136">
        <v>1456</v>
      </c>
      <c r="CH136">
        <v>1288</v>
      </c>
      <c r="CJ136">
        <v>1940</v>
      </c>
      <c r="CO136">
        <v>0</v>
      </c>
      <c r="CU136">
        <v>1</v>
      </c>
      <c r="DL136" t="s">
        <v>299</v>
      </c>
      <c r="DM136">
        <v>168</v>
      </c>
      <c r="EA136" s="1">
        <v>1</v>
      </c>
      <c r="EC136" t="s">
        <v>23</v>
      </c>
      <c r="ED136" t="s">
        <v>431</v>
      </c>
      <c r="EE136" t="s">
        <v>25</v>
      </c>
      <c r="EF136" t="s">
        <v>469</v>
      </c>
      <c r="EG136">
        <v>87120</v>
      </c>
      <c r="EH136">
        <v>2</v>
      </c>
      <c r="EI136">
        <f t="shared" si="4"/>
        <v>30000</v>
      </c>
      <c r="EJ136">
        <f t="shared" si="5"/>
        <v>15000</v>
      </c>
      <c r="ER136">
        <v>1</v>
      </c>
      <c r="EW136" t="s">
        <v>26</v>
      </c>
      <c r="EX136" t="s">
        <v>584</v>
      </c>
      <c r="EY136" t="s">
        <v>585</v>
      </c>
      <c r="EZ136" s="2">
        <v>40515</v>
      </c>
      <c r="FA136" t="s">
        <v>143</v>
      </c>
      <c r="FB136" t="str">
        <f>"FALSE"</f>
        <v>FALSE</v>
      </c>
      <c r="FC136">
        <v>2019</v>
      </c>
      <c r="FD136">
        <v>2016</v>
      </c>
      <c r="FE136" t="s">
        <v>30</v>
      </c>
      <c r="FF136" t="s">
        <v>31</v>
      </c>
      <c r="FG136" t="s">
        <v>31</v>
      </c>
      <c r="FH136" t="s">
        <v>31</v>
      </c>
      <c r="FI136" t="s">
        <v>31</v>
      </c>
      <c r="FJ136" t="s">
        <v>31</v>
      </c>
      <c r="FK136" t="s">
        <v>31</v>
      </c>
      <c r="FL136" t="s">
        <v>31</v>
      </c>
      <c r="FM136" t="s">
        <v>31</v>
      </c>
      <c r="FN136" t="s">
        <v>31</v>
      </c>
      <c r="FO136" t="s">
        <v>31</v>
      </c>
      <c r="FP136" t="s">
        <v>31</v>
      </c>
      <c r="FQ136" t="s">
        <v>31</v>
      </c>
      <c r="FR136" t="s">
        <v>31</v>
      </c>
      <c r="FS136" s="3">
        <v>18720</v>
      </c>
      <c r="FT136" s="3">
        <v>18720</v>
      </c>
      <c r="FW136" s="3">
        <v>18720</v>
      </c>
      <c r="FX136" s="3">
        <v>18720</v>
      </c>
      <c r="GE136" s="3">
        <v>1005.24</v>
      </c>
      <c r="GG136" s="3">
        <v>18720</v>
      </c>
      <c r="GI136" t="s">
        <v>32</v>
      </c>
      <c r="GL136" t="s">
        <v>33</v>
      </c>
      <c r="GM136" t="s">
        <v>34</v>
      </c>
      <c r="GN136" t="s">
        <v>35</v>
      </c>
      <c r="GS136" t="str">
        <f>""</f>
        <v/>
      </c>
      <c r="GT136" t="str">
        <f>""</f>
        <v/>
      </c>
      <c r="GV136" s="2">
        <v>37816</v>
      </c>
      <c r="GW136" s="3">
        <v>0</v>
      </c>
      <c r="GY136" t="s">
        <v>36</v>
      </c>
      <c r="GZ136" t="s">
        <v>37</v>
      </c>
      <c r="HA136" s="3">
        <v>0</v>
      </c>
      <c r="HF136" t="str">
        <f>""</f>
        <v/>
      </c>
      <c r="HK136" t="str">
        <f>""</f>
        <v/>
      </c>
      <c r="HN136" t="s">
        <v>38</v>
      </c>
      <c r="HP136" t="str">
        <f>"0008870338"</f>
        <v>0008870338</v>
      </c>
      <c r="HZ136" t="str">
        <f>""</f>
        <v/>
      </c>
      <c r="IA136" t="str">
        <f>HYPERLINK("https://web.datatree.com/?/property?propertyId=128802345")</f>
        <v>https://web.datatree.com/?/property?propertyId=128802345</v>
      </c>
    </row>
    <row r="137" spans="1:235" x14ac:dyDescent="0.3">
      <c r="A137" t="s">
        <v>178</v>
      </c>
      <c r="B137" t="s">
        <v>179</v>
      </c>
      <c r="C137" t="s">
        <v>179</v>
      </c>
      <c r="D137" t="s">
        <v>180</v>
      </c>
      <c r="E137" t="s">
        <v>3</v>
      </c>
      <c r="F137">
        <v>2</v>
      </c>
      <c r="O137" t="s">
        <v>181</v>
      </c>
      <c r="P137" t="s">
        <v>178</v>
      </c>
      <c r="T137" t="s">
        <v>5</v>
      </c>
      <c r="V137" t="s">
        <v>52</v>
      </c>
      <c r="W137">
        <v>706</v>
      </c>
      <c r="Z137" t="s">
        <v>182</v>
      </c>
      <c r="AC137" t="s">
        <v>106</v>
      </c>
      <c r="AE137" t="s">
        <v>8</v>
      </c>
      <c r="AF137" t="str">
        <f>"78140"</f>
        <v>78140</v>
      </c>
      <c r="AG137" t="str">
        <f>"78140-4533"</f>
        <v>78140-4533</v>
      </c>
      <c r="AH137" t="s">
        <v>2</v>
      </c>
      <c r="AI137" t="s">
        <v>172</v>
      </c>
      <c r="AJ137" t="s">
        <v>183</v>
      </c>
      <c r="AK137" t="s">
        <v>184</v>
      </c>
      <c r="AL137" t="s">
        <v>31</v>
      </c>
      <c r="AM137">
        <v>5552</v>
      </c>
      <c r="AP137" t="s">
        <v>182</v>
      </c>
      <c r="AS137" t="s">
        <v>106</v>
      </c>
      <c r="AU137" t="s">
        <v>8</v>
      </c>
      <c r="AV137" t="str">
        <f>"78140-5122"</f>
        <v>78140-5122</v>
      </c>
      <c r="AW137" t="s">
        <v>185</v>
      </c>
      <c r="AX137" t="s">
        <v>186</v>
      </c>
      <c r="AY137" t="s">
        <v>187</v>
      </c>
      <c r="AZ137" t="s">
        <v>18</v>
      </c>
      <c r="BA137" t="s">
        <v>188</v>
      </c>
      <c r="BB137" t="str">
        <f>"15755"</f>
        <v>15755</v>
      </c>
      <c r="BC137" t="str">
        <f>"15755"</f>
        <v>15755</v>
      </c>
      <c r="BD137" t="str">
        <f>"171622568000000000000"</f>
        <v>171622568000000000000</v>
      </c>
      <c r="BE137">
        <v>48177</v>
      </c>
      <c r="BG137">
        <v>500</v>
      </c>
      <c r="BH137">
        <v>2094</v>
      </c>
      <c r="BI137" t="s">
        <v>20</v>
      </c>
      <c r="BN137">
        <v>29.261563301691002</v>
      </c>
      <c r="BO137">
        <v>-97.763541397207206</v>
      </c>
      <c r="BP137" t="s">
        <v>115</v>
      </c>
      <c r="BX137" t="s">
        <v>22</v>
      </c>
      <c r="CA137" t="str">
        <f>""</f>
        <v/>
      </c>
      <c r="CD137">
        <v>0</v>
      </c>
      <c r="CO137">
        <v>0</v>
      </c>
      <c r="DA137" t="s">
        <v>131</v>
      </c>
      <c r="EA137" s="1">
        <v>1</v>
      </c>
      <c r="EC137" t="s">
        <v>23</v>
      </c>
      <c r="ED137" t="s">
        <v>24</v>
      </c>
      <c r="EE137" t="s">
        <v>25</v>
      </c>
      <c r="EG137">
        <v>87120</v>
      </c>
      <c r="EH137">
        <v>2</v>
      </c>
      <c r="EI137">
        <f t="shared" si="4"/>
        <v>30000</v>
      </c>
      <c r="EJ137">
        <f t="shared" si="5"/>
        <v>15000</v>
      </c>
      <c r="ER137">
        <v>1</v>
      </c>
      <c r="EW137" t="s">
        <v>26</v>
      </c>
      <c r="EX137" t="s">
        <v>116</v>
      </c>
      <c r="EY137" t="s">
        <v>117</v>
      </c>
      <c r="EZ137" s="2">
        <v>40515</v>
      </c>
      <c r="FA137" t="s">
        <v>118</v>
      </c>
      <c r="FB137" t="str">
        <f>"FALSE"</f>
        <v>FALSE</v>
      </c>
      <c r="FC137">
        <v>2019</v>
      </c>
      <c r="FD137">
        <v>2016</v>
      </c>
      <c r="FE137" t="s">
        <v>119</v>
      </c>
      <c r="FF137" t="s">
        <v>31</v>
      </c>
      <c r="FG137" t="s">
        <v>31</v>
      </c>
      <c r="FH137" t="s">
        <v>31</v>
      </c>
      <c r="FI137" t="s">
        <v>31</v>
      </c>
      <c r="FJ137" t="s">
        <v>31</v>
      </c>
      <c r="FK137" t="s">
        <v>31</v>
      </c>
      <c r="FL137" t="s">
        <v>31</v>
      </c>
      <c r="FM137" t="s">
        <v>31</v>
      </c>
      <c r="FN137" t="s">
        <v>31</v>
      </c>
      <c r="FO137" t="s">
        <v>31</v>
      </c>
      <c r="FP137" t="s">
        <v>31</v>
      </c>
      <c r="FQ137" t="s">
        <v>31</v>
      </c>
      <c r="FR137" t="s">
        <v>31</v>
      </c>
      <c r="FS137" s="3">
        <v>35500</v>
      </c>
      <c r="FT137" s="3">
        <v>24680</v>
      </c>
      <c r="FU137" s="3">
        <v>10820</v>
      </c>
      <c r="FV137">
        <v>30.48</v>
      </c>
      <c r="FW137" s="3">
        <v>35500</v>
      </c>
      <c r="FX137" s="3">
        <v>24680</v>
      </c>
      <c r="FY137" s="3">
        <v>10820</v>
      </c>
      <c r="FZ137">
        <v>30.48</v>
      </c>
      <c r="GE137" s="3">
        <v>720.13</v>
      </c>
      <c r="GG137" s="3">
        <v>35500</v>
      </c>
      <c r="GI137" t="s">
        <v>120</v>
      </c>
      <c r="GL137" t="s">
        <v>121</v>
      </c>
      <c r="GM137" t="s">
        <v>122</v>
      </c>
      <c r="GN137" t="s">
        <v>123</v>
      </c>
      <c r="GS137" t="str">
        <f>""</f>
        <v/>
      </c>
      <c r="GT137" t="str">
        <f>""</f>
        <v/>
      </c>
      <c r="GV137" s="2">
        <v>35373</v>
      </c>
      <c r="GW137" s="3">
        <v>0</v>
      </c>
      <c r="GY137" t="s">
        <v>36</v>
      </c>
      <c r="GZ137" t="s">
        <v>37</v>
      </c>
      <c r="HF137" t="str">
        <f>""</f>
        <v/>
      </c>
      <c r="HK137" t="str">
        <f>""</f>
        <v/>
      </c>
      <c r="HN137" t="s">
        <v>38</v>
      </c>
      <c r="HP137" t="str">
        <f>"0007380332"</f>
        <v>0007380332</v>
      </c>
      <c r="HZ137" t="str">
        <f>""</f>
        <v/>
      </c>
      <c r="IA137" t="str">
        <f>HYPERLINK("https://web.datatree.com/?/property?propertyId=128794327")</f>
        <v>https://web.datatree.com/?/property?propertyId=128794327</v>
      </c>
    </row>
    <row r="138" spans="1:235" x14ac:dyDescent="0.3">
      <c r="A138" t="s">
        <v>2032</v>
      </c>
      <c r="B138" t="s">
        <v>2033</v>
      </c>
      <c r="C138" t="s">
        <v>2034</v>
      </c>
      <c r="D138" t="s">
        <v>968</v>
      </c>
      <c r="E138" t="s">
        <v>3</v>
      </c>
      <c r="F138">
        <v>1</v>
      </c>
      <c r="G138" t="s">
        <v>2035</v>
      </c>
      <c r="H138" t="s">
        <v>2036</v>
      </c>
      <c r="I138" t="s">
        <v>2037</v>
      </c>
      <c r="J138" t="s">
        <v>968</v>
      </c>
      <c r="K138" t="s">
        <v>3</v>
      </c>
      <c r="L138">
        <v>1</v>
      </c>
      <c r="O138" t="s">
        <v>2038</v>
      </c>
      <c r="P138" t="s">
        <v>2039</v>
      </c>
      <c r="T138" t="s">
        <v>137</v>
      </c>
      <c r="Z138" t="s">
        <v>2040</v>
      </c>
      <c r="AC138" t="s">
        <v>2</v>
      </c>
      <c r="AE138" t="s">
        <v>8</v>
      </c>
      <c r="AF138" t="str">
        <f>"78629"</f>
        <v>78629</v>
      </c>
      <c r="AG138" t="str">
        <f>"78629"</f>
        <v>78629</v>
      </c>
      <c r="AH138" t="s">
        <v>2</v>
      </c>
      <c r="AJ138" t="s">
        <v>2041</v>
      </c>
      <c r="AK138" t="s">
        <v>2042</v>
      </c>
      <c r="AM138">
        <v>256</v>
      </c>
      <c r="AP138" t="s">
        <v>1684</v>
      </c>
      <c r="AQ138" t="s">
        <v>77</v>
      </c>
      <c r="AS138" t="s">
        <v>2</v>
      </c>
      <c r="AU138" t="s">
        <v>8</v>
      </c>
      <c r="AV138" t="str">
        <f>"78629-3251"</f>
        <v>78629-3251</v>
      </c>
      <c r="AW138" t="s">
        <v>346</v>
      </c>
      <c r="AX138" t="s">
        <v>2043</v>
      </c>
      <c r="AY138" t="s">
        <v>2044</v>
      </c>
      <c r="AZ138" t="s">
        <v>18</v>
      </c>
      <c r="BA138" t="s">
        <v>2045</v>
      </c>
      <c r="BB138" t="str">
        <f>"26921"</f>
        <v>26921</v>
      </c>
      <c r="BC138" t="str">
        <f>"26921"</f>
        <v>26921</v>
      </c>
      <c r="BD138" t="str">
        <f>"947111600000000000000"</f>
        <v>947111600000000000000</v>
      </c>
      <c r="BE138">
        <v>48177</v>
      </c>
      <c r="BG138">
        <v>400</v>
      </c>
      <c r="BH138">
        <v>2001</v>
      </c>
      <c r="BN138">
        <v>29.5850128611035</v>
      </c>
      <c r="BO138">
        <v>-97.421118915458493</v>
      </c>
      <c r="BP138" t="s">
        <v>1689</v>
      </c>
      <c r="BX138" t="s">
        <v>22</v>
      </c>
      <c r="CA138" t="str">
        <f>"16"</f>
        <v>16</v>
      </c>
      <c r="CD138">
        <v>0</v>
      </c>
      <c r="CO138">
        <v>0</v>
      </c>
      <c r="EA138" s="1">
        <v>1</v>
      </c>
      <c r="EC138" t="s">
        <v>23</v>
      </c>
      <c r="ED138" t="s">
        <v>933</v>
      </c>
      <c r="EE138" t="s">
        <v>25</v>
      </c>
      <c r="EG138">
        <v>87120</v>
      </c>
      <c r="EH138">
        <v>2</v>
      </c>
      <c r="EI138">
        <f t="shared" si="4"/>
        <v>30000</v>
      </c>
      <c r="EJ138">
        <f t="shared" si="5"/>
        <v>15000</v>
      </c>
      <c r="EW138" t="s">
        <v>26</v>
      </c>
      <c r="EX138" t="s">
        <v>683</v>
      </c>
      <c r="EY138" t="s">
        <v>684</v>
      </c>
      <c r="EZ138" s="2">
        <v>40515</v>
      </c>
      <c r="FA138" t="s">
        <v>143</v>
      </c>
      <c r="FB138" t="str">
        <f>"FALSE"</f>
        <v>FALSE</v>
      </c>
      <c r="FC138">
        <v>2019</v>
      </c>
      <c r="FD138">
        <v>2016</v>
      </c>
      <c r="FE138" t="s">
        <v>30</v>
      </c>
      <c r="FF138" t="s">
        <v>31</v>
      </c>
      <c r="FG138" t="s">
        <v>520</v>
      </c>
      <c r="FH138" t="s">
        <v>31</v>
      </c>
      <c r="FI138" t="s">
        <v>31</v>
      </c>
      <c r="FJ138" t="s">
        <v>31</v>
      </c>
      <c r="FK138" t="s">
        <v>31</v>
      </c>
      <c r="FL138" t="s">
        <v>31</v>
      </c>
      <c r="FM138" t="s">
        <v>31</v>
      </c>
      <c r="FN138" t="s">
        <v>31</v>
      </c>
      <c r="FO138" t="s">
        <v>31</v>
      </c>
      <c r="FP138" t="s">
        <v>31</v>
      </c>
      <c r="FQ138" t="s">
        <v>31</v>
      </c>
      <c r="FR138" t="s">
        <v>31</v>
      </c>
      <c r="FS138" s="3">
        <v>35000</v>
      </c>
      <c r="FT138" s="3">
        <v>35000</v>
      </c>
      <c r="FW138" s="3">
        <v>35000</v>
      </c>
      <c r="FX138" s="3">
        <v>35000</v>
      </c>
      <c r="GE138" s="3">
        <v>235.75</v>
      </c>
      <c r="GG138" s="3">
        <v>35000</v>
      </c>
      <c r="GI138" t="s">
        <v>32</v>
      </c>
      <c r="GL138" t="s">
        <v>33</v>
      </c>
      <c r="GM138" t="s">
        <v>34</v>
      </c>
      <c r="GN138" t="s">
        <v>35</v>
      </c>
      <c r="GS138" t="str">
        <f>""</f>
        <v/>
      </c>
      <c r="GT138" t="str">
        <f>""</f>
        <v/>
      </c>
      <c r="HF138" t="str">
        <f>""</f>
        <v/>
      </c>
      <c r="HK138" t="str">
        <f>""</f>
        <v/>
      </c>
      <c r="HN138" t="s">
        <v>38</v>
      </c>
      <c r="HP138" t="str">
        <f>""</f>
        <v/>
      </c>
      <c r="HZ138" t="str">
        <f>""</f>
        <v/>
      </c>
      <c r="IA138" t="str">
        <f>HYPERLINK("https://web.datatree.com/?/property?propertyId=199638251")</f>
        <v>https://web.datatree.com/?/property?propertyId=199638251</v>
      </c>
    </row>
    <row r="139" spans="1:235" x14ac:dyDescent="0.3">
      <c r="A139" t="s">
        <v>2057</v>
      </c>
      <c r="B139" t="s">
        <v>2058</v>
      </c>
      <c r="C139" t="s">
        <v>109</v>
      </c>
      <c r="D139" t="s">
        <v>2059</v>
      </c>
      <c r="E139" t="s">
        <v>3</v>
      </c>
      <c r="F139">
        <v>1</v>
      </c>
      <c r="O139" t="s">
        <v>2060</v>
      </c>
      <c r="P139" t="s">
        <v>2057</v>
      </c>
      <c r="T139" t="s">
        <v>55</v>
      </c>
      <c r="Z139" t="s">
        <v>2061</v>
      </c>
      <c r="AC139" t="s">
        <v>72</v>
      </c>
      <c r="AE139" t="s">
        <v>8</v>
      </c>
      <c r="AF139" t="str">
        <f>"78959"</f>
        <v>78959</v>
      </c>
      <c r="AG139" t="str">
        <f>"78959"</f>
        <v>78959</v>
      </c>
      <c r="AH139" t="s">
        <v>2</v>
      </c>
      <c r="AJ139" t="s">
        <v>2062</v>
      </c>
      <c r="AK139" t="s">
        <v>2063</v>
      </c>
      <c r="AM139">
        <v>4523</v>
      </c>
      <c r="AP139" t="s">
        <v>2064</v>
      </c>
      <c r="AQ139" t="s">
        <v>703</v>
      </c>
      <c r="AR139">
        <v>319</v>
      </c>
      <c r="AS139" t="s">
        <v>241</v>
      </c>
      <c r="AT139" t="s">
        <v>241</v>
      </c>
      <c r="AU139" t="s">
        <v>8</v>
      </c>
      <c r="AV139" t="str">
        <f>"78220-2537"</f>
        <v>78220-2537</v>
      </c>
      <c r="AW139" t="s">
        <v>2065</v>
      </c>
      <c r="AX139" t="s">
        <v>2066</v>
      </c>
      <c r="AY139" t="s">
        <v>2067</v>
      </c>
      <c r="AZ139" t="s">
        <v>18</v>
      </c>
      <c r="BA139" t="s">
        <v>1238</v>
      </c>
      <c r="BB139" t="str">
        <f>"9118"</f>
        <v>9118</v>
      </c>
      <c r="BC139" t="str">
        <f>"9118"</f>
        <v>9118</v>
      </c>
      <c r="BD139" t="str">
        <f>"141523500000000000000"</f>
        <v>141523500000000000000</v>
      </c>
      <c r="BE139">
        <v>48177</v>
      </c>
      <c r="BG139">
        <v>100</v>
      </c>
      <c r="BH139">
        <v>2028</v>
      </c>
      <c r="BN139">
        <v>29.684401506677698</v>
      </c>
      <c r="BO139">
        <v>-97.2975706045615</v>
      </c>
      <c r="BX139" t="s">
        <v>22</v>
      </c>
      <c r="CA139" t="str">
        <f>""</f>
        <v/>
      </c>
      <c r="CD139">
        <v>0</v>
      </c>
      <c r="CO139">
        <v>0</v>
      </c>
      <c r="EA139" s="1">
        <v>1</v>
      </c>
      <c r="EC139" t="s">
        <v>23</v>
      </c>
      <c r="ED139" t="s">
        <v>24</v>
      </c>
      <c r="EE139" t="s">
        <v>25</v>
      </c>
      <c r="EG139">
        <v>87120</v>
      </c>
      <c r="EH139">
        <v>2</v>
      </c>
      <c r="EI139">
        <f t="shared" si="4"/>
        <v>30000</v>
      </c>
      <c r="EJ139">
        <f t="shared" si="5"/>
        <v>15000</v>
      </c>
      <c r="EW139" t="s">
        <v>26</v>
      </c>
      <c r="EX139" t="s">
        <v>202</v>
      </c>
      <c r="EY139" t="s">
        <v>203</v>
      </c>
      <c r="EZ139" s="2">
        <v>40515</v>
      </c>
      <c r="FA139" t="s">
        <v>143</v>
      </c>
      <c r="FB139" t="str">
        <f>"FALSE"</f>
        <v>FALSE</v>
      </c>
      <c r="FC139">
        <v>2019</v>
      </c>
      <c r="FD139">
        <v>2016</v>
      </c>
      <c r="FE139" t="s">
        <v>205</v>
      </c>
      <c r="FF139" t="s">
        <v>31</v>
      </c>
      <c r="FG139" t="s">
        <v>31</v>
      </c>
      <c r="FH139" t="s">
        <v>31</v>
      </c>
      <c r="FI139" t="s">
        <v>31</v>
      </c>
      <c r="FJ139" t="s">
        <v>31</v>
      </c>
      <c r="FK139" t="s">
        <v>31</v>
      </c>
      <c r="FL139" t="s">
        <v>31</v>
      </c>
      <c r="FM139" t="s">
        <v>31</v>
      </c>
      <c r="FN139" t="s">
        <v>31</v>
      </c>
      <c r="FO139" t="s">
        <v>31</v>
      </c>
      <c r="FP139" t="s">
        <v>31</v>
      </c>
      <c r="FQ139" t="s">
        <v>31</v>
      </c>
      <c r="FR139" t="s">
        <v>31</v>
      </c>
      <c r="FS139" s="3">
        <v>27750</v>
      </c>
      <c r="FT139" s="3">
        <v>27750</v>
      </c>
      <c r="FW139" s="3">
        <v>27750</v>
      </c>
      <c r="FX139" s="3">
        <v>27750</v>
      </c>
      <c r="GE139" s="3">
        <v>557.94000000000005</v>
      </c>
      <c r="GG139" s="3">
        <v>27750</v>
      </c>
      <c r="GI139" t="s">
        <v>206</v>
      </c>
      <c r="GL139" t="s">
        <v>207</v>
      </c>
      <c r="GM139" t="s">
        <v>207</v>
      </c>
      <c r="GN139" t="s">
        <v>207</v>
      </c>
      <c r="GS139" t="str">
        <f>""</f>
        <v/>
      </c>
      <c r="GT139" t="str">
        <f>""</f>
        <v/>
      </c>
      <c r="HF139" t="str">
        <f>""</f>
        <v/>
      </c>
      <c r="HK139" t="str">
        <f>""</f>
        <v/>
      </c>
      <c r="HN139" t="s">
        <v>38</v>
      </c>
      <c r="HP139" t="str">
        <f>""</f>
        <v/>
      </c>
      <c r="HZ139" t="str">
        <f>""</f>
        <v/>
      </c>
      <c r="IA139" t="str">
        <f>HYPERLINK("https://web.datatree.com/?/property?propertyId=128806198")</f>
        <v>https://web.datatree.com/?/property?propertyId=128806198</v>
      </c>
    </row>
    <row r="140" spans="1:235" x14ac:dyDescent="0.3">
      <c r="A140" t="s">
        <v>504</v>
      </c>
      <c r="B140" t="s">
        <v>505</v>
      </c>
      <c r="C140" t="s">
        <v>506</v>
      </c>
      <c r="D140" t="s">
        <v>191</v>
      </c>
      <c r="E140" t="s">
        <v>3</v>
      </c>
      <c r="F140">
        <v>5</v>
      </c>
      <c r="G140" t="s">
        <v>507</v>
      </c>
      <c r="H140" t="s">
        <v>508</v>
      </c>
      <c r="I140" t="s">
        <v>508</v>
      </c>
      <c r="J140" t="s">
        <v>191</v>
      </c>
      <c r="K140" t="s">
        <v>3</v>
      </c>
      <c r="L140">
        <v>5</v>
      </c>
      <c r="O140" t="s">
        <v>509</v>
      </c>
      <c r="P140" t="s">
        <v>510</v>
      </c>
      <c r="T140" t="s">
        <v>55</v>
      </c>
      <c r="Z140" t="s">
        <v>511</v>
      </c>
      <c r="AA140" t="s">
        <v>7</v>
      </c>
      <c r="AC140" t="s">
        <v>512</v>
      </c>
      <c r="AE140" t="s">
        <v>8</v>
      </c>
      <c r="AF140" t="str">
        <f>"78159"</f>
        <v>78159</v>
      </c>
      <c r="AG140" t="str">
        <f>"78159"</f>
        <v>78159</v>
      </c>
      <c r="AH140" t="s">
        <v>2</v>
      </c>
      <c r="AJ140" t="s">
        <v>513</v>
      </c>
      <c r="AK140" t="s">
        <v>514</v>
      </c>
      <c r="AP140" t="s">
        <v>515</v>
      </c>
      <c r="AS140" t="s">
        <v>512</v>
      </c>
      <c r="AU140" t="s">
        <v>8</v>
      </c>
      <c r="AV140" t="str">
        <f>"78159"</f>
        <v>78159</v>
      </c>
      <c r="AW140" t="s">
        <v>254</v>
      </c>
      <c r="AX140" t="s">
        <v>516</v>
      </c>
      <c r="AY140" t="s">
        <v>517</v>
      </c>
      <c r="AZ140" t="s">
        <v>18</v>
      </c>
      <c r="BA140" t="s">
        <v>518</v>
      </c>
      <c r="BB140" t="str">
        <f>"16846"</f>
        <v>16846</v>
      </c>
      <c r="BC140" t="str">
        <f>"16846"</f>
        <v>16846</v>
      </c>
      <c r="BD140" t="str">
        <f>"190326042123450000000"</f>
        <v>190326042123450000000</v>
      </c>
      <c r="BE140">
        <v>48177</v>
      </c>
      <c r="BG140">
        <v>600</v>
      </c>
      <c r="BH140">
        <v>2048</v>
      </c>
      <c r="BN140">
        <v>29.272079043534401</v>
      </c>
      <c r="BO140">
        <v>-97.641680453667803</v>
      </c>
      <c r="BX140" t="s">
        <v>22</v>
      </c>
      <c r="CA140" t="str">
        <f>""</f>
        <v/>
      </c>
      <c r="CC140">
        <v>2354</v>
      </c>
      <c r="CD140">
        <v>2340</v>
      </c>
      <c r="CH140">
        <v>2354</v>
      </c>
      <c r="CJ140">
        <v>1980</v>
      </c>
      <c r="CO140">
        <v>0</v>
      </c>
      <c r="CW140" t="s">
        <v>519</v>
      </c>
      <c r="CX140">
        <v>680</v>
      </c>
      <c r="CY140" t="s">
        <v>520</v>
      </c>
      <c r="DG140" t="s">
        <v>521</v>
      </c>
      <c r="DH140" t="s">
        <v>522</v>
      </c>
      <c r="DL140" t="s">
        <v>289</v>
      </c>
      <c r="DM140">
        <v>100</v>
      </c>
      <c r="DU140" t="s">
        <v>523</v>
      </c>
      <c r="EA140" s="1">
        <v>1</v>
      </c>
      <c r="EC140" t="s">
        <v>23</v>
      </c>
      <c r="ED140" t="s">
        <v>431</v>
      </c>
      <c r="EE140" t="s">
        <v>25</v>
      </c>
      <c r="EG140">
        <v>87312</v>
      </c>
      <c r="EH140">
        <v>2</v>
      </c>
      <c r="EI140">
        <f t="shared" si="4"/>
        <v>30000</v>
      </c>
      <c r="EJ140">
        <f t="shared" si="5"/>
        <v>15000</v>
      </c>
      <c r="EK140">
        <v>372.8</v>
      </c>
      <c r="EL140">
        <v>186.4</v>
      </c>
      <c r="EM140">
        <v>17819.84</v>
      </c>
      <c r="EN140">
        <v>17819.84</v>
      </c>
      <c r="ER140">
        <v>1</v>
      </c>
      <c r="EW140" t="s">
        <v>26</v>
      </c>
      <c r="EX140" t="s">
        <v>491</v>
      </c>
      <c r="EY140" t="s">
        <v>492</v>
      </c>
      <c r="EZ140" s="2">
        <v>40515</v>
      </c>
      <c r="FA140" t="s">
        <v>524</v>
      </c>
      <c r="FB140" t="str">
        <f>"FALSE"</f>
        <v>FALSE</v>
      </c>
      <c r="FC140">
        <v>2019</v>
      </c>
      <c r="FD140">
        <v>2016</v>
      </c>
      <c r="FE140" t="s">
        <v>119</v>
      </c>
      <c r="FF140" t="s">
        <v>31</v>
      </c>
      <c r="FG140" t="s">
        <v>31</v>
      </c>
      <c r="FH140" t="s">
        <v>31</v>
      </c>
      <c r="FI140" t="s">
        <v>31</v>
      </c>
      <c r="FJ140" t="s">
        <v>31</v>
      </c>
      <c r="FK140" t="s">
        <v>31</v>
      </c>
      <c r="FL140" t="s">
        <v>31</v>
      </c>
      <c r="FM140" t="s">
        <v>31</v>
      </c>
      <c r="FN140" t="s">
        <v>31</v>
      </c>
      <c r="FO140" t="s">
        <v>31</v>
      </c>
      <c r="FP140" t="s">
        <v>31</v>
      </c>
      <c r="FQ140" t="s">
        <v>31</v>
      </c>
      <c r="FR140" t="s">
        <v>31</v>
      </c>
      <c r="FS140" s="3">
        <v>19780</v>
      </c>
      <c r="FT140" s="3">
        <v>17200</v>
      </c>
      <c r="FU140" s="3">
        <v>2580</v>
      </c>
      <c r="FV140">
        <v>13.04</v>
      </c>
      <c r="FW140" s="3">
        <v>19780</v>
      </c>
      <c r="FX140" s="3">
        <v>17200</v>
      </c>
      <c r="FY140" s="3">
        <v>2580</v>
      </c>
      <c r="FZ140">
        <v>13.04</v>
      </c>
      <c r="GE140" s="3">
        <v>217.99</v>
      </c>
      <c r="GG140" s="3">
        <v>19780</v>
      </c>
      <c r="GI140" t="s">
        <v>120</v>
      </c>
      <c r="GL140" t="s">
        <v>121</v>
      </c>
      <c r="GM140" t="s">
        <v>122</v>
      </c>
      <c r="GN140" t="s">
        <v>123</v>
      </c>
      <c r="GS140" t="str">
        <f>""</f>
        <v/>
      </c>
      <c r="GT140" t="str">
        <f>""</f>
        <v/>
      </c>
      <c r="HF140" t="str">
        <f>""</f>
        <v/>
      </c>
      <c r="HK140" t="str">
        <f>""</f>
        <v/>
      </c>
      <c r="HN140" t="s">
        <v>38</v>
      </c>
      <c r="HP140" t="str">
        <f>""</f>
        <v/>
      </c>
      <c r="HZ140" t="str">
        <f>""</f>
        <v/>
      </c>
      <c r="IA140" t="str">
        <f>HYPERLINK("https://web.datatree.com/?/property?propertyId=128795318")</f>
        <v>https://web.datatree.com/?/property?propertyId=128795318</v>
      </c>
    </row>
    <row r="141" spans="1:235" x14ac:dyDescent="0.3">
      <c r="A141" t="s">
        <v>1730</v>
      </c>
      <c r="B141" t="s">
        <v>1731</v>
      </c>
      <c r="C141" t="s">
        <v>1731</v>
      </c>
      <c r="D141" t="s">
        <v>540</v>
      </c>
      <c r="E141" t="s">
        <v>3</v>
      </c>
      <c r="F141">
        <v>1</v>
      </c>
      <c r="O141" t="s">
        <v>1732</v>
      </c>
      <c r="P141" t="s">
        <v>1730</v>
      </c>
      <c r="T141" t="s">
        <v>55</v>
      </c>
      <c r="AE141" t="s">
        <v>8</v>
      </c>
      <c r="AH141" t="s">
        <v>2</v>
      </c>
      <c r="AK141" t="s">
        <v>1113</v>
      </c>
      <c r="AM141">
        <v>120</v>
      </c>
      <c r="AP141" t="s">
        <v>1684</v>
      </c>
      <c r="AQ141" t="s">
        <v>77</v>
      </c>
      <c r="AS141" t="s">
        <v>2</v>
      </c>
      <c r="AU141" t="s">
        <v>8</v>
      </c>
      <c r="AV141" t="str">
        <f>"78629-3250"</f>
        <v>78629-3250</v>
      </c>
      <c r="AW141" t="s">
        <v>346</v>
      </c>
      <c r="AX141" t="s">
        <v>1733</v>
      </c>
      <c r="AY141" t="s">
        <v>1734</v>
      </c>
      <c r="AZ141" t="s">
        <v>18</v>
      </c>
      <c r="BA141" t="s">
        <v>1735</v>
      </c>
      <c r="BB141" t="str">
        <f>"26913"</f>
        <v>26913</v>
      </c>
      <c r="BC141" t="str">
        <f>"26913"</f>
        <v>26913</v>
      </c>
      <c r="BD141" t="str">
        <f>"94711-08000-00000-000000"</f>
        <v>94711-08000-00000-000000</v>
      </c>
      <c r="BE141">
        <v>48177</v>
      </c>
      <c r="BN141">
        <v>29.585016685699099</v>
      </c>
      <c r="BO141">
        <v>-97.419007554429996</v>
      </c>
      <c r="CA141" t="str">
        <f>""</f>
        <v/>
      </c>
      <c r="CD141">
        <v>0</v>
      </c>
      <c r="CO141">
        <v>0</v>
      </c>
      <c r="CP141">
        <v>0</v>
      </c>
      <c r="EA141" s="1">
        <v>1</v>
      </c>
      <c r="EC141" t="s">
        <v>23</v>
      </c>
      <c r="EE141" t="s">
        <v>25</v>
      </c>
      <c r="EG141">
        <v>87120</v>
      </c>
      <c r="EH141">
        <v>2</v>
      </c>
      <c r="EI141">
        <f t="shared" si="4"/>
        <v>30000</v>
      </c>
      <c r="EJ141">
        <f t="shared" si="5"/>
        <v>15000</v>
      </c>
      <c r="EW141" t="s">
        <v>26</v>
      </c>
      <c r="EX141" t="s">
        <v>584</v>
      </c>
      <c r="EY141" t="s">
        <v>585</v>
      </c>
      <c r="EZ141" s="2">
        <v>40515</v>
      </c>
      <c r="FA141" t="s">
        <v>143</v>
      </c>
      <c r="FB141" t="str">
        <f>"FALSE"</f>
        <v>FALSE</v>
      </c>
      <c r="FC141">
        <v>2019</v>
      </c>
      <c r="FD141">
        <v>2016</v>
      </c>
      <c r="FE141" t="s">
        <v>30</v>
      </c>
      <c r="FF141" t="s">
        <v>31</v>
      </c>
      <c r="FG141" t="s">
        <v>31</v>
      </c>
      <c r="FH141" t="s">
        <v>31</v>
      </c>
      <c r="FI141" t="s">
        <v>31</v>
      </c>
      <c r="FJ141" t="s">
        <v>31</v>
      </c>
      <c r="FK141" t="s">
        <v>31</v>
      </c>
      <c r="FL141" t="s">
        <v>31</v>
      </c>
      <c r="FM141" t="s">
        <v>31</v>
      </c>
      <c r="FN141" t="s">
        <v>31</v>
      </c>
      <c r="FO141" t="s">
        <v>31</v>
      </c>
      <c r="FP141" t="s">
        <v>31</v>
      </c>
      <c r="FQ141" t="s">
        <v>31</v>
      </c>
      <c r="FR141" t="s">
        <v>31</v>
      </c>
      <c r="FS141" s="3">
        <v>35000</v>
      </c>
      <c r="FT141" s="3">
        <v>35000</v>
      </c>
      <c r="FW141" s="3">
        <v>35000</v>
      </c>
      <c r="FX141" s="3">
        <v>35000</v>
      </c>
      <c r="GG141" s="3">
        <v>35000</v>
      </c>
      <c r="GI141" t="s">
        <v>32</v>
      </c>
      <c r="GL141" t="s">
        <v>33</v>
      </c>
      <c r="GM141" t="s">
        <v>34</v>
      </c>
      <c r="GN141" t="s">
        <v>35</v>
      </c>
      <c r="GS141" t="str">
        <f>""</f>
        <v/>
      </c>
      <c r="GT141" t="str">
        <f>""</f>
        <v/>
      </c>
      <c r="GU141" s="2">
        <v>42773</v>
      </c>
      <c r="GV141" s="2">
        <v>42773</v>
      </c>
      <c r="GW141" s="3">
        <v>33000</v>
      </c>
      <c r="GX141" t="s">
        <v>892</v>
      </c>
      <c r="GY141" t="s">
        <v>893</v>
      </c>
      <c r="GZ141" t="s">
        <v>1736</v>
      </c>
      <c r="HB141" s="3">
        <v>26400</v>
      </c>
      <c r="HF141" t="str">
        <f>"288846"</f>
        <v>288846</v>
      </c>
      <c r="HK141" t="str">
        <f>""</f>
        <v/>
      </c>
      <c r="HL141" t="s">
        <v>1737</v>
      </c>
      <c r="HM141" t="s">
        <v>1369</v>
      </c>
      <c r="HN141" t="s">
        <v>1738</v>
      </c>
      <c r="HP141" t="str">
        <f>"288845"</f>
        <v>288845</v>
      </c>
      <c r="HQ141" s="2">
        <v>42773</v>
      </c>
      <c r="HR141" s="2">
        <v>42773</v>
      </c>
      <c r="HS141" s="3">
        <v>33000</v>
      </c>
      <c r="HT141" t="s">
        <v>893</v>
      </c>
      <c r="HU141" t="s">
        <v>1737</v>
      </c>
      <c r="HV141" s="3">
        <v>26400</v>
      </c>
      <c r="HZ141" t="str">
        <f>"1247.842"</f>
        <v>1247.842</v>
      </c>
      <c r="IA141" t="str">
        <f>HYPERLINK("https://web.datatree.com/?/property?propertyId=199634359")</f>
        <v>https://web.datatree.com/?/property?propertyId=199634359</v>
      </c>
    </row>
    <row r="142" spans="1:235" x14ac:dyDescent="0.3">
      <c r="A142" t="s">
        <v>1862</v>
      </c>
      <c r="B142" t="s">
        <v>1863</v>
      </c>
      <c r="C142" t="s">
        <v>247</v>
      </c>
      <c r="D142" t="s">
        <v>1864</v>
      </c>
      <c r="E142" t="s">
        <v>3</v>
      </c>
      <c r="F142">
        <v>1</v>
      </c>
      <c r="G142" t="s">
        <v>1865</v>
      </c>
      <c r="H142" t="s">
        <v>1866</v>
      </c>
      <c r="I142" t="s">
        <v>247</v>
      </c>
      <c r="J142" t="s">
        <v>1864</v>
      </c>
      <c r="K142" t="s">
        <v>3</v>
      </c>
      <c r="L142">
        <v>1</v>
      </c>
      <c r="O142" t="s">
        <v>1867</v>
      </c>
      <c r="P142" t="s">
        <v>1868</v>
      </c>
      <c r="T142" t="s">
        <v>5</v>
      </c>
      <c r="V142" t="s">
        <v>31</v>
      </c>
      <c r="W142">
        <v>803</v>
      </c>
      <c r="Z142" t="s">
        <v>110</v>
      </c>
      <c r="AA142" t="s">
        <v>7</v>
      </c>
      <c r="AC142" t="s">
        <v>72</v>
      </c>
      <c r="AE142" t="s">
        <v>8</v>
      </c>
      <c r="AF142" t="str">
        <f>"78959"</f>
        <v>78959</v>
      </c>
      <c r="AG142" t="str">
        <f>"78959"</f>
        <v>78959</v>
      </c>
      <c r="AH142" t="s">
        <v>2</v>
      </c>
      <c r="AJ142" t="s">
        <v>1869</v>
      </c>
      <c r="AK142" t="s">
        <v>1870</v>
      </c>
      <c r="AM142">
        <v>200</v>
      </c>
      <c r="AP142" t="s">
        <v>1871</v>
      </c>
      <c r="AQ142" t="s">
        <v>7</v>
      </c>
      <c r="AR142" t="s">
        <v>1872</v>
      </c>
      <c r="AS142" t="s">
        <v>1035</v>
      </c>
      <c r="AT142" t="s">
        <v>1035</v>
      </c>
      <c r="AU142" t="s">
        <v>8</v>
      </c>
      <c r="AV142" t="str">
        <f>"78956-1311"</f>
        <v>78956-1311</v>
      </c>
      <c r="AX142" t="s">
        <v>1873</v>
      </c>
      <c r="AY142" t="s">
        <v>1874</v>
      </c>
      <c r="AZ142" t="s">
        <v>18</v>
      </c>
      <c r="BA142" t="s">
        <v>1875</v>
      </c>
      <c r="BB142" t="str">
        <f>"7283"</f>
        <v>7283</v>
      </c>
      <c r="BC142" t="str">
        <f>"7283"</f>
        <v>7283</v>
      </c>
      <c r="BD142" t="str">
        <f>"130316700000000000000"</f>
        <v>130316700000000000000</v>
      </c>
      <c r="BE142">
        <v>48177</v>
      </c>
      <c r="BG142">
        <v>100</v>
      </c>
      <c r="BH142">
        <v>2028</v>
      </c>
      <c r="BN142">
        <v>29.696970923013701</v>
      </c>
      <c r="BO142">
        <v>-97.292176172965597</v>
      </c>
      <c r="BX142" t="s">
        <v>22</v>
      </c>
      <c r="CA142" t="str">
        <f>""</f>
        <v/>
      </c>
      <c r="CB142">
        <v>2</v>
      </c>
      <c r="CD142">
        <v>0</v>
      </c>
      <c r="CO142">
        <v>0</v>
      </c>
      <c r="EA142" s="1">
        <v>1</v>
      </c>
      <c r="EC142" t="s">
        <v>23</v>
      </c>
      <c r="ED142" t="s">
        <v>24</v>
      </c>
      <c r="EE142" t="s">
        <v>25</v>
      </c>
      <c r="EG142">
        <v>88165</v>
      </c>
      <c r="EH142">
        <v>2.02</v>
      </c>
      <c r="EI142">
        <f t="shared" si="4"/>
        <v>30300</v>
      </c>
      <c r="EJ142">
        <f t="shared" si="5"/>
        <v>15150</v>
      </c>
      <c r="EW142" t="s">
        <v>26</v>
      </c>
      <c r="EX142" t="s">
        <v>202</v>
      </c>
      <c r="EY142" t="s">
        <v>203</v>
      </c>
      <c r="EZ142" s="2">
        <v>40515</v>
      </c>
      <c r="FA142" t="s">
        <v>204</v>
      </c>
      <c r="FB142" t="str">
        <f>"FALSE"</f>
        <v>FALSE</v>
      </c>
      <c r="FC142">
        <v>2019</v>
      </c>
      <c r="FD142">
        <v>2016</v>
      </c>
      <c r="FE142" t="s">
        <v>205</v>
      </c>
      <c r="FF142" t="s">
        <v>31</v>
      </c>
      <c r="FG142" t="s">
        <v>31</v>
      </c>
      <c r="FH142" t="s">
        <v>31</v>
      </c>
      <c r="FI142" t="s">
        <v>31</v>
      </c>
      <c r="FJ142" t="s">
        <v>31</v>
      </c>
      <c r="FK142" t="s">
        <v>31</v>
      </c>
      <c r="FL142" t="s">
        <v>31</v>
      </c>
      <c r="FM142" t="s">
        <v>31</v>
      </c>
      <c r="FN142" t="s">
        <v>31</v>
      </c>
      <c r="FO142" t="s">
        <v>31</v>
      </c>
      <c r="FP142" t="s">
        <v>31</v>
      </c>
      <c r="FQ142" t="s">
        <v>31</v>
      </c>
      <c r="FR142" t="s">
        <v>31</v>
      </c>
      <c r="FS142" s="3">
        <v>25400</v>
      </c>
      <c r="FT142" s="3">
        <v>25400</v>
      </c>
      <c r="FW142" s="3">
        <v>25400</v>
      </c>
      <c r="FX142" s="3">
        <v>25400</v>
      </c>
      <c r="GE142" s="3">
        <v>564.30999999999995</v>
      </c>
      <c r="GG142" s="3">
        <v>25400</v>
      </c>
      <c r="GI142" t="s">
        <v>206</v>
      </c>
      <c r="GL142" t="s">
        <v>207</v>
      </c>
      <c r="GM142" t="s">
        <v>207</v>
      </c>
      <c r="GN142" t="s">
        <v>207</v>
      </c>
      <c r="GS142" t="str">
        <f>""</f>
        <v/>
      </c>
      <c r="GT142" t="str">
        <f>""</f>
        <v/>
      </c>
      <c r="GV142" s="2">
        <v>39513</v>
      </c>
      <c r="GW142" s="3">
        <v>0</v>
      </c>
      <c r="GY142" t="s">
        <v>36</v>
      </c>
      <c r="GZ142" t="s">
        <v>37</v>
      </c>
      <c r="HF142" t="str">
        <f>""</f>
        <v/>
      </c>
      <c r="HK142" t="str">
        <f>""</f>
        <v/>
      </c>
      <c r="HN142" t="s">
        <v>38</v>
      </c>
      <c r="HP142" t="str">
        <f>"0009780006"</f>
        <v>0009780006</v>
      </c>
      <c r="HZ142" t="str">
        <f>""</f>
        <v/>
      </c>
      <c r="IA142" t="str">
        <f>HYPERLINK("https://web.datatree.com/?/property?propertyId=128804358")</f>
        <v>https://web.datatree.com/?/property?propertyId=128804358</v>
      </c>
    </row>
    <row r="143" spans="1:235" x14ac:dyDescent="0.3">
      <c r="A143" t="s">
        <v>2180</v>
      </c>
      <c r="B143" t="s">
        <v>2181</v>
      </c>
      <c r="C143" t="s">
        <v>2181</v>
      </c>
      <c r="D143" t="s">
        <v>2182</v>
      </c>
      <c r="E143" t="s">
        <v>3</v>
      </c>
      <c r="F143">
        <v>1</v>
      </c>
      <c r="G143" t="s">
        <v>2183</v>
      </c>
      <c r="H143" t="s">
        <v>2184</v>
      </c>
      <c r="I143" t="s">
        <v>2184</v>
      </c>
      <c r="J143" t="s">
        <v>2185</v>
      </c>
      <c r="K143" t="s">
        <v>3</v>
      </c>
      <c r="L143">
        <v>1</v>
      </c>
      <c r="O143" t="s">
        <v>2186</v>
      </c>
      <c r="P143" t="s">
        <v>2187</v>
      </c>
      <c r="T143" t="s">
        <v>55</v>
      </c>
      <c r="W143">
        <v>228</v>
      </c>
      <c r="Z143" t="s">
        <v>227</v>
      </c>
      <c r="AC143" t="s">
        <v>2</v>
      </c>
      <c r="AE143" t="s">
        <v>8</v>
      </c>
      <c r="AF143" t="str">
        <f>"78629"</f>
        <v>78629</v>
      </c>
      <c r="AG143" t="str">
        <f>"78629"</f>
        <v>78629</v>
      </c>
      <c r="AH143" t="s">
        <v>2</v>
      </c>
      <c r="AJ143" t="s">
        <v>2188</v>
      </c>
      <c r="AK143" t="s">
        <v>2189</v>
      </c>
      <c r="AM143">
        <v>615</v>
      </c>
      <c r="AP143" t="s">
        <v>2190</v>
      </c>
      <c r="AQ143" t="s">
        <v>645</v>
      </c>
      <c r="AS143" t="s">
        <v>317</v>
      </c>
      <c r="AU143" t="s">
        <v>8</v>
      </c>
      <c r="AV143" t="str">
        <f>"78632-4788"</f>
        <v>78632-4788</v>
      </c>
      <c r="AW143" t="s">
        <v>152</v>
      </c>
      <c r="AX143" t="s">
        <v>2191</v>
      </c>
      <c r="AY143" t="s">
        <v>2192</v>
      </c>
      <c r="AZ143" t="s">
        <v>18</v>
      </c>
      <c r="BA143" t="s">
        <v>2193</v>
      </c>
      <c r="BB143" t="str">
        <f>"28727"</f>
        <v>28727</v>
      </c>
      <c r="BC143" t="str">
        <f>"28727"</f>
        <v>28727</v>
      </c>
      <c r="BD143" t="str">
        <f>"13360-65000-00050-000000"</f>
        <v>13360-65000-00050-000000</v>
      </c>
      <c r="BE143">
        <v>48177</v>
      </c>
      <c r="BG143">
        <v>400</v>
      </c>
      <c r="BH143">
        <v>2001</v>
      </c>
      <c r="BN143">
        <v>29.4857449295897</v>
      </c>
      <c r="BO143">
        <v>-97.345486513762907</v>
      </c>
      <c r="CA143" t="str">
        <f>""</f>
        <v/>
      </c>
      <c r="CD143">
        <v>0</v>
      </c>
      <c r="CO143">
        <v>0</v>
      </c>
      <c r="CP143">
        <v>0</v>
      </c>
      <c r="EA143" s="1">
        <v>1</v>
      </c>
      <c r="EC143" t="s">
        <v>23</v>
      </c>
      <c r="EE143" t="s">
        <v>25</v>
      </c>
      <c r="EG143">
        <v>88427</v>
      </c>
      <c r="EH143">
        <v>2.0299999999999998</v>
      </c>
      <c r="EI143">
        <f t="shared" si="4"/>
        <v>30449.999999999996</v>
      </c>
      <c r="EJ143">
        <f t="shared" si="5"/>
        <v>15224.999999999998</v>
      </c>
      <c r="FB143" t="str">
        <f>"UNKNOWN"</f>
        <v>UNKNOWN</v>
      </c>
      <c r="FC143">
        <v>2019</v>
      </c>
      <c r="FD143">
        <v>2016</v>
      </c>
      <c r="FE143" t="s">
        <v>30</v>
      </c>
      <c r="FF143" t="s">
        <v>31</v>
      </c>
      <c r="FG143" t="s">
        <v>31</v>
      </c>
      <c r="FH143" t="s">
        <v>31</v>
      </c>
      <c r="FI143" t="s">
        <v>31</v>
      </c>
      <c r="FJ143" t="s">
        <v>31</v>
      </c>
      <c r="FK143" t="s">
        <v>31</v>
      </c>
      <c r="FL143" t="s">
        <v>31</v>
      </c>
      <c r="FM143" t="s">
        <v>31</v>
      </c>
      <c r="FN143" t="s">
        <v>31</v>
      </c>
      <c r="FO143" t="s">
        <v>31</v>
      </c>
      <c r="FP143" t="s">
        <v>31</v>
      </c>
      <c r="FQ143" t="s">
        <v>31</v>
      </c>
      <c r="FR143" t="s">
        <v>31</v>
      </c>
      <c r="FS143" s="3">
        <v>19530</v>
      </c>
      <c r="FT143" s="3">
        <v>19530</v>
      </c>
      <c r="FW143" s="3">
        <v>19530</v>
      </c>
      <c r="FX143" s="3">
        <v>19530</v>
      </c>
      <c r="GG143" s="3">
        <v>19530</v>
      </c>
      <c r="GI143" t="s">
        <v>32</v>
      </c>
      <c r="GL143" t="s">
        <v>273</v>
      </c>
      <c r="GM143" t="s">
        <v>34</v>
      </c>
      <c r="GN143" t="s">
        <v>35</v>
      </c>
      <c r="GS143" t="str">
        <f>""</f>
        <v/>
      </c>
      <c r="GT143" t="str">
        <f>""</f>
        <v/>
      </c>
      <c r="HF143" t="str">
        <f>""</f>
        <v/>
      </c>
      <c r="HK143" t="str">
        <f>""</f>
        <v/>
      </c>
      <c r="HN143" t="s">
        <v>38</v>
      </c>
      <c r="HP143" t="str">
        <f>""</f>
        <v/>
      </c>
      <c r="HZ143" t="str">
        <f>""</f>
        <v/>
      </c>
      <c r="IA143" t="str">
        <f>HYPERLINK("https://web.datatree.com/?/property?propertyId=226042578")</f>
        <v>https://web.datatree.com/?/property?propertyId=226042578</v>
      </c>
    </row>
    <row r="144" spans="1:235" x14ac:dyDescent="0.3">
      <c r="A144" t="s">
        <v>1675</v>
      </c>
      <c r="B144" t="s">
        <v>1676</v>
      </c>
      <c r="C144" t="s">
        <v>1677</v>
      </c>
      <c r="D144" t="s">
        <v>1678</v>
      </c>
      <c r="E144" t="s">
        <v>3</v>
      </c>
      <c r="F144">
        <v>2</v>
      </c>
      <c r="G144" t="s">
        <v>1679</v>
      </c>
      <c r="H144" t="s">
        <v>1680</v>
      </c>
      <c r="I144" t="s">
        <v>1681</v>
      </c>
      <c r="J144" t="s">
        <v>1678</v>
      </c>
      <c r="K144" t="s">
        <v>3</v>
      </c>
      <c r="L144">
        <v>2</v>
      </c>
      <c r="O144" t="s">
        <v>1682</v>
      </c>
      <c r="P144" t="s">
        <v>1683</v>
      </c>
      <c r="Q144" t="s">
        <v>907</v>
      </c>
      <c r="T144" t="s">
        <v>137</v>
      </c>
      <c r="W144">
        <v>245</v>
      </c>
      <c r="Z144" t="s">
        <v>1684</v>
      </c>
      <c r="AA144" t="s">
        <v>77</v>
      </c>
      <c r="AC144" t="s">
        <v>2</v>
      </c>
      <c r="AE144" t="s">
        <v>8</v>
      </c>
      <c r="AF144" t="str">
        <f>"78629"</f>
        <v>78629</v>
      </c>
      <c r="AG144" t="str">
        <f>"78629-3256"</f>
        <v>78629-3256</v>
      </c>
      <c r="AH144" t="s">
        <v>2</v>
      </c>
      <c r="AI144" t="s">
        <v>346</v>
      </c>
      <c r="AJ144" t="s">
        <v>1685</v>
      </c>
      <c r="AK144" t="s">
        <v>1686</v>
      </c>
      <c r="AM144">
        <v>245</v>
      </c>
      <c r="AP144" t="s">
        <v>1684</v>
      </c>
      <c r="AQ144" t="s">
        <v>77</v>
      </c>
      <c r="AS144" t="s">
        <v>2</v>
      </c>
      <c r="AU144" t="s">
        <v>8</v>
      </c>
      <c r="AV144" t="str">
        <f>"78629-3256"</f>
        <v>78629-3256</v>
      </c>
      <c r="AW144" t="s">
        <v>346</v>
      </c>
      <c r="AX144" t="s">
        <v>1685</v>
      </c>
      <c r="AY144" t="s">
        <v>1687</v>
      </c>
      <c r="BA144" t="s">
        <v>1688</v>
      </c>
      <c r="BB144" t="str">
        <f>"26920"</f>
        <v>26920</v>
      </c>
      <c r="BC144" t="str">
        <f>"26920"</f>
        <v>26920</v>
      </c>
      <c r="BD144" t="str">
        <f>"947111500000000000000"</f>
        <v>947111500000000000000</v>
      </c>
      <c r="BE144">
        <v>48177</v>
      </c>
      <c r="BG144">
        <v>200</v>
      </c>
      <c r="BH144">
        <v>3108</v>
      </c>
      <c r="BN144">
        <v>29.5866544882353</v>
      </c>
      <c r="BO144">
        <v>-97.420833771386995</v>
      </c>
      <c r="BP144" t="s">
        <v>1689</v>
      </c>
      <c r="BX144" t="s">
        <v>22</v>
      </c>
      <c r="CA144" t="str">
        <f>"15"</f>
        <v>15</v>
      </c>
      <c r="CD144">
        <v>0</v>
      </c>
      <c r="CO144">
        <v>0</v>
      </c>
      <c r="EA144" s="1">
        <v>1</v>
      </c>
      <c r="EC144" t="s">
        <v>23</v>
      </c>
      <c r="ED144" t="s">
        <v>933</v>
      </c>
      <c r="EE144" t="s">
        <v>25</v>
      </c>
      <c r="EG144">
        <v>91476</v>
      </c>
      <c r="EH144">
        <v>2.1</v>
      </c>
      <c r="EI144">
        <f t="shared" si="4"/>
        <v>31500</v>
      </c>
      <c r="EJ144">
        <f t="shared" si="5"/>
        <v>15750</v>
      </c>
      <c r="EW144" t="s">
        <v>26</v>
      </c>
      <c r="EX144" t="s">
        <v>683</v>
      </c>
      <c r="EY144" t="s">
        <v>684</v>
      </c>
      <c r="EZ144" s="2">
        <v>40515</v>
      </c>
      <c r="FA144" t="s">
        <v>143</v>
      </c>
      <c r="FB144" t="str">
        <f>"FALSE"</f>
        <v>FALSE</v>
      </c>
      <c r="FC144">
        <v>2019</v>
      </c>
      <c r="FD144">
        <v>2016</v>
      </c>
      <c r="FE144" t="s">
        <v>30</v>
      </c>
      <c r="FF144" t="s">
        <v>31</v>
      </c>
      <c r="FG144" t="s">
        <v>31</v>
      </c>
      <c r="FH144" t="s">
        <v>31</v>
      </c>
      <c r="FI144" t="s">
        <v>31</v>
      </c>
      <c r="FJ144" t="s">
        <v>31</v>
      </c>
      <c r="FK144" t="s">
        <v>31</v>
      </c>
      <c r="FL144" t="s">
        <v>31</v>
      </c>
      <c r="FM144" t="s">
        <v>31</v>
      </c>
      <c r="FN144" t="s">
        <v>31</v>
      </c>
      <c r="FO144" t="s">
        <v>31</v>
      </c>
      <c r="FP144" t="s">
        <v>31</v>
      </c>
      <c r="FQ144" t="s">
        <v>31</v>
      </c>
      <c r="FR144" t="s">
        <v>31</v>
      </c>
      <c r="FS144" s="3">
        <v>36750</v>
      </c>
      <c r="FT144" s="3">
        <v>36750</v>
      </c>
      <c r="FW144" s="3">
        <v>36750</v>
      </c>
      <c r="FX144" s="3">
        <v>36750</v>
      </c>
      <c r="GE144" s="3">
        <v>247.59</v>
      </c>
      <c r="GG144" s="3">
        <v>36750</v>
      </c>
      <c r="GI144" t="s">
        <v>32</v>
      </c>
      <c r="GL144" t="s">
        <v>33</v>
      </c>
      <c r="GM144" t="s">
        <v>34</v>
      </c>
      <c r="GN144" t="s">
        <v>35</v>
      </c>
      <c r="GS144" t="str">
        <f>""</f>
        <v/>
      </c>
      <c r="GT144" t="str">
        <f>""</f>
        <v/>
      </c>
      <c r="HF144" t="str">
        <f>""</f>
        <v/>
      </c>
      <c r="HK144" t="str">
        <f>""</f>
        <v/>
      </c>
      <c r="HN144" t="s">
        <v>38</v>
      </c>
      <c r="HP144" t="str">
        <f>""</f>
        <v/>
      </c>
      <c r="HZ144" t="str">
        <f>""</f>
        <v/>
      </c>
      <c r="IA144" t="str">
        <f>HYPERLINK("https://web.datatree.com/?/property?propertyId=199636140")</f>
        <v>https://web.datatree.com/?/property?propertyId=199636140</v>
      </c>
    </row>
    <row r="145" spans="1:235" x14ac:dyDescent="0.3">
      <c r="A145" t="s">
        <v>2225</v>
      </c>
      <c r="B145" t="s">
        <v>1982</v>
      </c>
      <c r="C145" t="s">
        <v>1982</v>
      </c>
      <c r="D145" t="s">
        <v>2226</v>
      </c>
      <c r="E145" t="s">
        <v>3</v>
      </c>
      <c r="F145">
        <v>2</v>
      </c>
      <c r="O145" t="s">
        <v>2227</v>
      </c>
      <c r="P145" t="s">
        <v>2225</v>
      </c>
      <c r="T145" t="s">
        <v>55</v>
      </c>
      <c r="W145">
        <v>436</v>
      </c>
      <c r="Z145" t="s">
        <v>227</v>
      </c>
      <c r="AC145" t="s">
        <v>317</v>
      </c>
      <c r="AE145" t="s">
        <v>8</v>
      </c>
      <c r="AF145" t="str">
        <f>"78632"</f>
        <v>78632</v>
      </c>
      <c r="AG145" t="str">
        <f>"78632"</f>
        <v>78632</v>
      </c>
      <c r="AH145" t="s">
        <v>2</v>
      </c>
      <c r="AJ145" t="s">
        <v>2228</v>
      </c>
      <c r="AK145" t="s">
        <v>2229</v>
      </c>
      <c r="AM145">
        <v>3644</v>
      </c>
      <c r="AP145" t="s">
        <v>2230</v>
      </c>
      <c r="AS145" t="s">
        <v>317</v>
      </c>
      <c r="AU145" t="s">
        <v>8</v>
      </c>
      <c r="AV145" t="str">
        <f>"78632-4133"</f>
        <v>78632-4133</v>
      </c>
      <c r="AW145" t="s">
        <v>152</v>
      </c>
      <c r="AX145" t="s">
        <v>2231</v>
      </c>
      <c r="AY145" t="s">
        <v>2232</v>
      </c>
      <c r="AZ145" t="s">
        <v>18</v>
      </c>
      <c r="BA145" t="s">
        <v>2233</v>
      </c>
      <c r="BB145" t="str">
        <f>"28677"</f>
        <v>28677</v>
      </c>
      <c r="BC145" t="str">
        <f>"28677"</f>
        <v>28677</v>
      </c>
      <c r="BD145" t="str">
        <f>"14960-25000-20101-000000"</f>
        <v>14960-25000-20101-000000</v>
      </c>
      <c r="BE145">
        <v>48177</v>
      </c>
      <c r="BG145">
        <v>100</v>
      </c>
      <c r="BH145">
        <v>1006</v>
      </c>
      <c r="BN145">
        <v>29.696899999999999</v>
      </c>
      <c r="BO145">
        <v>-97.453800000000001</v>
      </c>
      <c r="CA145" t="str">
        <f>""</f>
        <v/>
      </c>
      <c r="CD145">
        <v>0</v>
      </c>
      <c r="CO145">
        <v>0</v>
      </c>
      <c r="CP145">
        <v>0</v>
      </c>
      <c r="EA145" s="1">
        <v>1</v>
      </c>
      <c r="EC145" t="s">
        <v>23</v>
      </c>
      <c r="EE145" t="s">
        <v>25</v>
      </c>
      <c r="EG145">
        <v>91302</v>
      </c>
      <c r="EH145">
        <v>2.1</v>
      </c>
      <c r="EI145">
        <f t="shared" si="4"/>
        <v>31500</v>
      </c>
      <c r="EJ145">
        <f t="shared" si="5"/>
        <v>15750</v>
      </c>
      <c r="FB145" t="str">
        <f>"UNKNOWN"</f>
        <v>UNKNOWN</v>
      </c>
      <c r="FC145">
        <v>2019</v>
      </c>
      <c r="FD145">
        <v>2016</v>
      </c>
      <c r="FE145" t="s">
        <v>30</v>
      </c>
      <c r="FF145" t="s">
        <v>31</v>
      </c>
      <c r="FG145" t="s">
        <v>31</v>
      </c>
      <c r="FH145" t="s">
        <v>31</v>
      </c>
      <c r="FI145" t="s">
        <v>31</v>
      </c>
      <c r="FJ145" t="s">
        <v>31</v>
      </c>
      <c r="FK145" t="s">
        <v>31</v>
      </c>
      <c r="FL145" t="s">
        <v>31</v>
      </c>
      <c r="FM145" t="s">
        <v>31</v>
      </c>
      <c r="FN145" t="s">
        <v>31</v>
      </c>
      <c r="FO145" t="s">
        <v>31</v>
      </c>
      <c r="FP145" t="s">
        <v>31</v>
      </c>
      <c r="FQ145" t="s">
        <v>31</v>
      </c>
      <c r="FR145" t="s">
        <v>31</v>
      </c>
      <c r="FS145" s="3">
        <v>20170</v>
      </c>
      <c r="FT145" s="3">
        <v>20170</v>
      </c>
      <c r="FW145" s="3">
        <v>20170</v>
      </c>
      <c r="FX145" s="3">
        <v>20170</v>
      </c>
      <c r="GG145" s="3">
        <v>20170</v>
      </c>
      <c r="GI145" t="s">
        <v>32</v>
      </c>
      <c r="GL145" t="s">
        <v>33</v>
      </c>
      <c r="GM145" t="s">
        <v>34</v>
      </c>
      <c r="GN145" t="s">
        <v>35</v>
      </c>
      <c r="GS145" t="str">
        <f>""</f>
        <v/>
      </c>
      <c r="GT145" t="str">
        <f>""</f>
        <v/>
      </c>
      <c r="HF145" t="str">
        <f>""</f>
        <v/>
      </c>
      <c r="HK145" t="str">
        <f>""</f>
        <v/>
      </c>
      <c r="HN145" t="s">
        <v>38</v>
      </c>
      <c r="HP145" t="str">
        <f>""</f>
        <v/>
      </c>
      <c r="HZ145" t="str">
        <f>""</f>
        <v/>
      </c>
      <c r="IA145" t="str">
        <f>HYPERLINK("https://web.datatree.com/?/property?propertyId=226042530")</f>
        <v>https://web.datatree.com/?/property?propertyId=226042530</v>
      </c>
    </row>
    <row r="146" spans="1:235" x14ac:dyDescent="0.3">
      <c r="A146" t="s">
        <v>1690</v>
      </c>
      <c r="B146" t="s">
        <v>1691</v>
      </c>
      <c r="C146" t="s">
        <v>1691</v>
      </c>
      <c r="D146" t="s">
        <v>1692</v>
      </c>
      <c r="E146" t="s">
        <v>3</v>
      </c>
      <c r="F146">
        <v>1</v>
      </c>
      <c r="G146" t="s">
        <v>1693</v>
      </c>
      <c r="H146" t="s">
        <v>1694</v>
      </c>
      <c r="I146" t="s">
        <v>1695</v>
      </c>
      <c r="J146" t="s">
        <v>1696</v>
      </c>
      <c r="K146" t="s">
        <v>3</v>
      </c>
      <c r="L146">
        <v>1</v>
      </c>
      <c r="O146" t="s">
        <v>1697</v>
      </c>
      <c r="P146" t="s">
        <v>1698</v>
      </c>
      <c r="T146" t="s">
        <v>5</v>
      </c>
      <c r="W146">
        <v>53</v>
      </c>
      <c r="Z146" t="s">
        <v>1684</v>
      </c>
      <c r="AA146" t="s">
        <v>77</v>
      </c>
      <c r="AC146" t="s">
        <v>2</v>
      </c>
      <c r="AE146" t="s">
        <v>8</v>
      </c>
      <c r="AF146" t="str">
        <f>"78629"</f>
        <v>78629</v>
      </c>
      <c r="AG146" t="str">
        <f>"78629-3254"</f>
        <v>78629-3254</v>
      </c>
      <c r="AH146" t="s">
        <v>2</v>
      </c>
      <c r="AI146" t="s">
        <v>346</v>
      </c>
      <c r="AJ146" t="s">
        <v>1699</v>
      </c>
      <c r="AK146" t="s">
        <v>1700</v>
      </c>
      <c r="AM146">
        <v>1057</v>
      </c>
      <c r="AP146" t="s">
        <v>1701</v>
      </c>
      <c r="AQ146" t="s">
        <v>7</v>
      </c>
      <c r="AS146" t="s">
        <v>2</v>
      </c>
      <c r="AT146" t="s">
        <v>2</v>
      </c>
      <c r="AU146" t="s">
        <v>8</v>
      </c>
      <c r="AV146" t="str">
        <f>"78629"</f>
        <v>78629</v>
      </c>
      <c r="AX146" t="s">
        <v>1702</v>
      </c>
      <c r="AY146" t="s">
        <v>1703</v>
      </c>
      <c r="AZ146" t="s">
        <v>18</v>
      </c>
      <c r="BA146" t="s">
        <v>1704</v>
      </c>
      <c r="BB146" t="str">
        <f>"26906"</f>
        <v>26906</v>
      </c>
      <c r="BC146" t="str">
        <f>"26906"</f>
        <v>26906</v>
      </c>
      <c r="BD146" t="str">
        <f>"94711-01000-00000-000000"</f>
        <v>94711-01000-00000-000000</v>
      </c>
      <c r="BE146">
        <v>48177</v>
      </c>
      <c r="BG146">
        <v>200</v>
      </c>
      <c r="BH146">
        <v>3108</v>
      </c>
      <c r="BN146">
        <v>29.586358922983099</v>
      </c>
      <c r="BO146">
        <v>-97.416985166926807</v>
      </c>
      <c r="CA146" t="str">
        <f>""</f>
        <v/>
      </c>
      <c r="CD146">
        <v>0</v>
      </c>
      <c r="CO146">
        <v>0</v>
      </c>
      <c r="CP146">
        <v>0</v>
      </c>
      <c r="EA146" s="1">
        <v>1</v>
      </c>
      <c r="EC146" t="s">
        <v>23</v>
      </c>
      <c r="EE146" t="s">
        <v>25</v>
      </c>
      <c r="EG146">
        <v>91912</v>
      </c>
      <c r="EH146">
        <v>2.11</v>
      </c>
      <c r="EI146">
        <f t="shared" si="4"/>
        <v>31649.999999999996</v>
      </c>
      <c r="EJ146">
        <f t="shared" si="5"/>
        <v>15824.999999999998</v>
      </c>
      <c r="EW146" t="s">
        <v>26</v>
      </c>
      <c r="EX146" t="s">
        <v>27</v>
      </c>
      <c r="EY146" t="s">
        <v>28</v>
      </c>
      <c r="EZ146" s="2">
        <v>40515</v>
      </c>
      <c r="FA146" t="s">
        <v>143</v>
      </c>
      <c r="FB146" t="str">
        <f>"FALSE"</f>
        <v>FALSE</v>
      </c>
      <c r="FC146">
        <v>2019</v>
      </c>
      <c r="FD146">
        <v>2016</v>
      </c>
      <c r="FE146" t="s">
        <v>30</v>
      </c>
      <c r="FF146" t="s">
        <v>31</v>
      </c>
      <c r="FG146" t="s">
        <v>31</v>
      </c>
      <c r="FH146" t="s">
        <v>31</v>
      </c>
      <c r="FI146" t="s">
        <v>31</v>
      </c>
      <c r="FJ146" t="s">
        <v>31</v>
      </c>
      <c r="FK146" t="s">
        <v>31</v>
      </c>
      <c r="FL146" t="s">
        <v>31</v>
      </c>
      <c r="FM146" t="s">
        <v>31</v>
      </c>
      <c r="FN146" t="s">
        <v>31</v>
      </c>
      <c r="FO146" t="s">
        <v>31</v>
      </c>
      <c r="FP146" t="s">
        <v>31</v>
      </c>
      <c r="FQ146" t="s">
        <v>31</v>
      </c>
      <c r="FR146" t="s">
        <v>31</v>
      </c>
      <c r="FS146" s="3">
        <v>36930</v>
      </c>
      <c r="FT146" s="3">
        <v>36930</v>
      </c>
      <c r="FW146" s="3">
        <v>36930</v>
      </c>
      <c r="FX146" s="3">
        <v>36930</v>
      </c>
      <c r="GG146" s="3">
        <v>36930</v>
      </c>
      <c r="GI146" t="s">
        <v>32</v>
      </c>
      <c r="GL146" t="s">
        <v>33</v>
      </c>
      <c r="GM146" t="s">
        <v>34</v>
      </c>
      <c r="GN146" t="s">
        <v>35</v>
      </c>
      <c r="GS146" t="str">
        <f>""</f>
        <v/>
      </c>
      <c r="GT146" t="str">
        <f>""</f>
        <v/>
      </c>
      <c r="HF146" t="str">
        <f>""</f>
        <v/>
      </c>
      <c r="HK146" t="str">
        <f>""</f>
        <v/>
      </c>
      <c r="HN146" t="s">
        <v>38</v>
      </c>
      <c r="HP146" t="str">
        <f>""</f>
        <v/>
      </c>
      <c r="HZ146" t="str">
        <f>""</f>
        <v/>
      </c>
      <c r="IA146" t="str">
        <f>HYPERLINK("https://web.datatree.com/?/property?propertyId=199636286")</f>
        <v>https://web.datatree.com/?/property?propertyId=199636286</v>
      </c>
    </row>
    <row r="147" spans="1:235" x14ac:dyDescent="0.3">
      <c r="A147" t="s">
        <v>838</v>
      </c>
      <c r="D147" t="s">
        <v>838</v>
      </c>
      <c r="E147" t="s">
        <v>84</v>
      </c>
      <c r="F147">
        <v>3</v>
      </c>
      <c r="O147" t="s">
        <v>838</v>
      </c>
      <c r="P147" t="s">
        <v>838</v>
      </c>
      <c r="R147" t="s">
        <v>85</v>
      </c>
      <c r="T147" t="s">
        <v>55</v>
      </c>
      <c r="Z147" t="s">
        <v>739</v>
      </c>
      <c r="AA147" t="s">
        <v>740</v>
      </c>
      <c r="AC147" t="s">
        <v>2</v>
      </c>
      <c r="AE147" t="s">
        <v>8</v>
      </c>
      <c r="AF147" t="str">
        <f>"78629"</f>
        <v>78629</v>
      </c>
      <c r="AG147" t="str">
        <f>"78629"</f>
        <v>78629</v>
      </c>
      <c r="AH147" t="s">
        <v>2</v>
      </c>
      <c r="AJ147" t="s">
        <v>741</v>
      </c>
      <c r="AK147" t="s">
        <v>742</v>
      </c>
      <c r="AL147" t="s">
        <v>31</v>
      </c>
      <c r="AM147">
        <v>7245</v>
      </c>
      <c r="AP147" t="s">
        <v>59</v>
      </c>
      <c r="AS147" t="s">
        <v>2</v>
      </c>
      <c r="AU147" t="s">
        <v>8</v>
      </c>
      <c r="AV147" t="str">
        <f>"78629-5148"</f>
        <v>78629-5148</v>
      </c>
      <c r="AW147" t="s">
        <v>217</v>
      </c>
      <c r="AX147" t="s">
        <v>839</v>
      </c>
      <c r="AY147" t="s">
        <v>840</v>
      </c>
      <c r="AZ147" t="s">
        <v>18</v>
      </c>
      <c r="BA147" t="s">
        <v>841</v>
      </c>
      <c r="BB147" t="str">
        <f>"23692"</f>
        <v>23692</v>
      </c>
      <c r="BC147" t="str">
        <f>"23692"</f>
        <v>23692</v>
      </c>
      <c r="BD147" t="str">
        <f>"90591-00000-00000-000000"</f>
        <v>90591-00000-00000-000000</v>
      </c>
      <c r="BE147">
        <v>48177</v>
      </c>
      <c r="BG147">
        <v>400</v>
      </c>
      <c r="BH147">
        <v>2001</v>
      </c>
      <c r="BN147">
        <v>29.507200000000001</v>
      </c>
      <c r="BO147">
        <v>-97.452100000000002</v>
      </c>
      <c r="CA147" t="str">
        <f>""</f>
        <v/>
      </c>
      <c r="CD147">
        <v>0</v>
      </c>
      <c r="CO147">
        <v>0</v>
      </c>
      <c r="CP147">
        <v>0</v>
      </c>
      <c r="EA147" s="1">
        <v>1</v>
      </c>
      <c r="EC147" t="s">
        <v>731</v>
      </c>
      <c r="EE147" t="s">
        <v>732</v>
      </c>
      <c r="EG147">
        <v>94961</v>
      </c>
      <c r="EH147">
        <v>2.1800000000000002</v>
      </c>
      <c r="EI147">
        <f t="shared" si="4"/>
        <v>32700.000000000004</v>
      </c>
      <c r="EJ147">
        <f t="shared" si="5"/>
        <v>16350.000000000002</v>
      </c>
      <c r="EW147" t="s">
        <v>270</v>
      </c>
      <c r="EX147" t="s">
        <v>683</v>
      </c>
      <c r="EY147" t="s">
        <v>684</v>
      </c>
      <c r="EZ147" s="2">
        <v>40515</v>
      </c>
      <c r="FA147" t="s">
        <v>143</v>
      </c>
      <c r="FB147" t="str">
        <f>"TRUE"</f>
        <v>TRUE</v>
      </c>
      <c r="FC147">
        <v>2019</v>
      </c>
      <c r="FE147" t="s">
        <v>30</v>
      </c>
      <c r="FF147" t="s">
        <v>31</v>
      </c>
      <c r="FG147" t="s">
        <v>31</v>
      </c>
      <c r="FH147" t="s">
        <v>31</v>
      </c>
      <c r="FI147" t="s">
        <v>31</v>
      </c>
      <c r="FJ147" t="s">
        <v>31</v>
      </c>
      <c r="FK147" t="s">
        <v>31</v>
      </c>
      <c r="FL147" t="s">
        <v>31</v>
      </c>
      <c r="FM147" t="s">
        <v>31</v>
      </c>
      <c r="FN147" t="s">
        <v>31</v>
      </c>
      <c r="FO147" t="s">
        <v>31</v>
      </c>
      <c r="FP147" t="s">
        <v>31</v>
      </c>
      <c r="FQ147" t="s">
        <v>31</v>
      </c>
      <c r="FR147" t="s">
        <v>31</v>
      </c>
      <c r="FS147" s="3">
        <v>10900</v>
      </c>
      <c r="FT147" s="3">
        <v>10900</v>
      </c>
      <c r="FW147" s="3">
        <v>10900</v>
      </c>
      <c r="FX147" s="3">
        <v>10900</v>
      </c>
      <c r="GG147" s="3">
        <v>10900</v>
      </c>
      <c r="GS147" t="str">
        <f>""</f>
        <v/>
      </c>
      <c r="GT147" t="str">
        <f>""</f>
        <v/>
      </c>
      <c r="GV147" s="2">
        <v>38683</v>
      </c>
      <c r="GW147" s="3">
        <v>0</v>
      </c>
      <c r="GY147" t="s">
        <v>36</v>
      </c>
      <c r="GZ147" t="s">
        <v>37</v>
      </c>
      <c r="HF147" t="str">
        <f>""</f>
        <v/>
      </c>
      <c r="HK147" t="str">
        <f>""</f>
        <v/>
      </c>
      <c r="HN147" t="s">
        <v>38</v>
      </c>
      <c r="HP147" t="str">
        <f>"0009340127"</f>
        <v>0009340127</v>
      </c>
      <c r="HZ147" t="str">
        <f>""</f>
        <v/>
      </c>
      <c r="IA147" t="str">
        <f>HYPERLINK("https://web.datatree.com/?/property?propertyId=128798268")</f>
        <v>https://web.datatree.com/?/property?propertyId=128798268</v>
      </c>
    </row>
    <row r="148" spans="1:235" x14ac:dyDescent="0.3">
      <c r="A148" t="s">
        <v>2168</v>
      </c>
      <c r="B148" t="s">
        <v>2169</v>
      </c>
      <c r="C148" t="s">
        <v>900</v>
      </c>
      <c r="D148" t="s">
        <v>2170</v>
      </c>
      <c r="E148" t="s">
        <v>3</v>
      </c>
      <c r="F148">
        <v>3</v>
      </c>
      <c r="G148" t="s">
        <v>2171</v>
      </c>
      <c r="H148" t="s">
        <v>2172</v>
      </c>
      <c r="I148" t="s">
        <v>2172</v>
      </c>
      <c r="J148" t="s">
        <v>2170</v>
      </c>
      <c r="K148" t="s">
        <v>3</v>
      </c>
      <c r="L148">
        <v>3</v>
      </c>
      <c r="O148" t="s">
        <v>2173</v>
      </c>
      <c r="P148" t="s">
        <v>2174</v>
      </c>
      <c r="T148" t="s">
        <v>137</v>
      </c>
      <c r="W148">
        <v>4391</v>
      </c>
      <c r="Y148" t="s">
        <v>109</v>
      </c>
      <c r="Z148" t="s">
        <v>295</v>
      </c>
      <c r="AC148" t="s">
        <v>2</v>
      </c>
      <c r="AE148" t="s">
        <v>8</v>
      </c>
      <c r="AF148" t="str">
        <f>"78629"</f>
        <v>78629</v>
      </c>
      <c r="AG148" t="str">
        <f>"78629-6943"</f>
        <v>78629-6943</v>
      </c>
      <c r="AH148" t="s">
        <v>2</v>
      </c>
      <c r="AI148" t="s">
        <v>780</v>
      </c>
      <c r="AJ148" t="s">
        <v>2175</v>
      </c>
      <c r="AK148" t="s">
        <v>2176</v>
      </c>
      <c r="AM148">
        <v>4363</v>
      </c>
      <c r="AO148" t="s">
        <v>109</v>
      </c>
      <c r="AP148" t="s">
        <v>295</v>
      </c>
      <c r="AS148" t="s">
        <v>2</v>
      </c>
      <c r="AU148" t="s">
        <v>8</v>
      </c>
      <c r="AV148" t="str">
        <f>"78629-6943"</f>
        <v>78629-6943</v>
      </c>
      <c r="AW148" t="s">
        <v>780</v>
      </c>
      <c r="AX148" t="s">
        <v>2177</v>
      </c>
      <c r="AY148" t="s">
        <v>2178</v>
      </c>
      <c r="AZ148" t="s">
        <v>18</v>
      </c>
      <c r="BA148" t="s">
        <v>2179</v>
      </c>
      <c r="BB148" t="str">
        <f>"28726"</f>
        <v>28726</v>
      </c>
      <c r="BC148" t="str">
        <f>"28726"</f>
        <v>28726</v>
      </c>
      <c r="BD148" t="str">
        <f>"10721-80000-00050-000000"</f>
        <v>10721-80000-00050-000000</v>
      </c>
      <c r="BE148">
        <v>48177</v>
      </c>
      <c r="BG148">
        <v>200</v>
      </c>
      <c r="BH148">
        <v>1120</v>
      </c>
      <c r="BN148">
        <v>29.5041332433562</v>
      </c>
      <c r="BO148">
        <v>-97.401132480587904</v>
      </c>
      <c r="CA148" t="str">
        <f>""</f>
        <v/>
      </c>
      <c r="CD148">
        <v>0</v>
      </c>
      <c r="CO148">
        <v>0</v>
      </c>
      <c r="CP148">
        <v>0</v>
      </c>
      <c r="EA148" s="1">
        <v>1</v>
      </c>
      <c r="EC148" t="s">
        <v>23</v>
      </c>
      <c r="EE148" t="s">
        <v>25</v>
      </c>
      <c r="EG148">
        <v>95396</v>
      </c>
      <c r="EH148">
        <v>2.19</v>
      </c>
      <c r="EI148">
        <f t="shared" si="4"/>
        <v>32850</v>
      </c>
      <c r="EJ148">
        <f t="shared" si="5"/>
        <v>16425</v>
      </c>
      <c r="FB148" t="str">
        <f>"UNKNOWN"</f>
        <v>UNKNOWN</v>
      </c>
      <c r="FC148">
        <v>2019</v>
      </c>
      <c r="FD148">
        <v>2016</v>
      </c>
      <c r="FE148" t="s">
        <v>30</v>
      </c>
      <c r="FF148" t="s">
        <v>31</v>
      </c>
      <c r="FG148" t="s">
        <v>520</v>
      </c>
      <c r="FH148" t="s">
        <v>31</v>
      </c>
      <c r="FI148" t="s">
        <v>31</v>
      </c>
      <c r="FJ148" t="s">
        <v>31</v>
      </c>
      <c r="FK148" t="s">
        <v>31</v>
      </c>
      <c r="FL148" t="s">
        <v>31</v>
      </c>
      <c r="FM148" t="s">
        <v>31</v>
      </c>
      <c r="FN148" t="s">
        <v>31</v>
      </c>
      <c r="FO148" t="s">
        <v>31</v>
      </c>
      <c r="FP148" t="s">
        <v>31</v>
      </c>
      <c r="FQ148" t="s">
        <v>31</v>
      </c>
      <c r="FR148" t="s">
        <v>31</v>
      </c>
      <c r="FS148" s="3">
        <v>30770</v>
      </c>
      <c r="FT148" s="3">
        <v>28210</v>
      </c>
      <c r="FU148" s="3">
        <v>2560</v>
      </c>
      <c r="FV148">
        <v>8.32</v>
      </c>
      <c r="FW148" s="3">
        <v>30770</v>
      </c>
      <c r="FX148" s="3">
        <v>28210</v>
      </c>
      <c r="FY148" s="3">
        <v>2560</v>
      </c>
      <c r="FZ148">
        <v>8.32</v>
      </c>
      <c r="GG148" s="3">
        <v>30770</v>
      </c>
      <c r="GI148" t="s">
        <v>32</v>
      </c>
      <c r="GL148" t="s">
        <v>273</v>
      </c>
      <c r="GM148" t="s">
        <v>34</v>
      </c>
      <c r="GN148" t="s">
        <v>35</v>
      </c>
      <c r="GS148" t="str">
        <f>""</f>
        <v/>
      </c>
      <c r="GT148" t="str">
        <f>""</f>
        <v/>
      </c>
      <c r="HF148" t="str">
        <f>""</f>
        <v/>
      </c>
      <c r="HK148" t="str">
        <f>""</f>
        <v/>
      </c>
      <c r="HN148" t="s">
        <v>38</v>
      </c>
      <c r="HP148" t="str">
        <f>""</f>
        <v/>
      </c>
      <c r="HZ148" t="str">
        <f>""</f>
        <v/>
      </c>
      <c r="IA148" t="str">
        <f>HYPERLINK("https://web.datatree.com/?/property?propertyId=226042577")</f>
        <v>https://web.datatree.com/?/property?propertyId=226042577</v>
      </c>
    </row>
    <row r="149" spans="1:235" x14ac:dyDescent="0.3">
      <c r="A149" t="s">
        <v>997</v>
      </c>
      <c r="B149" t="s">
        <v>998</v>
      </c>
      <c r="C149" t="s">
        <v>797</v>
      </c>
      <c r="D149" t="s">
        <v>625</v>
      </c>
      <c r="E149" t="s">
        <v>3</v>
      </c>
      <c r="F149">
        <v>6</v>
      </c>
      <c r="O149" t="s">
        <v>999</v>
      </c>
      <c r="P149" t="s">
        <v>997</v>
      </c>
      <c r="T149" t="s">
        <v>55</v>
      </c>
      <c r="W149">
        <v>46</v>
      </c>
      <c r="Z149" t="s">
        <v>1000</v>
      </c>
      <c r="AA149" t="s">
        <v>73</v>
      </c>
      <c r="AC149" t="s">
        <v>2</v>
      </c>
      <c r="AE149" t="s">
        <v>8</v>
      </c>
      <c r="AF149" t="str">
        <f>"78629"</f>
        <v>78629</v>
      </c>
      <c r="AG149" t="str">
        <f>"78629-6140"</f>
        <v>78629-6140</v>
      </c>
      <c r="AH149" t="s">
        <v>2</v>
      </c>
      <c r="AJ149" t="s">
        <v>1001</v>
      </c>
      <c r="AK149" t="s">
        <v>1002</v>
      </c>
      <c r="AP149" t="s">
        <v>669</v>
      </c>
      <c r="AS149" t="s">
        <v>1003</v>
      </c>
      <c r="AT149" t="s">
        <v>769</v>
      </c>
      <c r="AU149" t="s">
        <v>8</v>
      </c>
      <c r="AV149" t="str">
        <f>"78604"</f>
        <v>78604</v>
      </c>
      <c r="AW149" t="s">
        <v>254</v>
      </c>
      <c r="AX149" t="s">
        <v>671</v>
      </c>
      <c r="AY149" t="s">
        <v>1004</v>
      </c>
      <c r="AZ149" t="s">
        <v>18</v>
      </c>
      <c r="BA149" t="s">
        <v>1005</v>
      </c>
      <c r="BB149" t="str">
        <f>"571"</f>
        <v>571</v>
      </c>
      <c r="BC149" t="str">
        <f>"571"</f>
        <v>571</v>
      </c>
      <c r="BD149" t="str">
        <f>"101912700002200000000"</f>
        <v>101912700002200000000</v>
      </c>
      <c r="BE149">
        <v>48177</v>
      </c>
      <c r="BG149">
        <v>200</v>
      </c>
      <c r="BH149">
        <v>2046</v>
      </c>
      <c r="BN149">
        <v>29.5062661270637</v>
      </c>
      <c r="BO149">
        <v>-97.639815298119998</v>
      </c>
      <c r="BP149" t="s">
        <v>1006</v>
      </c>
      <c r="BX149" t="s">
        <v>22</v>
      </c>
      <c r="CA149" t="str">
        <f>"22"</f>
        <v>22</v>
      </c>
      <c r="CD149">
        <v>0</v>
      </c>
      <c r="CO149">
        <v>0</v>
      </c>
      <c r="EA149" s="1">
        <v>1</v>
      </c>
      <c r="EC149" t="s">
        <v>23</v>
      </c>
      <c r="ED149" t="s">
        <v>24</v>
      </c>
      <c r="EE149" t="s">
        <v>25</v>
      </c>
      <c r="EG149">
        <v>96529</v>
      </c>
      <c r="EH149">
        <v>2.2200000000000002</v>
      </c>
      <c r="EI149">
        <f t="shared" si="4"/>
        <v>33300</v>
      </c>
      <c r="EJ149">
        <f t="shared" si="5"/>
        <v>16650</v>
      </c>
      <c r="EW149" t="s">
        <v>270</v>
      </c>
      <c r="EX149" t="s">
        <v>708</v>
      </c>
      <c r="EY149" t="s">
        <v>709</v>
      </c>
      <c r="EZ149" s="2">
        <v>40515</v>
      </c>
      <c r="FA149" t="s">
        <v>143</v>
      </c>
      <c r="FB149" t="str">
        <f>"TRUE"</f>
        <v>TRUE</v>
      </c>
      <c r="FC149">
        <v>2019</v>
      </c>
      <c r="FD149">
        <v>2016</v>
      </c>
      <c r="FE149" t="s">
        <v>30</v>
      </c>
      <c r="FF149" t="s">
        <v>31</v>
      </c>
      <c r="FG149" t="s">
        <v>31</v>
      </c>
      <c r="FH149" t="s">
        <v>31</v>
      </c>
      <c r="FI149" t="s">
        <v>31</v>
      </c>
      <c r="FJ149" t="s">
        <v>31</v>
      </c>
      <c r="FK149" t="s">
        <v>31</v>
      </c>
      <c r="FL149" t="s">
        <v>31</v>
      </c>
      <c r="FM149" t="s">
        <v>31</v>
      </c>
      <c r="FN149" t="s">
        <v>31</v>
      </c>
      <c r="FO149" t="s">
        <v>31</v>
      </c>
      <c r="FP149" t="s">
        <v>31</v>
      </c>
      <c r="FQ149" t="s">
        <v>31</v>
      </c>
      <c r="FR149" t="s">
        <v>31</v>
      </c>
      <c r="FS149" s="3">
        <v>22160</v>
      </c>
      <c r="FT149" s="3">
        <v>22160</v>
      </c>
      <c r="FW149" s="3">
        <v>22160</v>
      </c>
      <c r="FX149" s="3">
        <v>22160</v>
      </c>
      <c r="GE149" s="3">
        <v>452.31</v>
      </c>
      <c r="GG149" s="3">
        <v>22160</v>
      </c>
      <c r="GI149" t="s">
        <v>32</v>
      </c>
      <c r="GL149" t="s">
        <v>33</v>
      </c>
      <c r="GM149" t="s">
        <v>34</v>
      </c>
      <c r="GN149" t="s">
        <v>35</v>
      </c>
      <c r="GS149" t="str">
        <f>""</f>
        <v/>
      </c>
      <c r="GT149" t="str">
        <f>""</f>
        <v/>
      </c>
      <c r="GV149" s="2">
        <v>40709</v>
      </c>
      <c r="GW149" s="3">
        <v>0</v>
      </c>
      <c r="GY149" t="s">
        <v>36</v>
      </c>
      <c r="GZ149" t="s">
        <v>37</v>
      </c>
      <c r="HF149" t="str">
        <f>""</f>
        <v/>
      </c>
      <c r="HK149" t="str">
        <f>""</f>
        <v/>
      </c>
      <c r="HN149" t="s">
        <v>38</v>
      </c>
      <c r="HP149" t="str">
        <f>"0010560102"</f>
        <v>0010560102</v>
      </c>
      <c r="HZ149" t="str">
        <f>""</f>
        <v/>
      </c>
      <c r="IA149" t="str">
        <f>HYPERLINK("https://web.datatree.com/?/property?propertyId=128802766")</f>
        <v>https://web.datatree.com/?/property?propertyId=128802766</v>
      </c>
    </row>
    <row r="150" spans="1:235" x14ac:dyDescent="0.3">
      <c r="A150" t="s">
        <v>1876</v>
      </c>
      <c r="B150" t="s">
        <v>1877</v>
      </c>
      <c r="C150" t="s">
        <v>1265</v>
      </c>
      <c r="D150" t="s">
        <v>1878</v>
      </c>
      <c r="E150" t="s">
        <v>3</v>
      </c>
      <c r="F150">
        <v>1</v>
      </c>
      <c r="G150" t="s">
        <v>1879</v>
      </c>
      <c r="H150" t="s">
        <v>1880</v>
      </c>
      <c r="I150" t="s">
        <v>1880</v>
      </c>
      <c r="J150" t="s">
        <v>1878</v>
      </c>
      <c r="K150" t="s">
        <v>3</v>
      </c>
      <c r="L150">
        <v>1</v>
      </c>
      <c r="O150" t="s">
        <v>1881</v>
      </c>
      <c r="P150" t="s">
        <v>1882</v>
      </c>
      <c r="T150" t="s">
        <v>55</v>
      </c>
      <c r="Z150" t="s">
        <v>1883</v>
      </c>
      <c r="AC150" t="s">
        <v>72</v>
      </c>
      <c r="AE150" t="s">
        <v>8</v>
      </c>
      <c r="AF150" t="str">
        <f>"78959"</f>
        <v>78959</v>
      </c>
      <c r="AG150" t="str">
        <f>"78959"</f>
        <v>78959</v>
      </c>
      <c r="AH150" t="s">
        <v>2</v>
      </c>
      <c r="AJ150" t="s">
        <v>1884</v>
      </c>
      <c r="AK150" t="s">
        <v>1885</v>
      </c>
      <c r="AM150">
        <v>9223</v>
      </c>
      <c r="AP150" t="s">
        <v>1886</v>
      </c>
      <c r="AQ150" t="s">
        <v>703</v>
      </c>
      <c r="AS150" t="s">
        <v>374</v>
      </c>
      <c r="AU150" t="s">
        <v>8</v>
      </c>
      <c r="AV150" t="str">
        <f>"77040-2472"</f>
        <v>77040-2472</v>
      </c>
      <c r="AW150" t="s">
        <v>1887</v>
      </c>
      <c r="AX150" t="s">
        <v>1888</v>
      </c>
      <c r="AY150" t="s">
        <v>1889</v>
      </c>
      <c r="AZ150" t="s">
        <v>18</v>
      </c>
      <c r="BA150" t="s">
        <v>1064</v>
      </c>
      <c r="BB150" t="str">
        <f>"7285"</f>
        <v>7285</v>
      </c>
      <c r="BC150" t="str">
        <f>"7285"</f>
        <v>7285</v>
      </c>
      <c r="BD150" t="str">
        <f>"130317500000000000000"</f>
        <v>130317500000000000000</v>
      </c>
      <c r="BE150">
        <v>48177</v>
      </c>
      <c r="BG150">
        <v>100</v>
      </c>
      <c r="BH150">
        <v>2028</v>
      </c>
      <c r="BN150">
        <v>29.698942836938201</v>
      </c>
      <c r="BO150">
        <v>-97.2973189402733</v>
      </c>
      <c r="BX150" t="s">
        <v>22</v>
      </c>
      <c r="CA150" t="str">
        <f>""</f>
        <v/>
      </c>
      <c r="CC150">
        <v>440</v>
      </c>
      <c r="CD150">
        <v>440</v>
      </c>
      <c r="CO150">
        <v>0</v>
      </c>
      <c r="DA150" t="s">
        <v>363</v>
      </c>
      <c r="DC150" t="s">
        <v>364</v>
      </c>
      <c r="DD150">
        <v>440</v>
      </c>
      <c r="EA150" s="1">
        <v>1</v>
      </c>
      <c r="EC150" t="s">
        <v>23</v>
      </c>
      <c r="ED150" t="s">
        <v>24</v>
      </c>
      <c r="EE150" t="s">
        <v>25</v>
      </c>
      <c r="EG150">
        <v>99012</v>
      </c>
      <c r="EH150">
        <v>2.27</v>
      </c>
      <c r="EI150">
        <f t="shared" si="4"/>
        <v>34050</v>
      </c>
      <c r="EJ150">
        <f t="shared" si="5"/>
        <v>17025</v>
      </c>
      <c r="ER150">
        <v>1</v>
      </c>
      <c r="EW150" t="s">
        <v>26</v>
      </c>
      <c r="EX150" t="s">
        <v>202</v>
      </c>
      <c r="EY150" t="s">
        <v>203</v>
      </c>
      <c r="EZ150" s="2">
        <v>40515</v>
      </c>
      <c r="FA150" t="s">
        <v>204</v>
      </c>
      <c r="FB150" t="str">
        <f>"FALSE"</f>
        <v>FALSE</v>
      </c>
      <c r="FC150">
        <v>2019</v>
      </c>
      <c r="FD150">
        <v>2016</v>
      </c>
      <c r="FE150" t="s">
        <v>205</v>
      </c>
      <c r="FF150" t="s">
        <v>31</v>
      </c>
      <c r="FG150" t="s">
        <v>31</v>
      </c>
      <c r="FH150" t="s">
        <v>31</v>
      </c>
      <c r="FI150" t="s">
        <v>31</v>
      </c>
      <c r="FJ150" t="s">
        <v>31</v>
      </c>
      <c r="FK150" t="s">
        <v>31</v>
      </c>
      <c r="FL150" t="s">
        <v>31</v>
      </c>
      <c r="FM150" t="s">
        <v>31</v>
      </c>
      <c r="FN150" t="s">
        <v>31</v>
      </c>
      <c r="FO150" t="s">
        <v>31</v>
      </c>
      <c r="FP150" t="s">
        <v>31</v>
      </c>
      <c r="FQ150" t="s">
        <v>31</v>
      </c>
      <c r="FR150" t="s">
        <v>31</v>
      </c>
      <c r="FS150" s="3">
        <v>30170</v>
      </c>
      <c r="FT150" s="3">
        <v>28520</v>
      </c>
      <c r="FU150" s="3">
        <v>1650</v>
      </c>
      <c r="FV150">
        <v>5.47</v>
      </c>
      <c r="FW150" s="3">
        <v>30170</v>
      </c>
      <c r="FX150" s="3">
        <v>28520</v>
      </c>
      <c r="FY150" s="3">
        <v>1650</v>
      </c>
      <c r="FZ150">
        <v>5.47</v>
      </c>
      <c r="GE150" s="3">
        <v>670.29</v>
      </c>
      <c r="GG150" s="3">
        <v>30170</v>
      </c>
      <c r="GI150" t="s">
        <v>206</v>
      </c>
      <c r="GL150" t="s">
        <v>207</v>
      </c>
      <c r="GM150" t="s">
        <v>207</v>
      </c>
      <c r="GN150" t="s">
        <v>207</v>
      </c>
      <c r="GS150" t="str">
        <f>""</f>
        <v/>
      </c>
      <c r="GT150" t="str">
        <f>""</f>
        <v/>
      </c>
      <c r="HF150" t="str">
        <f>""</f>
        <v/>
      </c>
      <c r="HK150" t="str">
        <f>""</f>
        <v/>
      </c>
      <c r="HN150" t="s">
        <v>38</v>
      </c>
      <c r="HP150" t="str">
        <f>""</f>
        <v/>
      </c>
      <c r="HZ150" t="str">
        <f>""</f>
        <v/>
      </c>
      <c r="IA150" t="str">
        <f>HYPERLINK("https://web.datatree.com/?/property?propertyId=128804360")</f>
        <v>https://web.datatree.com/?/property?propertyId=128804360</v>
      </c>
    </row>
    <row r="151" spans="1:235" x14ac:dyDescent="0.3">
      <c r="A151" t="s">
        <v>685</v>
      </c>
      <c r="B151" t="s">
        <v>686</v>
      </c>
      <c r="C151" t="s">
        <v>686</v>
      </c>
      <c r="D151" t="s">
        <v>687</v>
      </c>
      <c r="E151" t="s">
        <v>3</v>
      </c>
      <c r="F151">
        <v>1</v>
      </c>
      <c r="O151" t="s">
        <v>688</v>
      </c>
      <c r="P151" t="s">
        <v>685</v>
      </c>
      <c r="T151" t="s">
        <v>55</v>
      </c>
      <c r="Z151" t="s">
        <v>511</v>
      </c>
      <c r="AA151" t="s">
        <v>7</v>
      </c>
      <c r="AC151" t="s">
        <v>512</v>
      </c>
      <c r="AE151" t="s">
        <v>8</v>
      </c>
      <c r="AF151" t="str">
        <f>"78159"</f>
        <v>78159</v>
      </c>
      <c r="AG151" t="str">
        <f>"78159"</f>
        <v>78159</v>
      </c>
      <c r="AH151" t="s">
        <v>2</v>
      </c>
      <c r="AJ151" t="s">
        <v>513</v>
      </c>
      <c r="AK151" t="s">
        <v>514</v>
      </c>
      <c r="AL151" t="s">
        <v>31</v>
      </c>
      <c r="AM151">
        <v>8410</v>
      </c>
      <c r="AP151" t="s">
        <v>689</v>
      </c>
      <c r="AQ151" t="s">
        <v>73</v>
      </c>
      <c r="AS151" t="s">
        <v>690</v>
      </c>
      <c r="AU151" t="s">
        <v>8</v>
      </c>
      <c r="AV151" t="str">
        <f>"78542-4767"</f>
        <v>78542-4767</v>
      </c>
      <c r="AW151" t="s">
        <v>691</v>
      </c>
      <c r="AX151" t="s">
        <v>692</v>
      </c>
      <c r="AY151" t="s">
        <v>693</v>
      </c>
      <c r="AZ151" t="s">
        <v>18</v>
      </c>
      <c r="BA151" t="s">
        <v>694</v>
      </c>
      <c r="BB151" t="str">
        <f>"21484"</f>
        <v>21484</v>
      </c>
      <c r="BC151" t="str">
        <f>"21484"</f>
        <v>21484</v>
      </c>
      <c r="BD151" t="str">
        <f>"190375001500000000000"</f>
        <v>190375001500000000000</v>
      </c>
      <c r="BE151">
        <v>48177</v>
      </c>
      <c r="BG151">
        <v>600</v>
      </c>
      <c r="BH151">
        <v>2048</v>
      </c>
      <c r="BN151">
        <v>29.2701211181787</v>
      </c>
      <c r="BO151">
        <v>-97.6380173715051</v>
      </c>
      <c r="BP151" t="s">
        <v>695</v>
      </c>
      <c r="BX151" t="s">
        <v>22</v>
      </c>
      <c r="CA151" t="str">
        <f>"1|4"</f>
        <v>1|4</v>
      </c>
      <c r="CB151">
        <v>15</v>
      </c>
      <c r="CD151">
        <v>0</v>
      </c>
      <c r="CO151">
        <v>0</v>
      </c>
      <c r="EA151" s="1">
        <v>1</v>
      </c>
      <c r="EC151" t="s">
        <v>23</v>
      </c>
      <c r="ED151" t="s">
        <v>24</v>
      </c>
      <c r="EE151" t="s">
        <v>25</v>
      </c>
      <c r="EG151">
        <v>99317</v>
      </c>
      <c r="EH151">
        <v>2.2799999999999998</v>
      </c>
      <c r="EI151">
        <f t="shared" si="4"/>
        <v>34200</v>
      </c>
      <c r="EJ151">
        <f t="shared" si="5"/>
        <v>17100</v>
      </c>
      <c r="EK151">
        <v>151.6</v>
      </c>
      <c r="EL151">
        <v>320.2</v>
      </c>
      <c r="EM151">
        <v>5611.5</v>
      </c>
      <c r="EN151">
        <v>5611.5</v>
      </c>
      <c r="EW151" t="s">
        <v>26</v>
      </c>
      <c r="EX151" t="s">
        <v>491</v>
      </c>
      <c r="EY151" t="s">
        <v>492</v>
      </c>
      <c r="EZ151" s="2">
        <v>40515</v>
      </c>
      <c r="FA151" t="s">
        <v>524</v>
      </c>
      <c r="FB151" t="str">
        <f>"FALSE"</f>
        <v>FALSE</v>
      </c>
      <c r="FC151">
        <v>2019</v>
      </c>
      <c r="FD151">
        <v>2016</v>
      </c>
      <c r="FE151" t="s">
        <v>119</v>
      </c>
      <c r="FF151" t="s">
        <v>31</v>
      </c>
      <c r="FG151" t="s">
        <v>31</v>
      </c>
      <c r="FH151" t="s">
        <v>31</v>
      </c>
      <c r="FI151" t="s">
        <v>31</v>
      </c>
      <c r="FJ151" t="s">
        <v>31</v>
      </c>
      <c r="FK151" t="s">
        <v>31</v>
      </c>
      <c r="FL151" t="s">
        <v>31</v>
      </c>
      <c r="FM151" t="s">
        <v>31</v>
      </c>
      <c r="FN151" t="s">
        <v>31</v>
      </c>
      <c r="FO151" t="s">
        <v>31</v>
      </c>
      <c r="FP151" t="s">
        <v>31</v>
      </c>
      <c r="FQ151" t="s">
        <v>31</v>
      </c>
      <c r="FR151" t="s">
        <v>31</v>
      </c>
      <c r="FS151" s="3">
        <v>28130</v>
      </c>
      <c r="FT151" s="3">
        <v>28130</v>
      </c>
      <c r="FW151" s="3">
        <v>28130</v>
      </c>
      <c r="FX151" s="3">
        <v>28130</v>
      </c>
      <c r="GE151" s="3">
        <v>114.29</v>
      </c>
      <c r="GG151" s="3">
        <v>28130</v>
      </c>
      <c r="GI151" t="s">
        <v>120</v>
      </c>
      <c r="GL151" t="s">
        <v>121</v>
      </c>
      <c r="GM151" t="s">
        <v>122</v>
      </c>
      <c r="GN151" t="s">
        <v>123</v>
      </c>
      <c r="GS151" t="str">
        <f>""</f>
        <v/>
      </c>
      <c r="GT151" t="str">
        <f>""</f>
        <v/>
      </c>
      <c r="GV151" s="2">
        <v>41002</v>
      </c>
      <c r="GW151" s="3">
        <v>0</v>
      </c>
      <c r="GY151" t="s">
        <v>36</v>
      </c>
      <c r="GZ151" t="s">
        <v>37</v>
      </c>
      <c r="HF151" t="str">
        <f>""</f>
        <v/>
      </c>
      <c r="HK151" t="str">
        <f>""</f>
        <v/>
      </c>
      <c r="HN151" t="s">
        <v>38</v>
      </c>
      <c r="HP151" t="str">
        <f>"0010830896"</f>
        <v>0010830896</v>
      </c>
      <c r="HZ151" t="str">
        <f>""</f>
        <v/>
      </c>
      <c r="IA151" t="str">
        <f>HYPERLINK("https://web.datatree.com/?/property?propertyId=128797142")</f>
        <v>https://web.datatree.com/?/property?propertyId=128797142</v>
      </c>
    </row>
    <row r="152" spans="1:235" x14ac:dyDescent="0.3">
      <c r="A152" t="s">
        <v>300</v>
      </c>
      <c r="B152" t="s">
        <v>301</v>
      </c>
      <c r="C152" t="s">
        <v>301</v>
      </c>
      <c r="D152" t="s">
        <v>302</v>
      </c>
      <c r="E152" t="s">
        <v>3</v>
      </c>
      <c r="F152">
        <v>1</v>
      </c>
      <c r="O152" t="s">
        <v>303</v>
      </c>
      <c r="P152" t="s">
        <v>300</v>
      </c>
      <c r="T152" t="s">
        <v>55</v>
      </c>
      <c r="V152" t="s">
        <v>148</v>
      </c>
      <c r="W152">
        <v>301</v>
      </c>
      <c r="Z152" t="s">
        <v>292</v>
      </c>
      <c r="AA152" t="s">
        <v>7</v>
      </c>
      <c r="AC152" t="s">
        <v>2</v>
      </c>
      <c r="AE152" t="s">
        <v>8</v>
      </c>
      <c r="AF152" t="str">
        <f>"78629"</f>
        <v>78629</v>
      </c>
      <c r="AG152" t="str">
        <f>"78629-3447"</f>
        <v>78629-3447</v>
      </c>
      <c r="AH152" t="s">
        <v>2</v>
      </c>
      <c r="AI152" t="s">
        <v>281</v>
      </c>
      <c r="AJ152" t="s">
        <v>304</v>
      </c>
      <c r="AK152" t="s">
        <v>305</v>
      </c>
      <c r="AP152" t="s">
        <v>306</v>
      </c>
      <c r="AS152" t="s">
        <v>2</v>
      </c>
      <c r="AT152" t="s">
        <v>2</v>
      </c>
      <c r="AU152" t="s">
        <v>8</v>
      </c>
      <c r="AV152" t="str">
        <f>"78629"</f>
        <v>78629</v>
      </c>
      <c r="AW152" t="s">
        <v>307</v>
      </c>
      <c r="AX152" t="s">
        <v>308</v>
      </c>
      <c r="AY152" t="s">
        <v>309</v>
      </c>
      <c r="AZ152" t="s">
        <v>18</v>
      </c>
      <c r="BA152" t="s">
        <v>310</v>
      </c>
      <c r="BB152" t="str">
        <f>"12178"</f>
        <v>12178</v>
      </c>
      <c r="BC152" t="str">
        <f>"12178"</f>
        <v>12178</v>
      </c>
      <c r="BD152" t="str">
        <f>"161961000000150000000"</f>
        <v>161961000000150000000</v>
      </c>
      <c r="BE152">
        <v>48177</v>
      </c>
      <c r="BG152">
        <v>200</v>
      </c>
      <c r="BH152">
        <v>3152</v>
      </c>
      <c r="BN152">
        <v>29.505594271013798</v>
      </c>
      <c r="BO152">
        <v>-97.461862356245902</v>
      </c>
      <c r="BP152" t="s">
        <v>311</v>
      </c>
      <c r="BX152" t="s">
        <v>22</v>
      </c>
      <c r="CA152" t="str">
        <f>"1"</f>
        <v>1</v>
      </c>
      <c r="CB152">
        <v>3</v>
      </c>
      <c r="CD152">
        <v>0</v>
      </c>
      <c r="CO152">
        <v>0</v>
      </c>
      <c r="EA152" s="1">
        <v>1</v>
      </c>
      <c r="EC152" t="s">
        <v>23</v>
      </c>
      <c r="ED152" t="s">
        <v>24</v>
      </c>
      <c r="EE152" t="s">
        <v>25</v>
      </c>
      <c r="EG152">
        <v>99970</v>
      </c>
      <c r="EH152">
        <v>2.2999999999999998</v>
      </c>
      <c r="EI152">
        <f t="shared" si="4"/>
        <v>34500</v>
      </c>
      <c r="EJ152">
        <f t="shared" si="5"/>
        <v>17250</v>
      </c>
      <c r="EK152">
        <v>50</v>
      </c>
      <c r="EL152">
        <v>300</v>
      </c>
      <c r="EW152" t="s">
        <v>270</v>
      </c>
      <c r="EX152" t="s">
        <v>27</v>
      </c>
      <c r="EY152" t="s">
        <v>28</v>
      </c>
      <c r="EZ152" s="2">
        <v>40515</v>
      </c>
      <c r="FA152" t="s">
        <v>29</v>
      </c>
      <c r="FB152" t="str">
        <f>"TRUE"</f>
        <v>TRUE</v>
      </c>
      <c r="FC152">
        <v>2019</v>
      </c>
      <c r="FD152">
        <v>2016</v>
      </c>
      <c r="FE152" t="s">
        <v>30</v>
      </c>
      <c r="FF152" t="s">
        <v>31</v>
      </c>
      <c r="FG152" t="s">
        <v>31</v>
      </c>
      <c r="FH152" t="s">
        <v>31</v>
      </c>
      <c r="FI152" t="s">
        <v>31</v>
      </c>
      <c r="FJ152" t="s">
        <v>31</v>
      </c>
      <c r="FK152" t="s">
        <v>31</v>
      </c>
      <c r="FL152" t="s">
        <v>31</v>
      </c>
      <c r="FM152" t="s">
        <v>31</v>
      </c>
      <c r="FN152" t="s">
        <v>31</v>
      </c>
      <c r="FO152" t="s">
        <v>31</v>
      </c>
      <c r="FP152" t="s">
        <v>31</v>
      </c>
      <c r="FQ152" t="s">
        <v>31</v>
      </c>
      <c r="FR152" t="s">
        <v>31</v>
      </c>
      <c r="FS152" s="3">
        <v>29560</v>
      </c>
      <c r="FT152" s="3">
        <v>29560</v>
      </c>
      <c r="FW152" s="3">
        <v>29560</v>
      </c>
      <c r="FX152" s="3">
        <v>29560</v>
      </c>
      <c r="GE152" s="3">
        <v>655.64</v>
      </c>
      <c r="GG152" s="3">
        <v>29560</v>
      </c>
      <c r="GI152" t="s">
        <v>32</v>
      </c>
      <c r="GL152" t="s">
        <v>33</v>
      </c>
      <c r="GM152" t="s">
        <v>34</v>
      </c>
      <c r="GN152" t="s">
        <v>35</v>
      </c>
      <c r="GS152" t="str">
        <f>""</f>
        <v/>
      </c>
      <c r="GT152" t="str">
        <f>""</f>
        <v/>
      </c>
      <c r="GV152" s="2">
        <v>40982</v>
      </c>
      <c r="GW152" s="3">
        <v>0</v>
      </c>
      <c r="GY152" t="s">
        <v>36</v>
      </c>
      <c r="GZ152" t="s">
        <v>37</v>
      </c>
      <c r="HF152" t="str">
        <f>""</f>
        <v/>
      </c>
      <c r="HK152" t="str">
        <f>""</f>
        <v/>
      </c>
      <c r="HN152" t="s">
        <v>38</v>
      </c>
      <c r="HP152" t="str">
        <f>"0010820888"</f>
        <v>0010820888</v>
      </c>
      <c r="HZ152" t="str">
        <f>""</f>
        <v/>
      </c>
      <c r="IA152" t="str">
        <f>HYPERLINK("https://web.datatree.com/?/property?propertyId=128791140")</f>
        <v>https://web.datatree.com/?/property?propertyId=128791140</v>
      </c>
    </row>
    <row r="153" spans="1:235" x14ac:dyDescent="0.3">
      <c r="A153" t="s">
        <v>1239</v>
      </c>
      <c r="D153" t="s">
        <v>1239</v>
      </c>
      <c r="E153" t="s">
        <v>3</v>
      </c>
      <c r="F153">
        <v>1</v>
      </c>
      <c r="O153" t="s">
        <v>1240</v>
      </c>
      <c r="P153" t="s">
        <v>1239</v>
      </c>
      <c r="R153" t="s">
        <v>41</v>
      </c>
      <c r="T153" t="s">
        <v>55</v>
      </c>
      <c r="Z153" t="s">
        <v>951</v>
      </c>
      <c r="AA153" t="s">
        <v>703</v>
      </c>
      <c r="AC153" t="s">
        <v>2</v>
      </c>
      <c r="AE153" t="s">
        <v>8</v>
      </c>
      <c r="AF153" t="str">
        <f>"78629"</f>
        <v>78629</v>
      </c>
      <c r="AG153" t="str">
        <f>"78629"</f>
        <v>78629</v>
      </c>
      <c r="AH153" t="s">
        <v>2</v>
      </c>
      <c r="AJ153" t="s">
        <v>1241</v>
      </c>
      <c r="AK153" t="s">
        <v>1242</v>
      </c>
      <c r="AM153">
        <v>1138</v>
      </c>
      <c r="AP153" t="s">
        <v>1243</v>
      </c>
      <c r="AS153" t="s">
        <v>2</v>
      </c>
      <c r="AU153" t="s">
        <v>8</v>
      </c>
      <c r="AV153" t="str">
        <f>"78629-2191"</f>
        <v>78629-2191</v>
      </c>
      <c r="AW153" t="s">
        <v>217</v>
      </c>
      <c r="AX153" t="s">
        <v>1244</v>
      </c>
      <c r="AY153" t="s">
        <v>1245</v>
      </c>
      <c r="AZ153" t="s">
        <v>18</v>
      </c>
      <c r="BA153" t="s">
        <v>1246</v>
      </c>
      <c r="BB153" t="str">
        <f>"20086"</f>
        <v>20086</v>
      </c>
      <c r="BC153" t="str">
        <f>"20086"</f>
        <v>20086</v>
      </c>
      <c r="BD153" t="str">
        <f>"168900000000000000000"</f>
        <v>168900000000000000000</v>
      </c>
      <c r="BE153">
        <v>48177</v>
      </c>
      <c r="BG153">
        <v>400</v>
      </c>
      <c r="BH153">
        <v>2001</v>
      </c>
      <c r="BN153">
        <v>29.456733307786301</v>
      </c>
      <c r="BO153">
        <v>-97.492523753148106</v>
      </c>
      <c r="BX153" t="s">
        <v>22</v>
      </c>
      <c r="CA153" t="str">
        <f>""</f>
        <v/>
      </c>
      <c r="CD153">
        <v>0</v>
      </c>
      <c r="CO153">
        <v>0</v>
      </c>
      <c r="EA153" s="1">
        <v>1</v>
      </c>
      <c r="EC153" t="s">
        <v>23</v>
      </c>
      <c r="ED153" t="s">
        <v>24</v>
      </c>
      <c r="EE153" t="s">
        <v>25</v>
      </c>
      <c r="EG153">
        <v>102148</v>
      </c>
      <c r="EH153">
        <v>2.34</v>
      </c>
      <c r="EI153">
        <v>35000</v>
      </c>
      <c r="EJ153">
        <f t="shared" si="5"/>
        <v>17500</v>
      </c>
      <c r="EK153">
        <v>1</v>
      </c>
      <c r="EW153" t="s">
        <v>26</v>
      </c>
      <c r="EX153" t="s">
        <v>1247</v>
      </c>
      <c r="EY153" t="s">
        <v>1248</v>
      </c>
      <c r="EZ153" s="2">
        <v>40515</v>
      </c>
      <c r="FA153" t="s">
        <v>143</v>
      </c>
      <c r="FB153" t="str">
        <f>"FALSE"</f>
        <v>FALSE</v>
      </c>
      <c r="FC153">
        <v>2019</v>
      </c>
      <c r="FD153">
        <v>2016</v>
      </c>
      <c r="FE153" t="s">
        <v>30</v>
      </c>
      <c r="FF153" t="s">
        <v>31</v>
      </c>
      <c r="FG153" t="s">
        <v>31</v>
      </c>
      <c r="FH153" t="s">
        <v>31</v>
      </c>
      <c r="FI153" t="s">
        <v>31</v>
      </c>
      <c r="FJ153" t="s">
        <v>31</v>
      </c>
      <c r="FK153" t="s">
        <v>31</v>
      </c>
      <c r="FL153" t="s">
        <v>31</v>
      </c>
      <c r="FM153" t="s">
        <v>31</v>
      </c>
      <c r="FN153" t="s">
        <v>31</v>
      </c>
      <c r="FO153" t="s">
        <v>31</v>
      </c>
      <c r="FP153" t="s">
        <v>31</v>
      </c>
      <c r="FQ153" t="s">
        <v>31</v>
      </c>
      <c r="FR153" t="s">
        <v>31</v>
      </c>
      <c r="FS153" s="3">
        <v>10970</v>
      </c>
      <c r="FT153" s="3">
        <v>10970</v>
      </c>
      <c r="FW153" s="3">
        <v>10970</v>
      </c>
      <c r="FX153" s="3">
        <v>10970</v>
      </c>
      <c r="GE153" s="3">
        <v>223.91</v>
      </c>
      <c r="GG153" s="3">
        <v>10970</v>
      </c>
      <c r="GI153" t="s">
        <v>32</v>
      </c>
      <c r="GL153" t="s">
        <v>273</v>
      </c>
      <c r="GM153" t="s">
        <v>34</v>
      </c>
      <c r="GN153" t="s">
        <v>35</v>
      </c>
      <c r="GS153" t="str">
        <f>""</f>
        <v/>
      </c>
      <c r="GT153" t="str">
        <f>""</f>
        <v/>
      </c>
      <c r="HF153" t="str">
        <f>""</f>
        <v/>
      </c>
      <c r="HK153" t="str">
        <f>""</f>
        <v/>
      </c>
      <c r="HN153" t="s">
        <v>38</v>
      </c>
      <c r="HP153" t="str">
        <f>""</f>
        <v/>
      </c>
      <c r="HZ153" t="str">
        <f>""</f>
        <v/>
      </c>
      <c r="IA153" t="str">
        <f>HYPERLINK("https://web.datatree.com/?/property?propertyId=128796349")</f>
        <v>https://web.datatree.com/?/property?propertyId=128796349</v>
      </c>
    </row>
    <row r="154" spans="1:235" x14ac:dyDescent="0.3">
      <c r="A154" t="s">
        <v>1801</v>
      </c>
      <c r="B154" t="s">
        <v>1802</v>
      </c>
      <c r="C154" t="s">
        <v>1802</v>
      </c>
      <c r="D154" t="s">
        <v>1803</v>
      </c>
      <c r="E154" t="s">
        <v>3</v>
      </c>
      <c r="F154">
        <v>2</v>
      </c>
      <c r="O154" t="s">
        <v>1804</v>
      </c>
      <c r="P154" t="s">
        <v>1801</v>
      </c>
      <c r="Q154" t="s">
        <v>1805</v>
      </c>
      <c r="T154" t="s">
        <v>137</v>
      </c>
      <c r="W154">
        <v>410</v>
      </c>
      <c r="Z154" t="s">
        <v>1684</v>
      </c>
      <c r="AA154" t="s">
        <v>77</v>
      </c>
      <c r="AC154" t="s">
        <v>2</v>
      </c>
      <c r="AE154" t="s">
        <v>8</v>
      </c>
      <c r="AF154" t="str">
        <f>"78629"</f>
        <v>78629</v>
      </c>
      <c r="AG154" t="str">
        <f>"78629-3253"</f>
        <v>78629-3253</v>
      </c>
      <c r="AH154" t="s">
        <v>2</v>
      </c>
      <c r="AI154" t="s">
        <v>346</v>
      </c>
      <c r="AJ154" t="s">
        <v>1806</v>
      </c>
      <c r="AK154" t="s">
        <v>1807</v>
      </c>
      <c r="AM154">
        <v>410</v>
      </c>
      <c r="AP154" t="s">
        <v>1684</v>
      </c>
      <c r="AQ154" t="s">
        <v>77</v>
      </c>
      <c r="AS154" t="s">
        <v>2</v>
      </c>
      <c r="AU154" t="s">
        <v>8</v>
      </c>
      <c r="AV154" t="str">
        <f>"78629-3253"</f>
        <v>78629-3253</v>
      </c>
      <c r="AW154" t="s">
        <v>346</v>
      </c>
      <c r="AX154" t="s">
        <v>1806</v>
      </c>
      <c r="AY154" t="s">
        <v>1808</v>
      </c>
      <c r="BA154" t="s">
        <v>1809</v>
      </c>
      <c r="BB154" t="str">
        <f>"26929"</f>
        <v>26929</v>
      </c>
      <c r="BC154" t="str">
        <f>"26929"</f>
        <v>26929</v>
      </c>
      <c r="BD154" t="str">
        <f>"947112400000000000000"</f>
        <v>947112400000000000000</v>
      </c>
      <c r="BE154">
        <v>48177</v>
      </c>
      <c r="BG154">
        <v>200</v>
      </c>
      <c r="BH154">
        <v>3108</v>
      </c>
      <c r="BN154">
        <v>29.584967996053699</v>
      </c>
      <c r="BO154">
        <v>-97.423194771772501</v>
      </c>
      <c r="BP154" t="s">
        <v>1689</v>
      </c>
      <c r="BX154" t="s">
        <v>22</v>
      </c>
      <c r="CA154" t="str">
        <f>"24"</f>
        <v>24</v>
      </c>
      <c r="CD154">
        <v>0</v>
      </c>
      <c r="CO154">
        <v>0</v>
      </c>
      <c r="EA154" s="1">
        <v>1</v>
      </c>
      <c r="EC154" t="s">
        <v>23</v>
      </c>
      <c r="ED154" t="s">
        <v>933</v>
      </c>
      <c r="EE154" t="s">
        <v>25</v>
      </c>
      <c r="EG154">
        <v>102366</v>
      </c>
      <c r="EH154">
        <v>2.35</v>
      </c>
      <c r="EI154">
        <v>35000</v>
      </c>
      <c r="EJ154">
        <f t="shared" si="5"/>
        <v>17500</v>
      </c>
      <c r="EW154" t="s">
        <v>26</v>
      </c>
      <c r="EX154" t="s">
        <v>683</v>
      </c>
      <c r="EY154" t="s">
        <v>684</v>
      </c>
      <c r="EZ154" s="2">
        <v>40515</v>
      </c>
      <c r="FA154" t="s">
        <v>143</v>
      </c>
      <c r="FB154" t="str">
        <f>"FALSE"</f>
        <v>FALSE</v>
      </c>
      <c r="FC154">
        <v>2019</v>
      </c>
      <c r="FD154">
        <v>2016</v>
      </c>
      <c r="FE154" t="s">
        <v>30</v>
      </c>
      <c r="FF154" t="s">
        <v>31</v>
      </c>
      <c r="FG154" t="s">
        <v>520</v>
      </c>
      <c r="FH154" t="s">
        <v>31</v>
      </c>
      <c r="FI154" t="s">
        <v>31</v>
      </c>
      <c r="FJ154" t="s">
        <v>31</v>
      </c>
      <c r="FK154" t="s">
        <v>31</v>
      </c>
      <c r="FL154" t="s">
        <v>31</v>
      </c>
      <c r="FM154" t="s">
        <v>31</v>
      </c>
      <c r="FN154" t="s">
        <v>31</v>
      </c>
      <c r="FO154" t="s">
        <v>31</v>
      </c>
      <c r="FP154" t="s">
        <v>31</v>
      </c>
      <c r="FQ154" t="s">
        <v>31</v>
      </c>
      <c r="FR154" t="s">
        <v>31</v>
      </c>
      <c r="FS154" s="3">
        <v>41130</v>
      </c>
      <c r="FT154" s="3">
        <v>41130</v>
      </c>
      <c r="FW154" s="3">
        <v>41130</v>
      </c>
      <c r="FX154" s="3">
        <v>41130</v>
      </c>
      <c r="GE154" s="3">
        <v>276.98</v>
      </c>
      <c r="GG154" s="3">
        <v>41130</v>
      </c>
      <c r="GI154" t="s">
        <v>32</v>
      </c>
      <c r="GL154" t="s">
        <v>33</v>
      </c>
      <c r="GM154" t="s">
        <v>34</v>
      </c>
      <c r="GN154" t="s">
        <v>35</v>
      </c>
      <c r="GO154" s="2">
        <v>42947</v>
      </c>
      <c r="GP154" s="2">
        <v>42947</v>
      </c>
      <c r="GQ154" s="3">
        <v>0</v>
      </c>
      <c r="GR154" t="s">
        <v>586</v>
      </c>
      <c r="GS154" t="str">
        <f>""</f>
        <v/>
      </c>
      <c r="GT154" t="str">
        <f>"290941"</f>
        <v>290941</v>
      </c>
      <c r="GU154" s="2">
        <v>42544</v>
      </c>
      <c r="GV154" s="2">
        <v>42545</v>
      </c>
      <c r="GW154" s="3">
        <v>31250</v>
      </c>
      <c r="GX154" t="s">
        <v>892</v>
      </c>
      <c r="GY154" t="s">
        <v>893</v>
      </c>
      <c r="GZ154" t="s">
        <v>1736</v>
      </c>
      <c r="HB154" s="3">
        <v>25000</v>
      </c>
      <c r="HF154" t="str">
        <f>"286190"</f>
        <v>286190</v>
      </c>
      <c r="HK154" t="str">
        <f>""</f>
        <v/>
      </c>
      <c r="HL154" t="s">
        <v>1810</v>
      </c>
      <c r="HM154" t="s">
        <v>1369</v>
      </c>
      <c r="HN154" t="s">
        <v>1738</v>
      </c>
      <c r="HP154" t="str">
        <f>"285189"</f>
        <v>285189</v>
      </c>
      <c r="HQ154" s="2">
        <v>42544</v>
      </c>
      <c r="HR154" s="2">
        <v>42545</v>
      </c>
      <c r="HS154" s="3">
        <v>31250</v>
      </c>
      <c r="HT154" t="s">
        <v>893</v>
      </c>
      <c r="HU154" t="s">
        <v>1810</v>
      </c>
      <c r="HV154" s="3">
        <v>25000</v>
      </c>
      <c r="HZ154" t="str">
        <f>"1231.121"</f>
        <v>1231.121</v>
      </c>
      <c r="IA154" t="str">
        <f>HYPERLINK("https://web.datatree.com/?/property?propertyId=199631317")</f>
        <v>https://web.datatree.com/?/property?propertyId=199631317</v>
      </c>
    </row>
    <row r="155" spans="1:235" x14ac:dyDescent="0.3">
      <c r="A155" t="s">
        <v>1225</v>
      </c>
      <c r="B155" t="s">
        <v>1226</v>
      </c>
      <c r="C155" t="s">
        <v>1226</v>
      </c>
      <c r="D155" t="s">
        <v>1058</v>
      </c>
      <c r="E155" t="s">
        <v>3</v>
      </c>
      <c r="F155">
        <v>2</v>
      </c>
      <c r="G155" t="s">
        <v>1227</v>
      </c>
      <c r="H155" t="s">
        <v>1228</v>
      </c>
      <c r="I155" t="s">
        <v>1228</v>
      </c>
      <c r="J155" t="s">
        <v>1058</v>
      </c>
      <c r="K155" t="s">
        <v>3</v>
      </c>
      <c r="L155">
        <v>2</v>
      </c>
      <c r="O155" t="s">
        <v>1229</v>
      </c>
      <c r="P155" t="s">
        <v>1230</v>
      </c>
      <c r="T155" t="s">
        <v>55</v>
      </c>
      <c r="V155" t="s">
        <v>52</v>
      </c>
      <c r="W155">
        <v>1000</v>
      </c>
      <c r="Z155" t="s">
        <v>1231</v>
      </c>
      <c r="AA155" t="s">
        <v>7</v>
      </c>
      <c r="AC155" t="s">
        <v>72</v>
      </c>
      <c r="AE155" t="s">
        <v>8</v>
      </c>
      <c r="AF155" t="str">
        <f>"78959"</f>
        <v>78959</v>
      </c>
      <c r="AG155" t="str">
        <f>"78959"</f>
        <v>78959</v>
      </c>
      <c r="AH155" t="s">
        <v>2</v>
      </c>
      <c r="AJ155" t="s">
        <v>1232</v>
      </c>
      <c r="AK155" t="s">
        <v>1233</v>
      </c>
      <c r="AP155" t="s">
        <v>1234</v>
      </c>
      <c r="AS155" t="s">
        <v>72</v>
      </c>
      <c r="AU155" t="s">
        <v>8</v>
      </c>
      <c r="AV155" t="str">
        <f>"78959"</f>
        <v>78959</v>
      </c>
      <c r="AW155" t="s">
        <v>1235</v>
      </c>
      <c r="AX155" t="s">
        <v>1236</v>
      </c>
      <c r="AY155" t="s">
        <v>1237</v>
      </c>
      <c r="AZ155" t="s">
        <v>18</v>
      </c>
      <c r="BA155" t="s">
        <v>1238</v>
      </c>
      <c r="BB155" t="str">
        <f>"19079"</f>
        <v>19079</v>
      </c>
      <c r="BC155" t="str">
        <f>"19079"</f>
        <v>19079</v>
      </c>
      <c r="BD155" t="str">
        <f>"141536000000050000000"</f>
        <v>141536000000050000000</v>
      </c>
      <c r="BE155">
        <v>48177</v>
      </c>
      <c r="BG155">
        <v>100</v>
      </c>
      <c r="BH155">
        <v>2028</v>
      </c>
      <c r="BN155">
        <v>29.6875820700755</v>
      </c>
      <c r="BO155">
        <v>-97.290522431158394</v>
      </c>
      <c r="BX155" t="s">
        <v>22</v>
      </c>
      <c r="CA155" t="str">
        <f>""</f>
        <v/>
      </c>
      <c r="CD155">
        <v>0</v>
      </c>
      <c r="CO155">
        <v>0</v>
      </c>
      <c r="EA155" s="1">
        <v>1</v>
      </c>
      <c r="EC155" t="s">
        <v>23</v>
      </c>
      <c r="ED155" t="s">
        <v>24</v>
      </c>
      <c r="EE155" t="s">
        <v>25</v>
      </c>
      <c r="EG155">
        <v>108900</v>
      </c>
      <c r="EH155">
        <v>2.5</v>
      </c>
      <c r="EI155">
        <v>35000</v>
      </c>
      <c r="EJ155">
        <f t="shared" si="5"/>
        <v>17500</v>
      </c>
      <c r="EW155" t="s">
        <v>270</v>
      </c>
      <c r="EX155" t="s">
        <v>202</v>
      </c>
      <c r="EY155" t="s">
        <v>203</v>
      </c>
      <c r="EZ155" s="2">
        <v>40515</v>
      </c>
      <c r="FA155" t="s">
        <v>204</v>
      </c>
      <c r="FB155" t="str">
        <f>"TRUE"</f>
        <v>TRUE</v>
      </c>
      <c r="FC155">
        <v>2019</v>
      </c>
      <c r="FD155">
        <v>2016</v>
      </c>
      <c r="FE155" t="s">
        <v>205</v>
      </c>
      <c r="FF155" t="s">
        <v>31</v>
      </c>
      <c r="FG155" t="s">
        <v>31</v>
      </c>
      <c r="FH155" t="s">
        <v>31</v>
      </c>
      <c r="FI155" t="s">
        <v>31</v>
      </c>
      <c r="FJ155" t="s">
        <v>31</v>
      </c>
      <c r="FK155" t="s">
        <v>31</v>
      </c>
      <c r="FL155" t="s">
        <v>31</v>
      </c>
      <c r="FM155" t="s">
        <v>31</v>
      </c>
      <c r="FN155" t="s">
        <v>31</v>
      </c>
      <c r="FO155" t="s">
        <v>31</v>
      </c>
      <c r="FP155" t="s">
        <v>31</v>
      </c>
      <c r="FQ155" t="s">
        <v>31</v>
      </c>
      <c r="FR155" t="s">
        <v>31</v>
      </c>
      <c r="FS155" s="3">
        <v>31370</v>
      </c>
      <c r="FT155" s="3">
        <v>31370</v>
      </c>
      <c r="FW155" s="3">
        <v>31370</v>
      </c>
      <c r="FX155" s="3">
        <v>31370</v>
      </c>
      <c r="GE155" s="3">
        <v>696.95</v>
      </c>
      <c r="GG155" s="3">
        <v>31370</v>
      </c>
      <c r="GI155" t="s">
        <v>206</v>
      </c>
      <c r="GL155" t="s">
        <v>207</v>
      </c>
      <c r="GM155" t="s">
        <v>207</v>
      </c>
      <c r="GN155" t="s">
        <v>207</v>
      </c>
      <c r="GS155" t="str">
        <f>""</f>
        <v/>
      </c>
      <c r="GT155" t="str">
        <f>""</f>
        <v/>
      </c>
      <c r="GV155" s="2">
        <v>35370</v>
      </c>
      <c r="GW155" s="3">
        <v>0</v>
      </c>
      <c r="GY155" t="s">
        <v>36</v>
      </c>
      <c r="GZ155" t="s">
        <v>37</v>
      </c>
      <c r="HF155" t="str">
        <f>""</f>
        <v/>
      </c>
      <c r="HK155" t="str">
        <f>""</f>
        <v/>
      </c>
      <c r="HN155" t="s">
        <v>38</v>
      </c>
      <c r="HP155" t="str">
        <f>"0007740566"</f>
        <v>0007740566</v>
      </c>
      <c r="HZ155" t="str">
        <f>""</f>
        <v/>
      </c>
      <c r="IA155" t="str">
        <f>HYPERLINK("https://web.datatree.com/?/property?propertyId=128795866")</f>
        <v>https://web.datatree.com/?/property?propertyId=128795866</v>
      </c>
    </row>
    <row r="156" spans="1:235" x14ac:dyDescent="0.3">
      <c r="A156" t="s">
        <v>1849</v>
      </c>
      <c r="B156" t="s">
        <v>1850</v>
      </c>
      <c r="C156" t="s">
        <v>1851</v>
      </c>
      <c r="D156" t="s">
        <v>1852</v>
      </c>
      <c r="E156" t="s">
        <v>3</v>
      </c>
      <c r="F156">
        <v>4</v>
      </c>
      <c r="O156" t="s">
        <v>1853</v>
      </c>
      <c r="P156" t="s">
        <v>1849</v>
      </c>
      <c r="Q156" t="s">
        <v>1854</v>
      </c>
      <c r="T156" t="s">
        <v>5</v>
      </c>
      <c r="V156" t="s">
        <v>31</v>
      </c>
      <c r="W156">
        <v>888</v>
      </c>
      <c r="Z156" t="s">
        <v>182</v>
      </c>
      <c r="AC156" t="s">
        <v>106</v>
      </c>
      <c r="AE156" t="s">
        <v>8</v>
      </c>
      <c r="AF156" t="str">
        <f>"78140"</f>
        <v>78140</v>
      </c>
      <c r="AG156" t="str">
        <f>"78140-2628"</f>
        <v>78140-2628</v>
      </c>
      <c r="AH156" t="s">
        <v>2</v>
      </c>
      <c r="AI156" t="s">
        <v>185</v>
      </c>
      <c r="AJ156" t="s">
        <v>1855</v>
      </c>
      <c r="AK156" t="s">
        <v>1856</v>
      </c>
      <c r="AM156">
        <v>108</v>
      </c>
      <c r="AP156" t="s">
        <v>1857</v>
      </c>
      <c r="AQ156" t="s">
        <v>1858</v>
      </c>
      <c r="AS156" t="s">
        <v>231</v>
      </c>
      <c r="AT156" t="s">
        <v>231</v>
      </c>
      <c r="AU156" t="s">
        <v>8</v>
      </c>
      <c r="AV156" t="str">
        <f>"78155-5308"</f>
        <v>78155-5308</v>
      </c>
      <c r="AW156" t="s">
        <v>80</v>
      </c>
      <c r="AX156" t="s">
        <v>1859</v>
      </c>
      <c r="AY156" t="s">
        <v>1860</v>
      </c>
      <c r="AZ156" t="s">
        <v>18</v>
      </c>
      <c r="BA156" t="s">
        <v>1391</v>
      </c>
      <c r="BB156" t="str">
        <f>"9841"</f>
        <v>9841</v>
      </c>
      <c r="BC156" t="str">
        <f>"9841"</f>
        <v>9841</v>
      </c>
      <c r="BD156" t="str">
        <f>"171965000000001000000"</f>
        <v>171965000000001000000</v>
      </c>
      <c r="BE156">
        <v>48177</v>
      </c>
      <c r="BG156">
        <v>500</v>
      </c>
      <c r="BH156">
        <v>3002</v>
      </c>
      <c r="BI156" t="s">
        <v>20</v>
      </c>
      <c r="BN156">
        <v>29.283867921082798</v>
      </c>
      <c r="BO156">
        <v>-97.766124684934596</v>
      </c>
      <c r="BP156" t="s">
        <v>1861</v>
      </c>
      <c r="BX156" t="s">
        <v>22</v>
      </c>
      <c r="CA156" t="str">
        <f>""</f>
        <v/>
      </c>
      <c r="CD156">
        <v>0</v>
      </c>
      <c r="CO156">
        <v>0</v>
      </c>
      <c r="EA156" s="1">
        <v>1</v>
      </c>
      <c r="EC156" t="s">
        <v>23</v>
      </c>
      <c r="ED156" t="s">
        <v>24</v>
      </c>
      <c r="EE156" t="s">
        <v>25</v>
      </c>
      <c r="EG156">
        <v>110904</v>
      </c>
      <c r="EH156">
        <v>2.5499999999999998</v>
      </c>
      <c r="EI156">
        <v>35000</v>
      </c>
      <c r="EJ156">
        <f t="shared" si="5"/>
        <v>17500</v>
      </c>
      <c r="EW156" t="s">
        <v>5</v>
      </c>
      <c r="EX156" t="s">
        <v>116</v>
      </c>
      <c r="EY156" t="s">
        <v>117</v>
      </c>
      <c r="EZ156" s="2">
        <v>40515</v>
      </c>
      <c r="FA156" t="s">
        <v>143</v>
      </c>
      <c r="FB156" t="str">
        <f>"TRUE"</f>
        <v>TRUE</v>
      </c>
      <c r="FC156">
        <v>2019</v>
      </c>
      <c r="FD156">
        <v>2016</v>
      </c>
      <c r="FE156" t="s">
        <v>119</v>
      </c>
      <c r="FF156" t="s">
        <v>31</v>
      </c>
      <c r="FG156" t="s">
        <v>31</v>
      </c>
      <c r="FH156" t="s">
        <v>31</v>
      </c>
      <c r="FI156" t="s">
        <v>31</v>
      </c>
      <c r="FJ156" t="s">
        <v>31</v>
      </c>
      <c r="FK156" t="s">
        <v>31</v>
      </c>
      <c r="FL156" t="s">
        <v>31</v>
      </c>
      <c r="FM156" t="s">
        <v>31</v>
      </c>
      <c r="FN156" t="s">
        <v>31</v>
      </c>
      <c r="FO156" t="s">
        <v>31</v>
      </c>
      <c r="FP156" t="s">
        <v>31</v>
      </c>
      <c r="FQ156" t="s">
        <v>31</v>
      </c>
      <c r="FR156" t="s">
        <v>31</v>
      </c>
      <c r="FS156" s="3">
        <v>23030</v>
      </c>
      <c r="FT156" s="3">
        <v>23030</v>
      </c>
      <c r="FW156" s="3">
        <v>23030</v>
      </c>
      <c r="FX156" s="3">
        <v>23030</v>
      </c>
      <c r="GE156" s="3">
        <v>497.59</v>
      </c>
      <c r="GG156" s="3">
        <v>23030</v>
      </c>
      <c r="GI156" t="s">
        <v>120</v>
      </c>
      <c r="GL156" t="s">
        <v>121</v>
      </c>
      <c r="GM156" t="s">
        <v>122</v>
      </c>
      <c r="GN156" t="s">
        <v>123</v>
      </c>
      <c r="GS156" t="str">
        <f>""</f>
        <v/>
      </c>
      <c r="GT156" t="str">
        <f>""</f>
        <v/>
      </c>
      <c r="GV156" s="2">
        <v>40225</v>
      </c>
      <c r="GW156" s="3">
        <v>0</v>
      </c>
      <c r="GY156" t="s">
        <v>36</v>
      </c>
      <c r="GZ156" t="s">
        <v>37</v>
      </c>
      <c r="HF156" t="str">
        <f>""</f>
        <v/>
      </c>
      <c r="HK156" t="str">
        <f>""</f>
        <v/>
      </c>
      <c r="HN156" t="s">
        <v>38</v>
      </c>
      <c r="HP156" t="str">
        <f>"0010430548"</f>
        <v>0010430548</v>
      </c>
      <c r="HZ156" t="str">
        <f>""</f>
        <v/>
      </c>
      <c r="IA156" t="str">
        <f>HYPERLINK("https://web.datatree.com/?/property?propertyId=128806961")</f>
        <v>https://web.datatree.com/?/property?propertyId=128806961</v>
      </c>
    </row>
    <row r="157" spans="1:235" x14ac:dyDescent="0.3">
      <c r="A157" t="s">
        <v>977</v>
      </c>
      <c r="D157" t="s">
        <v>977</v>
      </c>
      <c r="E157" t="s">
        <v>3</v>
      </c>
      <c r="F157">
        <v>1</v>
      </c>
      <c r="O157" t="s">
        <v>978</v>
      </c>
      <c r="P157" t="s">
        <v>977</v>
      </c>
      <c r="R157" t="s">
        <v>41</v>
      </c>
      <c r="T157" t="s">
        <v>55</v>
      </c>
      <c r="AC157" t="s">
        <v>2</v>
      </c>
      <c r="AE157" t="s">
        <v>8</v>
      </c>
      <c r="AF157" t="str">
        <f>"78629"</f>
        <v>78629</v>
      </c>
      <c r="AG157" t="str">
        <f>"78629"</f>
        <v>78629</v>
      </c>
      <c r="AH157" t="s">
        <v>2</v>
      </c>
      <c r="AK157" t="s">
        <v>701</v>
      </c>
      <c r="AS157" t="s">
        <v>979</v>
      </c>
      <c r="AU157" t="s">
        <v>8</v>
      </c>
      <c r="AY157" t="s">
        <v>980</v>
      </c>
      <c r="AZ157" t="s">
        <v>18</v>
      </c>
      <c r="BA157" t="s">
        <v>981</v>
      </c>
      <c r="BB157" t="str">
        <f>"473"</f>
        <v>473</v>
      </c>
      <c r="BC157" t="str">
        <f>"473"</f>
        <v>473</v>
      </c>
      <c r="BD157" t="str">
        <f>"101611500000000000000"</f>
        <v>101611500000000000000</v>
      </c>
      <c r="BE157">
        <v>48177</v>
      </c>
      <c r="BG157">
        <v>400</v>
      </c>
      <c r="BH157">
        <v>2001</v>
      </c>
      <c r="BN157">
        <v>29.456733307786301</v>
      </c>
      <c r="BO157">
        <v>-97.492523753148106</v>
      </c>
      <c r="BX157" t="s">
        <v>22</v>
      </c>
      <c r="CA157" t="str">
        <f>""</f>
        <v/>
      </c>
      <c r="CD157">
        <v>0</v>
      </c>
      <c r="CO157">
        <v>0</v>
      </c>
      <c r="EA157" s="1">
        <v>1</v>
      </c>
      <c r="EC157" t="s">
        <v>23</v>
      </c>
      <c r="ED157" t="s">
        <v>24</v>
      </c>
      <c r="EE157" t="s">
        <v>25</v>
      </c>
      <c r="EG157">
        <v>121532</v>
      </c>
      <c r="EH157">
        <v>2.79</v>
      </c>
      <c r="EI157">
        <v>35000</v>
      </c>
      <c r="EJ157">
        <f t="shared" si="5"/>
        <v>17500</v>
      </c>
      <c r="EW157" t="s">
        <v>26</v>
      </c>
      <c r="EX157" t="s">
        <v>982</v>
      </c>
      <c r="EY157" t="s">
        <v>983</v>
      </c>
      <c r="EZ157" s="2">
        <v>40515</v>
      </c>
      <c r="FA157" t="s">
        <v>143</v>
      </c>
      <c r="FB157" t="str">
        <f>"FALSE"</f>
        <v>FALSE</v>
      </c>
      <c r="FC157">
        <v>2019</v>
      </c>
      <c r="FD157">
        <v>2016</v>
      </c>
      <c r="FE157" t="s">
        <v>30</v>
      </c>
      <c r="FF157" t="s">
        <v>31</v>
      </c>
      <c r="FG157" t="s">
        <v>31</v>
      </c>
      <c r="FH157" t="s">
        <v>31</v>
      </c>
      <c r="FI157" t="s">
        <v>31</v>
      </c>
      <c r="FJ157" t="s">
        <v>31</v>
      </c>
      <c r="FK157" t="s">
        <v>31</v>
      </c>
      <c r="FL157" t="s">
        <v>31</v>
      </c>
      <c r="FM157" t="s">
        <v>31</v>
      </c>
      <c r="FN157" t="s">
        <v>31</v>
      </c>
      <c r="FO157" t="s">
        <v>31</v>
      </c>
      <c r="FP157" t="s">
        <v>31</v>
      </c>
      <c r="FQ157" t="s">
        <v>31</v>
      </c>
      <c r="FR157" t="s">
        <v>31</v>
      </c>
      <c r="FS157" s="3">
        <v>23340</v>
      </c>
      <c r="FT157" s="3">
        <v>23340</v>
      </c>
      <c r="FW157" s="3">
        <v>23340</v>
      </c>
      <c r="FX157" s="3">
        <v>23340</v>
      </c>
      <c r="GE157" s="3">
        <v>476.39</v>
      </c>
      <c r="GG157" s="3">
        <v>23340</v>
      </c>
      <c r="GI157" t="s">
        <v>32</v>
      </c>
      <c r="GL157" t="s">
        <v>273</v>
      </c>
      <c r="GM157" t="s">
        <v>34</v>
      </c>
      <c r="GN157" t="s">
        <v>35</v>
      </c>
      <c r="GS157" t="str">
        <f>""</f>
        <v/>
      </c>
      <c r="GT157" t="str">
        <f>""</f>
        <v/>
      </c>
      <c r="HF157" t="str">
        <f>""</f>
        <v/>
      </c>
      <c r="HK157" t="str">
        <f>""</f>
        <v/>
      </c>
      <c r="HN157" t="s">
        <v>38</v>
      </c>
      <c r="HP157" t="str">
        <f>""</f>
        <v/>
      </c>
      <c r="HZ157" t="str">
        <f>""</f>
        <v/>
      </c>
      <c r="IA157" t="str">
        <f>HYPERLINK("https://web.datatree.com/?/property?propertyId=128801784")</f>
        <v>https://web.datatree.com/?/property?propertyId=128801784</v>
      </c>
    </row>
    <row r="158" spans="1:235" x14ac:dyDescent="0.3">
      <c r="A158" t="s">
        <v>2194</v>
      </c>
      <c r="B158" t="s">
        <v>2195</v>
      </c>
      <c r="C158" t="s">
        <v>2196</v>
      </c>
      <c r="D158" t="s">
        <v>2197</v>
      </c>
      <c r="E158" t="s">
        <v>3</v>
      </c>
      <c r="F158">
        <v>2</v>
      </c>
      <c r="O158" t="s">
        <v>2198</v>
      </c>
      <c r="P158" t="s">
        <v>2194</v>
      </c>
      <c r="S158" t="s">
        <v>370</v>
      </c>
      <c r="T158" t="s">
        <v>55</v>
      </c>
      <c r="W158" t="s">
        <v>2199</v>
      </c>
      <c r="Z158" t="s">
        <v>2200</v>
      </c>
      <c r="AA158" t="s">
        <v>2201</v>
      </c>
      <c r="AC158" t="s">
        <v>2</v>
      </c>
      <c r="AE158" t="s">
        <v>8</v>
      </c>
      <c r="AF158" t="str">
        <f>"78629"</f>
        <v>78629</v>
      </c>
      <c r="AG158" t="str">
        <f>"78629"</f>
        <v>78629</v>
      </c>
      <c r="AH158" t="s">
        <v>2</v>
      </c>
      <c r="AJ158" t="s">
        <v>2202</v>
      </c>
      <c r="AK158" t="s">
        <v>2203</v>
      </c>
      <c r="AM158">
        <v>243</v>
      </c>
      <c r="AP158" t="s">
        <v>2204</v>
      </c>
      <c r="AS158" t="s">
        <v>2</v>
      </c>
      <c r="AU158" t="s">
        <v>8</v>
      </c>
      <c r="AV158" t="str">
        <f>"78629-2715"</f>
        <v>78629-2715</v>
      </c>
      <c r="AW158" t="s">
        <v>152</v>
      </c>
      <c r="AX158" t="s">
        <v>2205</v>
      </c>
      <c r="AY158" t="s">
        <v>2206</v>
      </c>
      <c r="AZ158" t="s">
        <v>18</v>
      </c>
      <c r="BA158" t="s">
        <v>2207</v>
      </c>
      <c r="BB158" t="str">
        <f>"28607"</f>
        <v>28607</v>
      </c>
      <c r="BC158" t="str">
        <f>"28607"</f>
        <v>28607</v>
      </c>
      <c r="BD158" t="str">
        <f>"10721-61000-00000-000000"</f>
        <v>10721-61000-00000-000000</v>
      </c>
      <c r="BE158">
        <v>48177</v>
      </c>
      <c r="BG158">
        <v>400</v>
      </c>
      <c r="BH158">
        <v>2001</v>
      </c>
      <c r="BN158">
        <v>29.500344711509499</v>
      </c>
      <c r="BO158">
        <v>-97.399735482835595</v>
      </c>
      <c r="CA158" t="str">
        <f>""</f>
        <v/>
      </c>
      <c r="CD158">
        <v>0</v>
      </c>
      <c r="CO158">
        <v>0</v>
      </c>
      <c r="CP158">
        <v>0</v>
      </c>
      <c r="EA158" s="1">
        <v>1</v>
      </c>
      <c r="EC158" t="s">
        <v>23</v>
      </c>
      <c r="EE158" t="s">
        <v>25</v>
      </c>
      <c r="EG158">
        <v>121968</v>
      </c>
      <c r="EH158">
        <v>2.8</v>
      </c>
      <c r="EI158">
        <v>35000</v>
      </c>
      <c r="EJ158">
        <f t="shared" si="5"/>
        <v>17500</v>
      </c>
      <c r="FB158" t="str">
        <f>"UNKNOWN"</f>
        <v>UNKNOWN</v>
      </c>
      <c r="FC158">
        <v>2019</v>
      </c>
      <c r="FD158">
        <v>2016</v>
      </c>
      <c r="FE158" t="s">
        <v>30</v>
      </c>
      <c r="FF158" t="s">
        <v>31</v>
      </c>
      <c r="FG158" t="s">
        <v>31</v>
      </c>
      <c r="FH158" t="s">
        <v>31</v>
      </c>
      <c r="FI158" t="s">
        <v>31</v>
      </c>
      <c r="FJ158" t="s">
        <v>31</v>
      </c>
      <c r="FK158" t="s">
        <v>31</v>
      </c>
      <c r="FL158" t="s">
        <v>31</v>
      </c>
      <c r="FM158" t="s">
        <v>31</v>
      </c>
      <c r="FN158" t="s">
        <v>31</v>
      </c>
      <c r="FO158" t="s">
        <v>31</v>
      </c>
      <c r="FP158" t="s">
        <v>31</v>
      </c>
      <c r="FQ158" t="s">
        <v>31</v>
      </c>
      <c r="FR158" t="s">
        <v>31</v>
      </c>
      <c r="FS158" s="3">
        <v>24670</v>
      </c>
      <c r="FT158" s="3">
        <v>24670</v>
      </c>
      <c r="FW158" s="3">
        <v>24670</v>
      </c>
      <c r="FX158" s="3">
        <v>24670</v>
      </c>
      <c r="GG158" s="3">
        <v>24670</v>
      </c>
      <c r="GI158" t="s">
        <v>32</v>
      </c>
      <c r="GL158" t="s">
        <v>273</v>
      </c>
      <c r="GM158" t="s">
        <v>34</v>
      </c>
      <c r="GN158" t="s">
        <v>35</v>
      </c>
      <c r="GS158" t="str">
        <f>""</f>
        <v/>
      </c>
      <c r="GT158" t="str">
        <f>""</f>
        <v/>
      </c>
      <c r="HF158" t="str">
        <f>""</f>
        <v/>
      </c>
      <c r="HK158" t="str">
        <f>""</f>
        <v/>
      </c>
      <c r="HN158" t="s">
        <v>38</v>
      </c>
      <c r="HP158" t="str">
        <f>""</f>
        <v/>
      </c>
      <c r="HZ158" t="str">
        <f>""</f>
        <v/>
      </c>
      <c r="IA158" t="str">
        <f>HYPERLINK("https://web.datatree.com/?/property?propertyId=226040651")</f>
        <v>https://web.datatree.com/?/property?propertyId=226040651</v>
      </c>
    </row>
    <row r="159" spans="1:235" x14ac:dyDescent="0.3">
      <c r="A159" t="s">
        <v>1073</v>
      </c>
      <c r="B159" t="s">
        <v>1074</v>
      </c>
      <c r="C159" t="s">
        <v>1075</v>
      </c>
      <c r="D159" t="s">
        <v>247</v>
      </c>
      <c r="E159" t="s">
        <v>3</v>
      </c>
      <c r="F159">
        <v>2</v>
      </c>
      <c r="G159" t="s">
        <v>1076</v>
      </c>
      <c r="H159" t="s">
        <v>146</v>
      </c>
      <c r="I159" t="s">
        <v>146</v>
      </c>
      <c r="J159" t="s">
        <v>247</v>
      </c>
      <c r="K159" t="s">
        <v>3</v>
      </c>
      <c r="L159">
        <v>2</v>
      </c>
      <c r="O159" t="s">
        <v>1077</v>
      </c>
      <c r="P159" t="s">
        <v>1078</v>
      </c>
      <c r="T159" t="s">
        <v>55</v>
      </c>
      <c r="W159">
        <v>130</v>
      </c>
      <c r="Z159" t="s">
        <v>1079</v>
      </c>
      <c r="AC159" t="s">
        <v>72</v>
      </c>
      <c r="AE159" t="s">
        <v>8</v>
      </c>
      <c r="AF159" t="str">
        <f>"78959"</f>
        <v>78959</v>
      </c>
      <c r="AG159" t="str">
        <f>"78959-5234"</f>
        <v>78959-5234</v>
      </c>
      <c r="AH159" t="s">
        <v>2</v>
      </c>
      <c r="AI159" t="s">
        <v>152</v>
      </c>
      <c r="AJ159" t="s">
        <v>1080</v>
      </c>
      <c r="AK159" t="s">
        <v>1081</v>
      </c>
      <c r="AP159" t="s">
        <v>1082</v>
      </c>
      <c r="AS159" t="s">
        <v>72</v>
      </c>
      <c r="AU159" t="s">
        <v>8</v>
      </c>
      <c r="AV159" t="str">
        <f>"78959"</f>
        <v>78959</v>
      </c>
      <c r="AW159" t="s">
        <v>670</v>
      </c>
      <c r="AX159" t="s">
        <v>1083</v>
      </c>
      <c r="AY159" t="s">
        <v>1084</v>
      </c>
      <c r="AZ159" t="s">
        <v>18</v>
      </c>
      <c r="BA159" t="s">
        <v>1064</v>
      </c>
      <c r="BB159" t="str">
        <f>"7277"</f>
        <v>7277</v>
      </c>
      <c r="BC159" t="str">
        <f>"7277"</f>
        <v>7277</v>
      </c>
      <c r="BD159" t="str">
        <f>"130314000000000000000"</f>
        <v>130314000000000000000</v>
      </c>
      <c r="BE159">
        <v>48177</v>
      </c>
      <c r="BG159">
        <v>100</v>
      </c>
      <c r="BH159">
        <v>2107</v>
      </c>
      <c r="BN159">
        <v>29.686064911062701</v>
      </c>
      <c r="BO159">
        <v>-97.304327357815794</v>
      </c>
      <c r="BP159" t="s">
        <v>1085</v>
      </c>
      <c r="BX159" t="s">
        <v>22</v>
      </c>
      <c r="CA159" t="str">
        <f>""</f>
        <v/>
      </c>
      <c r="CD159">
        <v>0</v>
      </c>
      <c r="CO159">
        <v>0</v>
      </c>
      <c r="DA159" t="s">
        <v>131</v>
      </c>
      <c r="EA159" s="1">
        <v>1</v>
      </c>
      <c r="EC159" t="s">
        <v>23</v>
      </c>
      <c r="ED159" t="s">
        <v>24</v>
      </c>
      <c r="EE159" t="s">
        <v>25</v>
      </c>
      <c r="EG159">
        <v>123710</v>
      </c>
      <c r="EH159">
        <v>2.84</v>
      </c>
      <c r="EI159">
        <v>35000</v>
      </c>
      <c r="EJ159">
        <f t="shared" si="5"/>
        <v>17500</v>
      </c>
      <c r="ER159">
        <v>1</v>
      </c>
      <c r="EW159" t="s">
        <v>26</v>
      </c>
      <c r="EX159" t="s">
        <v>1040</v>
      </c>
      <c r="EY159" t="s">
        <v>1041</v>
      </c>
      <c r="EZ159" s="2">
        <v>40515</v>
      </c>
      <c r="FA159" t="s">
        <v>143</v>
      </c>
      <c r="FB159" t="str">
        <f>"FALSE"</f>
        <v>FALSE</v>
      </c>
      <c r="FC159">
        <v>2019</v>
      </c>
      <c r="FD159">
        <v>2016</v>
      </c>
      <c r="FE159" t="s">
        <v>205</v>
      </c>
      <c r="FF159" t="s">
        <v>31</v>
      </c>
      <c r="FG159" t="s">
        <v>31</v>
      </c>
      <c r="FH159" t="s">
        <v>31</v>
      </c>
      <c r="FI159" t="s">
        <v>31</v>
      </c>
      <c r="FJ159" t="s">
        <v>31</v>
      </c>
      <c r="FK159" t="s">
        <v>31</v>
      </c>
      <c r="FL159" t="s">
        <v>31</v>
      </c>
      <c r="FM159" t="s">
        <v>31</v>
      </c>
      <c r="FN159" t="s">
        <v>31</v>
      </c>
      <c r="FO159" t="s">
        <v>31</v>
      </c>
      <c r="FP159" t="s">
        <v>31</v>
      </c>
      <c r="FQ159" t="s">
        <v>31</v>
      </c>
      <c r="FR159" t="s">
        <v>31</v>
      </c>
      <c r="FS159" s="3">
        <v>31670</v>
      </c>
      <c r="FT159" s="3">
        <v>26950</v>
      </c>
      <c r="FU159" s="3">
        <v>4720</v>
      </c>
      <c r="FV159">
        <v>14.9</v>
      </c>
      <c r="FW159" s="3">
        <v>31670</v>
      </c>
      <c r="FX159" s="3">
        <v>26950</v>
      </c>
      <c r="FY159" s="3">
        <v>4720</v>
      </c>
      <c r="FZ159">
        <v>14.9</v>
      </c>
      <c r="GE159" s="3">
        <v>714.5</v>
      </c>
      <c r="GG159" s="3">
        <v>31670</v>
      </c>
      <c r="GI159" t="s">
        <v>206</v>
      </c>
      <c r="GL159" t="s">
        <v>207</v>
      </c>
      <c r="GM159" t="s">
        <v>207</v>
      </c>
      <c r="GN159" t="s">
        <v>207</v>
      </c>
      <c r="GS159" t="str">
        <f>""</f>
        <v/>
      </c>
      <c r="GT159" t="str">
        <f>""</f>
        <v/>
      </c>
      <c r="GV159" s="2">
        <v>40568</v>
      </c>
      <c r="GW159" s="3">
        <v>0</v>
      </c>
      <c r="GY159" t="s">
        <v>36</v>
      </c>
      <c r="GZ159" t="s">
        <v>37</v>
      </c>
      <c r="HF159" t="str">
        <f>""</f>
        <v/>
      </c>
      <c r="HK159" t="str">
        <f>""</f>
        <v/>
      </c>
      <c r="HN159" t="s">
        <v>38</v>
      </c>
      <c r="HP159" t="str">
        <f>"0010410049"</f>
        <v>0010410049</v>
      </c>
      <c r="HZ159" t="str">
        <f>""</f>
        <v/>
      </c>
      <c r="IA159" t="str">
        <f>HYPERLINK("https://web.datatree.com/?/property?propertyId=128804352")</f>
        <v>https://web.datatree.com/?/property?propertyId=128804352</v>
      </c>
    </row>
    <row r="160" spans="1:235" x14ac:dyDescent="0.3">
      <c r="A160" t="s">
        <v>1322</v>
      </c>
      <c r="B160" t="s">
        <v>1323</v>
      </c>
      <c r="C160" t="s">
        <v>1323</v>
      </c>
      <c r="D160" t="s">
        <v>1324</v>
      </c>
      <c r="E160" t="s">
        <v>3</v>
      </c>
      <c r="F160">
        <v>4</v>
      </c>
      <c r="O160" t="s">
        <v>1325</v>
      </c>
      <c r="P160" t="s">
        <v>1322</v>
      </c>
      <c r="T160" t="s">
        <v>55</v>
      </c>
      <c r="Z160" t="s">
        <v>1326</v>
      </c>
      <c r="AC160" t="s">
        <v>2</v>
      </c>
      <c r="AE160" t="s">
        <v>8</v>
      </c>
      <c r="AF160" t="str">
        <f>"78629"</f>
        <v>78629</v>
      </c>
      <c r="AG160" t="str">
        <f>"78629"</f>
        <v>78629</v>
      </c>
      <c r="AH160" t="s">
        <v>2</v>
      </c>
      <c r="AJ160" t="s">
        <v>1327</v>
      </c>
      <c r="AK160" t="s">
        <v>1328</v>
      </c>
      <c r="AP160" t="s">
        <v>1329</v>
      </c>
      <c r="AS160" t="s">
        <v>607</v>
      </c>
      <c r="AU160" t="s">
        <v>8</v>
      </c>
      <c r="AV160" t="str">
        <f>"78122"</f>
        <v>78122</v>
      </c>
      <c r="AW160" t="s">
        <v>549</v>
      </c>
      <c r="AX160" t="s">
        <v>1330</v>
      </c>
      <c r="AY160" t="s">
        <v>1331</v>
      </c>
      <c r="AZ160" t="s">
        <v>18</v>
      </c>
      <c r="BA160" t="s">
        <v>1332</v>
      </c>
      <c r="BB160" t="str">
        <f>"4607"</f>
        <v>4607</v>
      </c>
      <c r="BC160" t="str">
        <f>"4607"</f>
        <v>4607</v>
      </c>
      <c r="BD160" t="str">
        <f>"114806700000001000000"</f>
        <v>114806700000001000000</v>
      </c>
      <c r="BE160">
        <v>48177</v>
      </c>
      <c r="BG160">
        <v>400</v>
      </c>
      <c r="BH160">
        <v>2001</v>
      </c>
      <c r="BI160" t="s">
        <v>20</v>
      </c>
      <c r="BN160">
        <v>29.407191699318101</v>
      </c>
      <c r="BO160">
        <v>-97.7465503691609</v>
      </c>
      <c r="BX160" t="s">
        <v>22</v>
      </c>
      <c r="CA160" t="str">
        <f>""</f>
        <v/>
      </c>
      <c r="CD160">
        <v>0</v>
      </c>
      <c r="CO160">
        <v>0</v>
      </c>
      <c r="EA160" s="1">
        <v>1</v>
      </c>
      <c r="EC160" t="s">
        <v>23</v>
      </c>
      <c r="ED160" t="s">
        <v>24</v>
      </c>
      <c r="EE160" t="s">
        <v>25</v>
      </c>
      <c r="EG160">
        <v>130027</v>
      </c>
      <c r="EH160">
        <v>2.98</v>
      </c>
      <c r="EI160">
        <v>35000</v>
      </c>
      <c r="EJ160">
        <f t="shared" si="5"/>
        <v>17500</v>
      </c>
      <c r="ER160">
        <v>1</v>
      </c>
      <c r="EW160" t="s">
        <v>26</v>
      </c>
      <c r="EX160" t="s">
        <v>733</v>
      </c>
      <c r="EY160" t="s">
        <v>734</v>
      </c>
      <c r="EZ160" s="2">
        <v>40515</v>
      </c>
      <c r="FA160" t="s">
        <v>143</v>
      </c>
      <c r="FB160" t="str">
        <f>"FALSE"</f>
        <v>FALSE</v>
      </c>
      <c r="FC160">
        <v>2019</v>
      </c>
      <c r="FD160">
        <v>2016</v>
      </c>
      <c r="FE160" t="s">
        <v>119</v>
      </c>
      <c r="FF160" t="s">
        <v>31</v>
      </c>
      <c r="FG160" t="s">
        <v>31</v>
      </c>
      <c r="FH160" t="s">
        <v>31</v>
      </c>
      <c r="FI160" t="s">
        <v>31</v>
      </c>
      <c r="FJ160" t="s">
        <v>31</v>
      </c>
      <c r="FK160" t="s">
        <v>31</v>
      </c>
      <c r="FL160" t="s">
        <v>31</v>
      </c>
      <c r="FM160" t="s">
        <v>31</v>
      </c>
      <c r="FN160" t="s">
        <v>31</v>
      </c>
      <c r="FO160" t="s">
        <v>31</v>
      </c>
      <c r="FP160" t="s">
        <v>31</v>
      </c>
      <c r="FQ160" t="s">
        <v>31</v>
      </c>
      <c r="FR160" t="s">
        <v>31</v>
      </c>
      <c r="FS160" s="3">
        <v>28950</v>
      </c>
      <c r="FT160" s="3">
        <v>27010</v>
      </c>
      <c r="FU160" s="3">
        <v>1940</v>
      </c>
      <c r="FV160">
        <v>6.7</v>
      </c>
      <c r="FW160" s="3">
        <v>28950</v>
      </c>
      <c r="FX160" s="3">
        <v>27010</v>
      </c>
      <c r="FY160" s="3">
        <v>1940</v>
      </c>
      <c r="FZ160">
        <v>6.7</v>
      </c>
      <c r="GE160" s="3">
        <v>497.11</v>
      </c>
      <c r="GG160" s="3">
        <v>28950</v>
      </c>
      <c r="GI160" t="s">
        <v>120</v>
      </c>
      <c r="GL160" t="s">
        <v>121</v>
      </c>
      <c r="GM160" t="s">
        <v>122</v>
      </c>
      <c r="GN160" t="s">
        <v>123</v>
      </c>
      <c r="GS160" t="str">
        <f>""</f>
        <v/>
      </c>
      <c r="GT160" t="str">
        <f>""</f>
        <v/>
      </c>
      <c r="GV160" s="2">
        <v>35293</v>
      </c>
      <c r="GW160" s="3">
        <v>0</v>
      </c>
      <c r="GY160" t="s">
        <v>36</v>
      </c>
      <c r="GZ160" t="s">
        <v>37</v>
      </c>
      <c r="HF160" t="str">
        <f>""</f>
        <v/>
      </c>
      <c r="HK160" t="str">
        <f>""</f>
        <v/>
      </c>
      <c r="HN160" t="s">
        <v>38</v>
      </c>
      <c r="HP160" t="str">
        <f>"0007710457"</f>
        <v>0007710457</v>
      </c>
      <c r="HZ160" t="str">
        <f>""</f>
        <v/>
      </c>
      <c r="IA160" t="str">
        <f>HYPERLINK("https://web.datatree.com/?/property?propertyId=128801661")</f>
        <v>https://web.datatree.com/?/property?propertyId=128801661</v>
      </c>
    </row>
    <row r="161" spans="1:235" x14ac:dyDescent="0.3">
      <c r="A161" t="s">
        <v>66</v>
      </c>
      <c r="B161" t="s">
        <v>67</v>
      </c>
      <c r="C161" t="s">
        <v>68</v>
      </c>
      <c r="D161" t="s">
        <v>50</v>
      </c>
      <c r="E161" t="s">
        <v>3</v>
      </c>
      <c r="F161">
        <v>1</v>
      </c>
      <c r="O161" t="s">
        <v>69</v>
      </c>
      <c r="P161" t="s">
        <v>66</v>
      </c>
      <c r="Q161" t="s">
        <v>70</v>
      </c>
      <c r="S161" t="s">
        <v>71</v>
      </c>
      <c r="T161" t="s">
        <v>55</v>
      </c>
      <c r="Z161" t="s">
        <v>72</v>
      </c>
      <c r="AA161" t="s">
        <v>73</v>
      </c>
      <c r="AC161" t="s">
        <v>2</v>
      </c>
      <c r="AE161" t="s">
        <v>8</v>
      </c>
      <c r="AF161" t="str">
        <f>"78629"</f>
        <v>78629</v>
      </c>
      <c r="AG161" t="str">
        <f>"78629"</f>
        <v>78629</v>
      </c>
      <c r="AH161" t="s">
        <v>2</v>
      </c>
      <c r="AJ161" t="s">
        <v>74</v>
      </c>
      <c r="AK161" t="s">
        <v>75</v>
      </c>
      <c r="AM161">
        <v>210</v>
      </c>
      <c r="AP161" t="s">
        <v>76</v>
      </c>
      <c r="AQ161" t="s">
        <v>77</v>
      </c>
      <c r="AS161" t="s">
        <v>78</v>
      </c>
      <c r="AT161" t="s">
        <v>78</v>
      </c>
      <c r="AU161" t="s">
        <v>79</v>
      </c>
      <c r="AV161" t="str">
        <f>"70518-3836"</f>
        <v>70518-3836</v>
      </c>
      <c r="AW161" t="s">
        <v>80</v>
      </c>
      <c r="AX161" t="s">
        <v>81</v>
      </c>
      <c r="AY161" t="s">
        <v>82</v>
      </c>
      <c r="AZ161" t="s">
        <v>18</v>
      </c>
      <c r="BA161" t="s">
        <v>63</v>
      </c>
      <c r="BB161" t="str">
        <f>"12484"</f>
        <v>12484</v>
      </c>
      <c r="BC161" t="str">
        <f>"12484"</f>
        <v>12484</v>
      </c>
      <c r="BD161" t="str">
        <f>"162511500000650000000"</f>
        <v>162511500000650000000</v>
      </c>
      <c r="BE161">
        <v>48177</v>
      </c>
      <c r="BG161">
        <v>400</v>
      </c>
      <c r="BH161">
        <v>2001</v>
      </c>
      <c r="BI161" t="s">
        <v>20</v>
      </c>
      <c r="BN161">
        <v>29.516961998559299</v>
      </c>
      <c r="BO161">
        <v>-97.437235565593198</v>
      </c>
      <c r="BX161" t="s">
        <v>22</v>
      </c>
      <c r="CA161" t="str">
        <f>""</f>
        <v/>
      </c>
      <c r="CD161">
        <v>0</v>
      </c>
      <c r="CO161">
        <v>0</v>
      </c>
      <c r="EA161" s="1">
        <v>1</v>
      </c>
      <c r="EC161" t="s">
        <v>23</v>
      </c>
      <c r="ED161" t="s">
        <v>24</v>
      </c>
      <c r="EE161" t="s">
        <v>25</v>
      </c>
      <c r="EG161">
        <v>130650</v>
      </c>
      <c r="EH161">
        <v>3</v>
      </c>
      <c r="EI161">
        <v>35000</v>
      </c>
      <c r="EJ161">
        <f t="shared" si="5"/>
        <v>17500</v>
      </c>
      <c r="EK161">
        <v>150</v>
      </c>
      <c r="EL161">
        <v>871</v>
      </c>
      <c r="EW161" t="s">
        <v>26</v>
      </c>
      <c r="EX161" t="s">
        <v>64</v>
      </c>
      <c r="EY161" t="s">
        <v>65</v>
      </c>
      <c r="EZ161" s="2">
        <v>40515</v>
      </c>
      <c r="FA161" t="s">
        <v>29</v>
      </c>
      <c r="FB161" t="str">
        <f>"FALSE"</f>
        <v>FALSE</v>
      </c>
      <c r="FC161">
        <v>2019</v>
      </c>
      <c r="FD161">
        <v>2016</v>
      </c>
      <c r="FE161" t="s">
        <v>30</v>
      </c>
      <c r="FF161" t="s">
        <v>31</v>
      </c>
      <c r="FG161" t="s">
        <v>31</v>
      </c>
      <c r="FH161" t="s">
        <v>31</v>
      </c>
      <c r="FI161" t="s">
        <v>31</v>
      </c>
      <c r="FJ161" t="s">
        <v>31</v>
      </c>
      <c r="FK161" t="s">
        <v>31</v>
      </c>
      <c r="FL161" t="s">
        <v>31</v>
      </c>
      <c r="FM161" t="s">
        <v>31</v>
      </c>
      <c r="FN161" t="s">
        <v>31</v>
      </c>
      <c r="FO161" t="s">
        <v>31</v>
      </c>
      <c r="FP161" t="s">
        <v>31</v>
      </c>
      <c r="FQ161" t="s">
        <v>31</v>
      </c>
      <c r="FR161" t="s">
        <v>31</v>
      </c>
      <c r="FS161" s="3">
        <v>16630</v>
      </c>
      <c r="FT161" s="3">
        <v>16630</v>
      </c>
      <c r="FW161" s="3">
        <v>16630</v>
      </c>
      <c r="FX161" s="3">
        <v>16630</v>
      </c>
      <c r="GE161" s="3">
        <v>368.85</v>
      </c>
      <c r="GG161" s="3">
        <v>16630</v>
      </c>
      <c r="GI161" t="s">
        <v>32</v>
      </c>
      <c r="GL161" t="s">
        <v>33</v>
      </c>
      <c r="GM161" t="s">
        <v>34</v>
      </c>
      <c r="GN161" t="s">
        <v>35</v>
      </c>
      <c r="GS161" t="str">
        <f>""</f>
        <v/>
      </c>
      <c r="GT161" t="str">
        <f>""</f>
        <v/>
      </c>
      <c r="HF161" t="str">
        <f>""</f>
        <v/>
      </c>
      <c r="HK161" t="str">
        <f>""</f>
        <v/>
      </c>
      <c r="HN161" t="s">
        <v>38</v>
      </c>
      <c r="HP161" t="str">
        <f>""</f>
        <v/>
      </c>
      <c r="HZ161" t="str">
        <f>""</f>
        <v/>
      </c>
      <c r="IA161" t="str">
        <f>HYPERLINK("https://web.datatree.com/?/property?propertyId=128791446")</f>
        <v>https://web.datatree.com/?/property?propertyId=128791446</v>
      </c>
    </row>
    <row r="162" spans="1:235" x14ac:dyDescent="0.3">
      <c r="A162" t="s">
        <v>47</v>
      </c>
      <c r="B162" t="s">
        <v>48</v>
      </c>
      <c r="C162" t="s">
        <v>49</v>
      </c>
      <c r="D162" t="s">
        <v>50</v>
      </c>
      <c r="E162" t="s">
        <v>3</v>
      </c>
      <c r="F162">
        <v>7</v>
      </c>
      <c r="G162" t="s">
        <v>51</v>
      </c>
      <c r="H162" t="s">
        <v>52</v>
      </c>
      <c r="I162" t="s">
        <v>52</v>
      </c>
      <c r="J162" t="s">
        <v>50</v>
      </c>
      <c r="K162" t="s">
        <v>3</v>
      </c>
      <c r="L162">
        <v>4</v>
      </c>
      <c r="O162" t="s">
        <v>53</v>
      </c>
      <c r="P162" t="s">
        <v>54</v>
      </c>
      <c r="T162" t="s">
        <v>55</v>
      </c>
      <c r="Z162" t="s">
        <v>56</v>
      </c>
      <c r="AC162" t="s">
        <v>2</v>
      </c>
      <c r="AE162" t="s">
        <v>8</v>
      </c>
      <c r="AF162" t="str">
        <f>"78629"</f>
        <v>78629</v>
      </c>
      <c r="AG162" t="str">
        <f>"78629"</f>
        <v>78629</v>
      </c>
      <c r="AH162" t="s">
        <v>2</v>
      </c>
      <c r="AJ162" t="s">
        <v>57</v>
      </c>
      <c r="AK162" t="s">
        <v>58</v>
      </c>
      <c r="AL162" t="s">
        <v>52</v>
      </c>
      <c r="AM162">
        <v>4329</v>
      </c>
      <c r="AP162" t="s">
        <v>59</v>
      </c>
      <c r="AS162" t="s">
        <v>2</v>
      </c>
      <c r="AU162" t="s">
        <v>8</v>
      </c>
      <c r="AV162" t="str">
        <f>"78629-6425"</f>
        <v>78629-6425</v>
      </c>
      <c r="AW162" t="s">
        <v>60</v>
      </c>
      <c r="AX162" t="s">
        <v>61</v>
      </c>
      <c r="AY162" t="s">
        <v>62</v>
      </c>
      <c r="AZ162" t="s">
        <v>18</v>
      </c>
      <c r="BA162" t="s">
        <v>63</v>
      </c>
      <c r="BB162" t="str">
        <f>"12485"</f>
        <v>12485</v>
      </c>
      <c r="BC162" t="str">
        <f>"12485"</f>
        <v>12485</v>
      </c>
      <c r="BD162" t="str">
        <f>"162512000000650000000"</f>
        <v>162512000000650000000</v>
      </c>
      <c r="BE162">
        <v>48177</v>
      </c>
      <c r="BG162">
        <v>400</v>
      </c>
      <c r="BH162">
        <v>2001</v>
      </c>
      <c r="BI162" t="s">
        <v>20</v>
      </c>
      <c r="BN162">
        <v>29.517795285671401</v>
      </c>
      <c r="BO162">
        <v>-97.435669725066305</v>
      </c>
      <c r="BX162" t="s">
        <v>22</v>
      </c>
      <c r="CA162" t="str">
        <f>""</f>
        <v/>
      </c>
      <c r="CD162">
        <v>0</v>
      </c>
      <c r="CO162">
        <v>0</v>
      </c>
      <c r="EA162" s="1">
        <v>1</v>
      </c>
      <c r="EC162" t="s">
        <v>23</v>
      </c>
      <c r="ED162" t="s">
        <v>24</v>
      </c>
      <c r="EE162" t="s">
        <v>25</v>
      </c>
      <c r="EG162">
        <v>130680</v>
      </c>
      <c r="EH162">
        <v>3</v>
      </c>
      <c r="EI162">
        <v>35000</v>
      </c>
      <c r="EJ162">
        <f t="shared" si="5"/>
        <v>17500</v>
      </c>
      <c r="EK162">
        <v>297</v>
      </c>
      <c r="EL162">
        <v>440</v>
      </c>
      <c r="EW162" t="s">
        <v>26</v>
      </c>
      <c r="EX162" t="s">
        <v>64</v>
      </c>
      <c r="EY162" t="s">
        <v>65</v>
      </c>
      <c r="EZ162" s="2">
        <v>40515</v>
      </c>
      <c r="FA162" t="s">
        <v>29</v>
      </c>
      <c r="FB162" t="str">
        <f>"FALSE"</f>
        <v>FALSE</v>
      </c>
      <c r="FC162">
        <v>2019</v>
      </c>
      <c r="FD162">
        <v>2016</v>
      </c>
      <c r="FE162" t="s">
        <v>30</v>
      </c>
      <c r="FF162" t="s">
        <v>31</v>
      </c>
      <c r="FG162" t="s">
        <v>31</v>
      </c>
      <c r="FH162" t="s">
        <v>31</v>
      </c>
      <c r="FI162" t="s">
        <v>31</v>
      </c>
      <c r="FJ162" t="s">
        <v>31</v>
      </c>
      <c r="FK162" t="s">
        <v>31</v>
      </c>
      <c r="FL162" t="s">
        <v>31</v>
      </c>
      <c r="FM162" t="s">
        <v>31</v>
      </c>
      <c r="FN162" t="s">
        <v>31</v>
      </c>
      <c r="FO162" t="s">
        <v>31</v>
      </c>
      <c r="FP162" t="s">
        <v>31</v>
      </c>
      <c r="FQ162" t="s">
        <v>31</v>
      </c>
      <c r="FR162" t="s">
        <v>31</v>
      </c>
      <c r="FS162" s="3">
        <v>29040</v>
      </c>
      <c r="FT162" s="3">
        <v>29040</v>
      </c>
      <c r="FW162" s="3">
        <v>29040</v>
      </c>
      <c r="FX162" s="3">
        <v>29040</v>
      </c>
      <c r="GE162" s="3">
        <v>644.11</v>
      </c>
      <c r="GG162" s="3">
        <v>29040</v>
      </c>
      <c r="GI162" t="s">
        <v>32</v>
      </c>
      <c r="GL162" t="s">
        <v>33</v>
      </c>
      <c r="GM162" t="s">
        <v>34</v>
      </c>
      <c r="GN162" t="s">
        <v>35</v>
      </c>
      <c r="GS162" t="str">
        <f>""</f>
        <v/>
      </c>
      <c r="GT162" t="str">
        <f>""</f>
        <v/>
      </c>
      <c r="HF162" t="str">
        <f>""</f>
        <v/>
      </c>
      <c r="HK162" t="str">
        <f>""</f>
        <v/>
      </c>
      <c r="HN162" t="s">
        <v>38</v>
      </c>
      <c r="HP162" t="str">
        <f>""</f>
        <v/>
      </c>
      <c r="HZ162" t="str">
        <f>""</f>
        <v/>
      </c>
      <c r="IA162" t="str">
        <f>HYPERLINK("https://web.datatree.com/?/property?propertyId=128791447")</f>
        <v>https://web.datatree.com/?/property?propertyId=128791447</v>
      </c>
    </row>
    <row r="163" spans="1:235" x14ac:dyDescent="0.3">
      <c r="A163" t="s">
        <v>1705</v>
      </c>
      <c r="D163" t="s">
        <v>1705</v>
      </c>
      <c r="E163" t="s">
        <v>84</v>
      </c>
      <c r="F163">
        <v>1</v>
      </c>
      <c r="O163" t="s">
        <v>1705</v>
      </c>
      <c r="P163" t="s">
        <v>1705</v>
      </c>
      <c r="R163" t="s">
        <v>85</v>
      </c>
      <c r="T163" t="s">
        <v>55</v>
      </c>
      <c r="AE163" t="s">
        <v>8</v>
      </c>
      <c r="AH163" t="s">
        <v>2</v>
      </c>
      <c r="AK163" t="s">
        <v>1113</v>
      </c>
      <c r="AL163" t="s">
        <v>109</v>
      </c>
      <c r="AM163">
        <v>1301</v>
      </c>
      <c r="AP163" t="s">
        <v>666</v>
      </c>
      <c r="AQ163" t="s">
        <v>77</v>
      </c>
      <c r="AS163" t="s">
        <v>2</v>
      </c>
      <c r="AT163" t="s">
        <v>2</v>
      </c>
      <c r="AU163" t="s">
        <v>8</v>
      </c>
      <c r="AV163" t="str">
        <f>"78629-2500"</f>
        <v>78629-2500</v>
      </c>
      <c r="AW163" t="s">
        <v>346</v>
      </c>
      <c r="AX163" t="s">
        <v>1706</v>
      </c>
      <c r="AY163" t="s">
        <v>1707</v>
      </c>
      <c r="AZ163" t="s">
        <v>18</v>
      </c>
      <c r="BA163" t="s">
        <v>1708</v>
      </c>
      <c r="BB163" t="str">
        <f>"26905"</f>
        <v>26905</v>
      </c>
      <c r="BC163" t="str">
        <f>"26905"</f>
        <v>26905</v>
      </c>
      <c r="BD163" t="str">
        <f>"94711-00000-00000-000000"</f>
        <v>94711-00000-00000-000000</v>
      </c>
      <c r="BE163">
        <v>48177</v>
      </c>
      <c r="BN163">
        <v>29.585781749436499</v>
      </c>
      <c r="BO163">
        <v>-97.420034130046403</v>
      </c>
      <c r="CA163" t="str">
        <f>""</f>
        <v/>
      </c>
      <c r="CD163">
        <v>0</v>
      </c>
      <c r="CO163">
        <v>0</v>
      </c>
      <c r="CP163">
        <v>0</v>
      </c>
      <c r="EA163" s="1">
        <v>1</v>
      </c>
      <c r="EC163" t="s">
        <v>23</v>
      </c>
      <c r="EE163" t="s">
        <v>25</v>
      </c>
      <c r="EG163">
        <v>131116</v>
      </c>
      <c r="EH163">
        <v>3.01</v>
      </c>
      <c r="EI163">
        <v>35000</v>
      </c>
      <c r="EJ163">
        <f t="shared" si="5"/>
        <v>17500</v>
      </c>
      <c r="EW163" t="s">
        <v>26</v>
      </c>
      <c r="EX163" t="s">
        <v>27</v>
      </c>
      <c r="EY163" t="s">
        <v>28</v>
      </c>
      <c r="EZ163" s="2">
        <v>40515</v>
      </c>
      <c r="FA163" t="s">
        <v>143</v>
      </c>
      <c r="FB163" t="str">
        <f>"FALSE"</f>
        <v>FALSE</v>
      </c>
      <c r="FC163">
        <v>2019</v>
      </c>
      <c r="FD163">
        <v>2016</v>
      </c>
      <c r="FE163" t="s">
        <v>30</v>
      </c>
      <c r="FF163" t="s">
        <v>31</v>
      </c>
      <c r="FG163" t="s">
        <v>31</v>
      </c>
      <c r="FH163" t="s">
        <v>31</v>
      </c>
      <c r="FI163" t="s">
        <v>31</v>
      </c>
      <c r="FJ163" t="s">
        <v>31</v>
      </c>
      <c r="FK163" t="s">
        <v>31</v>
      </c>
      <c r="FL163" t="s">
        <v>31</v>
      </c>
      <c r="FM163" t="s">
        <v>31</v>
      </c>
      <c r="FN163" t="s">
        <v>31</v>
      </c>
      <c r="FO163" t="s">
        <v>31</v>
      </c>
      <c r="FP163" t="s">
        <v>31</v>
      </c>
      <c r="FQ163" t="s">
        <v>31</v>
      </c>
      <c r="FR163" t="s">
        <v>31</v>
      </c>
      <c r="FS163" s="3">
        <v>26340</v>
      </c>
      <c r="FT163" s="3">
        <v>26340</v>
      </c>
      <c r="FW163" s="3">
        <v>26340</v>
      </c>
      <c r="FX163" s="3">
        <v>26340</v>
      </c>
      <c r="GG163" s="3">
        <v>26340</v>
      </c>
      <c r="GI163" t="s">
        <v>32</v>
      </c>
      <c r="GL163" t="s">
        <v>33</v>
      </c>
      <c r="GM163" t="s">
        <v>34</v>
      </c>
      <c r="GN163" t="s">
        <v>35</v>
      </c>
      <c r="GS163" t="str">
        <f>""</f>
        <v/>
      </c>
      <c r="GT163" t="str">
        <f>""</f>
        <v/>
      </c>
      <c r="HF163" t="str">
        <f>""</f>
        <v/>
      </c>
      <c r="HK163" t="str">
        <f>""</f>
        <v/>
      </c>
      <c r="HN163" t="s">
        <v>38</v>
      </c>
      <c r="HP163" t="str">
        <f>""</f>
        <v/>
      </c>
      <c r="HZ163" t="str">
        <f>""</f>
        <v/>
      </c>
      <c r="IA163" t="str">
        <f>HYPERLINK("https://web.datatree.com/?/property?propertyId=199636940")</f>
        <v>https://web.datatree.com/?/property?propertyId=199636940</v>
      </c>
    </row>
    <row r="164" spans="1:235" x14ac:dyDescent="0.3">
      <c r="A164" t="s">
        <v>479</v>
      </c>
      <c r="B164" t="s">
        <v>480</v>
      </c>
      <c r="C164" t="s">
        <v>481</v>
      </c>
      <c r="D164" t="s">
        <v>482</v>
      </c>
      <c r="E164" t="s">
        <v>3</v>
      </c>
      <c r="F164">
        <v>1</v>
      </c>
      <c r="O164" t="s">
        <v>483</v>
      </c>
      <c r="P164" t="s">
        <v>479</v>
      </c>
      <c r="T164" t="s">
        <v>55</v>
      </c>
      <c r="Z164" t="s">
        <v>484</v>
      </c>
      <c r="AC164" t="s">
        <v>106</v>
      </c>
      <c r="AE164" t="s">
        <v>8</v>
      </c>
      <c r="AF164" t="str">
        <f>"78140"</f>
        <v>78140</v>
      </c>
      <c r="AG164" t="str">
        <f>"78140"</f>
        <v>78140</v>
      </c>
      <c r="AH164" t="s">
        <v>2</v>
      </c>
      <c r="AJ164" t="s">
        <v>485</v>
      </c>
      <c r="AK164" t="s">
        <v>486</v>
      </c>
      <c r="AL164" t="s">
        <v>109</v>
      </c>
      <c r="AM164">
        <v>2990</v>
      </c>
      <c r="AP164" t="s">
        <v>487</v>
      </c>
      <c r="AS164" t="s">
        <v>106</v>
      </c>
      <c r="AU164" t="s">
        <v>8</v>
      </c>
      <c r="AV164" t="str">
        <f>"78140-5220"</f>
        <v>78140-5220</v>
      </c>
      <c r="AW164" t="s">
        <v>185</v>
      </c>
      <c r="AX164" t="s">
        <v>488</v>
      </c>
      <c r="AY164" t="s">
        <v>489</v>
      </c>
      <c r="AZ164" t="s">
        <v>18</v>
      </c>
      <c r="BA164" t="s">
        <v>490</v>
      </c>
      <c r="BB164" t="str">
        <f>"1959"</f>
        <v>1959</v>
      </c>
      <c r="BC164" t="str">
        <f>"1959"</f>
        <v>1959</v>
      </c>
      <c r="BD164" t="str">
        <f>"103821000000000000000"</f>
        <v>103821000000000000000</v>
      </c>
      <c r="BE164">
        <v>48177</v>
      </c>
      <c r="BG164">
        <v>500</v>
      </c>
      <c r="BH164">
        <v>1154</v>
      </c>
      <c r="BI164" t="s">
        <v>20</v>
      </c>
      <c r="BN164">
        <v>29.354021985919999</v>
      </c>
      <c r="BO164">
        <v>-97.717866939861096</v>
      </c>
      <c r="BX164" t="s">
        <v>22</v>
      </c>
      <c r="CA164" t="str">
        <f>""</f>
        <v/>
      </c>
      <c r="CD164">
        <v>0</v>
      </c>
      <c r="CO164">
        <v>0</v>
      </c>
      <c r="EA164" s="1">
        <v>1</v>
      </c>
      <c r="EC164" t="s">
        <v>23</v>
      </c>
      <c r="ED164" t="s">
        <v>24</v>
      </c>
      <c r="EE164" t="s">
        <v>25</v>
      </c>
      <c r="EG164">
        <v>132161</v>
      </c>
      <c r="EH164">
        <v>3.03</v>
      </c>
      <c r="EI164">
        <v>35000</v>
      </c>
      <c r="EJ164">
        <f t="shared" si="5"/>
        <v>17500</v>
      </c>
      <c r="EW164" t="s">
        <v>26</v>
      </c>
      <c r="EX164" t="s">
        <v>491</v>
      </c>
      <c r="EY164" t="s">
        <v>492</v>
      </c>
      <c r="EZ164" s="2">
        <v>40515</v>
      </c>
      <c r="FA164" t="s">
        <v>143</v>
      </c>
      <c r="FB164" t="str">
        <f>"FALSE"</f>
        <v>FALSE</v>
      </c>
      <c r="FC164">
        <v>2019</v>
      </c>
      <c r="FD164">
        <v>2016</v>
      </c>
      <c r="FE164" t="s">
        <v>119</v>
      </c>
      <c r="FF164" t="s">
        <v>31</v>
      </c>
      <c r="FG164" t="s">
        <v>31</v>
      </c>
      <c r="FH164" t="s">
        <v>31</v>
      </c>
      <c r="FI164" t="s">
        <v>31</v>
      </c>
      <c r="FJ164" t="s">
        <v>31</v>
      </c>
      <c r="FK164" t="s">
        <v>31</v>
      </c>
      <c r="FL164" t="s">
        <v>31</v>
      </c>
      <c r="FM164" t="s">
        <v>31</v>
      </c>
      <c r="FN164" t="s">
        <v>31</v>
      </c>
      <c r="FO164" t="s">
        <v>31</v>
      </c>
      <c r="FP164" t="s">
        <v>31</v>
      </c>
      <c r="FQ164" t="s">
        <v>31</v>
      </c>
      <c r="FR164" t="s">
        <v>31</v>
      </c>
      <c r="FS164" s="3">
        <v>27450</v>
      </c>
      <c r="FT164" s="3">
        <v>27450</v>
      </c>
      <c r="FW164" s="3">
        <v>27450</v>
      </c>
      <c r="FX164" s="3">
        <v>27450</v>
      </c>
      <c r="GE164" s="3">
        <v>486.3</v>
      </c>
      <c r="GG164" s="3">
        <v>27450</v>
      </c>
      <c r="GI164" t="s">
        <v>120</v>
      </c>
      <c r="GL164" t="s">
        <v>121</v>
      </c>
      <c r="GM164" t="s">
        <v>122</v>
      </c>
      <c r="GN164" t="s">
        <v>123</v>
      </c>
      <c r="GS164" t="str">
        <f>""</f>
        <v/>
      </c>
      <c r="GT164" t="str">
        <f>""</f>
        <v/>
      </c>
      <c r="GV164" s="2">
        <v>35004</v>
      </c>
      <c r="GW164" s="3">
        <v>0</v>
      </c>
      <c r="GY164" t="s">
        <v>36</v>
      </c>
      <c r="GZ164" t="s">
        <v>37</v>
      </c>
      <c r="HF164" t="str">
        <f>""</f>
        <v/>
      </c>
      <c r="HK164" t="str">
        <f>""</f>
        <v/>
      </c>
      <c r="HN164" t="s">
        <v>38</v>
      </c>
      <c r="HP164" t="str">
        <f>"0007590884"</f>
        <v>0007590884</v>
      </c>
      <c r="HZ164" t="str">
        <f>""</f>
        <v/>
      </c>
      <c r="IA164" t="str">
        <f>HYPERLINK("https://web.datatree.com/?/property?propertyId=128796159")</f>
        <v>https://web.datatree.com/?/property?propertyId=128796159</v>
      </c>
    </row>
    <row r="165" spans="1:235" x14ac:dyDescent="0.3">
      <c r="A165" t="s">
        <v>1213</v>
      </c>
      <c r="B165" t="s">
        <v>675</v>
      </c>
      <c r="C165" t="s">
        <v>675</v>
      </c>
      <c r="D165" t="s">
        <v>1214</v>
      </c>
      <c r="E165" t="s">
        <v>3</v>
      </c>
      <c r="F165">
        <v>2</v>
      </c>
      <c r="O165" t="s">
        <v>1215</v>
      </c>
      <c r="P165" t="s">
        <v>1213</v>
      </c>
      <c r="T165" t="s">
        <v>137</v>
      </c>
      <c r="W165">
        <v>8520</v>
      </c>
      <c r="Z165" t="s">
        <v>1216</v>
      </c>
      <c r="AC165" t="s">
        <v>2</v>
      </c>
      <c r="AE165" t="s">
        <v>8</v>
      </c>
      <c r="AF165" t="str">
        <f>"78629"</f>
        <v>78629</v>
      </c>
      <c r="AG165" t="str">
        <f>"78629-5256"</f>
        <v>78629-5256</v>
      </c>
      <c r="AH165" t="s">
        <v>2</v>
      </c>
      <c r="AI165" t="s">
        <v>217</v>
      </c>
      <c r="AJ165" t="s">
        <v>1217</v>
      </c>
      <c r="AK165" t="s">
        <v>1218</v>
      </c>
      <c r="AM165">
        <v>8520</v>
      </c>
      <c r="AP165" t="s">
        <v>1216</v>
      </c>
      <c r="AS165" t="s">
        <v>2</v>
      </c>
      <c r="AU165" t="s">
        <v>8</v>
      </c>
      <c r="AV165" t="str">
        <f>"78629-5256"</f>
        <v>78629-5256</v>
      </c>
      <c r="AW165" t="s">
        <v>217</v>
      </c>
      <c r="AX165" t="s">
        <v>1217</v>
      </c>
      <c r="AY165" t="s">
        <v>1219</v>
      </c>
      <c r="BA165" t="s">
        <v>1220</v>
      </c>
      <c r="BB165" t="str">
        <f>"22591"</f>
        <v>22591</v>
      </c>
      <c r="BC165" t="str">
        <f>"22591"</f>
        <v>22591</v>
      </c>
      <c r="BD165" t="str">
        <f>"926010000016000000000"</f>
        <v>926010000016000000000</v>
      </c>
      <c r="BE165">
        <v>48177</v>
      </c>
      <c r="BG165">
        <v>100</v>
      </c>
      <c r="BH165">
        <v>1095</v>
      </c>
      <c r="BN165">
        <v>29.602053999999999</v>
      </c>
      <c r="BO165">
        <v>-97.477628999999993</v>
      </c>
      <c r="BP165" t="s">
        <v>1221</v>
      </c>
      <c r="BQ165" t="s">
        <v>1222</v>
      </c>
      <c r="BX165" t="s">
        <v>22</v>
      </c>
      <c r="CA165" t="str">
        <f>""</f>
        <v/>
      </c>
      <c r="CD165">
        <v>0</v>
      </c>
      <c r="CO165">
        <v>0</v>
      </c>
      <c r="EA165" s="1">
        <v>1</v>
      </c>
      <c r="EC165" t="s">
        <v>23</v>
      </c>
      <c r="ED165" t="s">
        <v>109</v>
      </c>
      <c r="EE165" t="s">
        <v>25</v>
      </c>
      <c r="EG165">
        <v>132422</v>
      </c>
      <c r="EH165">
        <v>3.04</v>
      </c>
      <c r="EI165">
        <v>35000</v>
      </c>
      <c r="EJ165">
        <f t="shared" si="5"/>
        <v>17500</v>
      </c>
      <c r="EW165" t="s">
        <v>26</v>
      </c>
      <c r="EX165" t="s">
        <v>1223</v>
      </c>
      <c r="EY165" t="s">
        <v>1224</v>
      </c>
      <c r="EZ165" s="2">
        <v>40515</v>
      </c>
      <c r="FA165" t="s">
        <v>143</v>
      </c>
      <c r="FB165" t="str">
        <f>"FALSE"</f>
        <v>FALSE</v>
      </c>
      <c r="FC165">
        <v>2019</v>
      </c>
      <c r="FD165">
        <v>2016</v>
      </c>
      <c r="FE165" t="s">
        <v>30</v>
      </c>
      <c r="FF165" t="s">
        <v>31</v>
      </c>
      <c r="FG165" t="s">
        <v>520</v>
      </c>
      <c r="FH165" t="s">
        <v>31</v>
      </c>
      <c r="FI165" t="s">
        <v>31</v>
      </c>
      <c r="FJ165" t="s">
        <v>31</v>
      </c>
      <c r="FK165" t="s">
        <v>31</v>
      </c>
      <c r="FL165" t="s">
        <v>31</v>
      </c>
      <c r="FM165" t="s">
        <v>31</v>
      </c>
      <c r="FN165" t="s">
        <v>31</v>
      </c>
      <c r="FO165" t="s">
        <v>31</v>
      </c>
      <c r="FP165" t="s">
        <v>31</v>
      </c>
      <c r="FQ165" t="s">
        <v>31</v>
      </c>
      <c r="FR165" t="s">
        <v>31</v>
      </c>
      <c r="FS165" s="3">
        <v>27360</v>
      </c>
      <c r="FT165" s="3">
        <v>27360</v>
      </c>
      <c r="FW165" s="3">
        <v>27360</v>
      </c>
      <c r="FX165" s="3">
        <v>27360</v>
      </c>
      <c r="GE165" s="3">
        <v>558.44000000000005</v>
      </c>
      <c r="GG165" s="3">
        <v>27360</v>
      </c>
      <c r="GI165" t="s">
        <v>32</v>
      </c>
      <c r="GL165" t="s">
        <v>33</v>
      </c>
      <c r="GM165" t="s">
        <v>34</v>
      </c>
      <c r="GN165" t="s">
        <v>35</v>
      </c>
      <c r="GS165" t="str">
        <f>""</f>
        <v/>
      </c>
      <c r="GT165" t="str">
        <f>""</f>
        <v/>
      </c>
      <c r="GV165" s="2">
        <v>37910</v>
      </c>
      <c r="GW165" s="3">
        <v>0</v>
      </c>
      <c r="GY165" t="s">
        <v>36</v>
      </c>
      <c r="GZ165" t="s">
        <v>37</v>
      </c>
      <c r="HF165" t="str">
        <f>""</f>
        <v/>
      </c>
      <c r="HK165" t="str">
        <f>""</f>
        <v/>
      </c>
      <c r="HN165" t="s">
        <v>38</v>
      </c>
      <c r="HP165" t="str">
        <f>"0008920627"</f>
        <v>0008920627</v>
      </c>
      <c r="HZ165" t="str">
        <f>""</f>
        <v/>
      </c>
      <c r="IA165" t="str">
        <f>HYPERLINK("https://web.datatree.com/?/property?propertyId=128797712")</f>
        <v>https://web.datatree.com/?/property?propertyId=128797712</v>
      </c>
    </row>
    <row r="166" spans="1:235" x14ac:dyDescent="0.3">
      <c r="A166" t="s">
        <v>1617</v>
      </c>
      <c r="B166" t="s">
        <v>1618</v>
      </c>
      <c r="C166" t="s">
        <v>1202</v>
      </c>
      <c r="D166" t="s">
        <v>1619</v>
      </c>
      <c r="E166" t="s">
        <v>3</v>
      </c>
      <c r="F166">
        <v>6</v>
      </c>
      <c r="O166" t="s">
        <v>1620</v>
      </c>
      <c r="P166" t="s">
        <v>1617</v>
      </c>
      <c r="T166" t="s">
        <v>55</v>
      </c>
      <c r="AC166" t="s">
        <v>2</v>
      </c>
      <c r="AE166" t="s">
        <v>8</v>
      </c>
      <c r="AF166" t="str">
        <f>"78629"</f>
        <v>78629</v>
      </c>
      <c r="AG166" t="str">
        <f>"78629"</f>
        <v>78629</v>
      </c>
      <c r="AH166" t="s">
        <v>2</v>
      </c>
      <c r="AK166" t="s">
        <v>701</v>
      </c>
      <c r="AP166" t="s">
        <v>1621</v>
      </c>
      <c r="AS166" t="s">
        <v>2</v>
      </c>
      <c r="AT166" t="s">
        <v>2</v>
      </c>
      <c r="AU166" t="s">
        <v>8</v>
      </c>
      <c r="AV166" t="str">
        <f>"78629-1297"</f>
        <v>78629-1297</v>
      </c>
      <c r="AW166" t="s">
        <v>1622</v>
      </c>
      <c r="AX166" t="s">
        <v>1623</v>
      </c>
      <c r="AY166" t="s">
        <v>1624</v>
      </c>
      <c r="AZ166" t="s">
        <v>18</v>
      </c>
      <c r="BA166" t="s">
        <v>707</v>
      </c>
      <c r="BB166" t="str">
        <f>"547"</f>
        <v>547</v>
      </c>
      <c r="BC166" t="str">
        <f>"547"</f>
        <v>547</v>
      </c>
      <c r="BD166" t="str">
        <f>"101902800000000000000"</f>
        <v>101902800000000000000</v>
      </c>
      <c r="BE166">
        <v>48177</v>
      </c>
      <c r="BG166">
        <v>400</v>
      </c>
      <c r="BH166">
        <v>2001</v>
      </c>
      <c r="BN166">
        <v>29.506168220252</v>
      </c>
      <c r="BO166">
        <v>-97.638140924560403</v>
      </c>
      <c r="BP166" t="s">
        <v>1625</v>
      </c>
      <c r="BX166" t="s">
        <v>22</v>
      </c>
      <c r="CA166" t="str">
        <f>""</f>
        <v/>
      </c>
      <c r="CD166">
        <v>0</v>
      </c>
      <c r="CO166">
        <v>0</v>
      </c>
      <c r="EA166" s="1">
        <v>1</v>
      </c>
      <c r="EC166" t="s">
        <v>23</v>
      </c>
      <c r="ED166" t="s">
        <v>24</v>
      </c>
      <c r="EE166" t="s">
        <v>25</v>
      </c>
      <c r="EG166">
        <v>147756</v>
      </c>
      <c r="EH166">
        <v>3.39</v>
      </c>
      <c r="EI166">
        <v>35000</v>
      </c>
      <c r="EJ166">
        <f t="shared" si="5"/>
        <v>17500</v>
      </c>
      <c r="EW166" t="s">
        <v>26</v>
      </c>
      <c r="EX166" t="s">
        <v>708</v>
      </c>
      <c r="EY166" t="s">
        <v>709</v>
      </c>
      <c r="EZ166" s="2">
        <v>40515</v>
      </c>
      <c r="FA166" t="s">
        <v>143</v>
      </c>
      <c r="FB166" t="str">
        <f>"FALSE"</f>
        <v>FALSE</v>
      </c>
      <c r="FC166">
        <v>2019</v>
      </c>
      <c r="FD166">
        <v>2016</v>
      </c>
      <c r="FE166" t="s">
        <v>30</v>
      </c>
      <c r="FF166" t="s">
        <v>31</v>
      </c>
      <c r="FG166" t="s">
        <v>31</v>
      </c>
      <c r="FH166" t="s">
        <v>31</v>
      </c>
      <c r="FI166" t="s">
        <v>31</v>
      </c>
      <c r="FJ166" t="s">
        <v>31</v>
      </c>
      <c r="FK166" t="s">
        <v>31</v>
      </c>
      <c r="FL166" t="s">
        <v>31</v>
      </c>
      <c r="FM166" t="s">
        <v>31</v>
      </c>
      <c r="FN166" t="s">
        <v>31</v>
      </c>
      <c r="FO166" t="s">
        <v>31</v>
      </c>
      <c r="FP166" t="s">
        <v>31</v>
      </c>
      <c r="FQ166" t="s">
        <v>31</v>
      </c>
      <c r="FR166" t="s">
        <v>31</v>
      </c>
      <c r="FS166" s="3">
        <v>12720</v>
      </c>
      <c r="FT166" s="3">
        <v>12720</v>
      </c>
      <c r="FW166" s="3">
        <v>12720</v>
      </c>
      <c r="FX166" s="3">
        <v>12720</v>
      </c>
      <c r="GE166" s="3">
        <v>272.08</v>
      </c>
      <c r="GG166" s="3">
        <v>12720</v>
      </c>
      <c r="GI166" t="s">
        <v>32</v>
      </c>
      <c r="GL166" t="s">
        <v>33</v>
      </c>
      <c r="GM166" t="s">
        <v>34</v>
      </c>
      <c r="GN166" t="s">
        <v>35</v>
      </c>
      <c r="GS166" t="str">
        <f>""</f>
        <v/>
      </c>
      <c r="GT166" t="str">
        <f>""</f>
        <v/>
      </c>
      <c r="GV166" s="2">
        <v>39187</v>
      </c>
      <c r="GW166" s="3">
        <v>0</v>
      </c>
      <c r="GY166" t="s">
        <v>36</v>
      </c>
      <c r="GZ166" t="s">
        <v>37</v>
      </c>
      <c r="HF166" t="str">
        <f>""</f>
        <v/>
      </c>
      <c r="HK166" t="str">
        <f>""</f>
        <v/>
      </c>
      <c r="HN166" t="s">
        <v>38</v>
      </c>
      <c r="HP166" t="str">
        <f>"0009620008"</f>
        <v>0009620008</v>
      </c>
      <c r="HZ166" t="str">
        <f>""</f>
        <v/>
      </c>
      <c r="IA166" t="str">
        <f>HYPERLINK("https://web.datatree.com/?/property?propertyId=128802522")</f>
        <v>https://web.datatree.com/?/property?propertyId=128802522</v>
      </c>
    </row>
    <row r="167" spans="1:235" x14ac:dyDescent="0.3">
      <c r="A167" t="s">
        <v>312</v>
      </c>
      <c r="B167" t="s">
        <v>313</v>
      </c>
      <c r="C167" t="s">
        <v>314</v>
      </c>
      <c r="D167" t="s">
        <v>315</v>
      </c>
      <c r="E167" t="s">
        <v>3</v>
      </c>
      <c r="F167">
        <v>3</v>
      </c>
      <c r="O167" t="s">
        <v>316</v>
      </c>
      <c r="P167" t="s">
        <v>312</v>
      </c>
      <c r="T167" t="s">
        <v>55</v>
      </c>
      <c r="Z167" t="s">
        <v>317</v>
      </c>
      <c r="AE167" t="s">
        <v>8</v>
      </c>
      <c r="AH167" t="s">
        <v>2</v>
      </c>
      <c r="AJ167" t="s">
        <v>318</v>
      </c>
      <c r="AK167" t="s">
        <v>319</v>
      </c>
      <c r="AM167">
        <v>830</v>
      </c>
      <c r="AP167" t="s">
        <v>320</v>
      </c>
      <c r="AQ167" t="s">
        <v>77</v>
      </c>
      <c r="AS167" t="s">
        <v>321</v>
      </c>
      <c r="AU167" t="s">
        <v>8</v>
      </c>
      <c r="AV167" t="str">
        <f>"76028-9415"</f>
        <v>76028-9415</v>
      </c>
      <c r="AW167" t="s">
        <v>322</v>
      </c>
      <c r="AX167" t="s">
        <v>323</v>
      </c>
      <c r="AY167" t="s">
        <v>324</v>
      </c>
      <c r="AZ167" t="s">
        <v>18</v>
      </c>
      <c r="BA167" t="s">
        <v>325</v>
      </c>
      <c r="BB167" t="str">
        <f>"14109"</f>
        <v>14109</v>
      </c>
      <c r="BC167" t="str">
        <f>"14109"</f>
        <v>14109</v>
      </c>
      <c r="BD167" t="str">
        <f>"166836060001070000000"</f>
        <v>166836060001070000000</v>
      </c>
      <c r="BE167">
        <v>48177</v>
      </c>
      <c r="BN167">
        <v>29.662832132668001</v>
      </c>
      <c r="BO167">
        <v>-97.500259910673705</v>
      </c>
      <c r="BP167" t="s">
        <v>326</v>
      </c>
      <c r="BX167" t="s">
        <v>22</v>
      </c>
      <c r="CA167" t="str">
        <f>"4"</f>
        <v>4</v>
      </c>
      <c r="CB167">
        <v>77</v>
      </c>
      <c r="CD167">
        <v>0</v>
      </c>
      <c r="CO167">
        <v>0</v>
      </c>
      <c r="EA167" s="1">
        <v>1</v>
      </c>
      <c r="EC167" t="s">
        <v>23</v>
      </c>
      <c r="ED167" t="s">
        <v>24</v>
      </c>
      <c r="EE167" t="s">
        <v>25</v>
      </c>
      <c r="EF167" t="s">
        <v>26</v>
      </c>
      <c r="EG167">
        <v>153288</v>
      </c>
      <c r="EH167">
        <v>3.52</v>
      </c>
      <c r="EI167">
        <v>35000</v>
      </c>
      <c r="EJ167">
        <f t="shared" si="5"/>
        <v>17500</v>
      </c>
      <c r="EW167" t="s">
        <v>26</v>
      </c>
      <c r="EX167" t="s">
        <v>327</v>
      </c>
      <c r="EY167" t="s">
        <v>328</v>
      </c>
      <c r="EZ167" s="2">
        <v>40515</v>
      </c>
      <c r="FA167" t="s">
        <v>143</v>
      </c>
      <c r="FB167" t="str">
        <f>"FALSE"</f>
        <v>FALSE</v>
      </c>
      <c r="FC167">
        <v>2019</v>
      </c>
      <c r="FD167">
        <v>2016</v>
      </c>
      <c r="FE167" t="s">
        <v>30</v>
      </c>
      <c r="FF167" t="s">
        <v>31</v>
      </c>
      <c r="FG167" t="s">
        <v>31</v>
      </c>
      <c r="FH167" t="s">
        <v>31</v>
      </c>
      <c r="FI167" t="s">
        <v>31</v>
      </c>
      <c r="FJ167" t="s">
        <v>31</v>
      </c>
      <c r="FK167" t="s">
        <v>31</v>
      </c>
      <c r="FL167" t="s">
        <v>31</v>
      </c>
      <c r="FM167" t="s">
        <v>31</v>
      </c>
      <c r="FN167" t="s">
        <v>31</v>
      </c>
      <c r="FO167" t="s">
        <v>31</v>
      </c>
      <c r="FP167" t="s">
        <v>31</v>
      </c>
      <c r="FQ167" t="s">
        <v>31</v>
      </c>
      <c r="FR167" t="s">
        <v>31</v>
      </c>
      <c r="FS167" s="3">
        <v>31000</v>
      </c>
      <c r="FT167" s="3">
        <v>31000</v>
      </c>
      <c r="FW167" s="3">
        <v>31000</v>
      </c>
      <c r="FX167" s="3">
        <v>31000</v>
      </c>
      <c r="GE167" s="3">
        <v>632.74</v>
      </c>
      <c r="GG167" s="3">
        <v>31000</v>
      </c>
      <c r="GI167" t="s">
        <v>32</v>
      </c>
      <c r="GL167" t="s">
        <v>33</v>
      </c>
      <c r="GM167" t="s">
        <v>34</v>
      </c>
      <c r="GN167" t="s">
        <v>35</v>
      </c>
      <c r="GS167" t="str">
        <f>""</f>
        <v/>
      </c>
      <c r="GT167" t="str">
        <f>""</f>
        <v/>
      </c>
      <c r="GV167" s="2">
        <v>39972</v>
      </c>
      <c r="GW167" s="3">
        <v>0</v>
      </c>
      <c r="GY167" t="s">
        <v>36</v>
      </c>
      <c r="GZ167" t="s">
        <v>37</v>
      </c>
      <c r="HF167" t="str">
        <f>""</f>
        <v/>
      </c>
      <c r="HK167" t="str">
        <f>""</f>
        <v/>
      </c>
      <c r="HN167" t="s">
        <v>38</v>
      </c>
      <c r="HP167" t="str">
        <f>"0010040117"</f>
        <v>0010040117</v>
      </c>
      <c r="HZ167" t="str">
        <f>""</f>
        <v/>
      </c>
      <c r="IA167" t="str">
        <f>HYPERLINK("https://web.datatree.com/?/property?propertyId=128793104")</f>
        <v>https://web.datatree.com/?/property?propertyId=128793104</v>
      </c>
    </row>
    <row r="168" spans="1:235" x14ac:dyDescent="0.3">
      <c r="A168" t="s">
        <v>1936</v>
      </c>
      <c r="B168" t="s">
        <v>1937</v>
      </c>
      <c r="C168" t="s">
        <v>1937</v>
      </c>
      <c r="D168" t="s">
        <v>1938</v>
      </c>
      <c r="E168" t="s">
        <v>3</v>
      </c>
      <c r="F168">
        <v>3</v>
      </c>
      <c r="O168" t="s">
        <v>1939</v>
      </c>
      <c r="P168" t="s">
        <v>1936</v>
      </c>
      <c r="T168" t="s">
        <v>5</v>
      </c>
      <c r="V168" t="s">
        <v>109</v>
      </c>
      <c r="W168">
        <v>810</v>
      </c>
      <c r="Z168" t="s">
        <v>171</v>
      </c>
      <c r="AA168" t="s">
        <v>7</v>
      </c>
      <c r="AC168" t="s">
        <v>106</v>
      </c>
      <c r="AE168" t="s">
        <v>8</v>
      </c>
      <c r="AF168" t="str">
        <f>"78140"</f>
        <v>78140</v>
      </c>
      <c r="AG168" t="str">
        <f>"78140"</f>
        <v>78140</v>
      </c>
      <c r="AH168" t="s">
        <v>2</v>
      </c>
      <c r="AJ168" t="s">
        <v>1940</v>
      </c>
      <c r="AK168" t="s">
        <v>1941</v>
      </c>
      <c r="AL168" t="s">
        <v>109</v>
      </c>
      <c r="AM168">
        <v>707</v>
      </c>
      <c r="AP168" t="s">
        <v>1942</v>
      </c>
      <c r="AQ168" t="s">
        <v>7</v>
      </c>
      <c r="AS168" t="s">
        <v>106</v>
      </c>
      <c r="AT168" t="s">
        <v>106</v>
      </c>
      <c r="AU168" t="s">
        <v>8</v>
      </c>
      <c r="AV168" t="str">
        <f>"78140-3185"</f>
        <v>78140-3185</v>
      </c>
      <c r="AW168" t="s">
        <v>111</v>
      </c>
      <c r="AX168" t="s">
        <v>1943</v>
      </c>
      <c r="AY168" t="s">
        <v>1944</v>
      </c>
      <c r="AZ168" t="s">
        <v>18</v>
      </c>
      <c r="BA168" t="s">
        <v>1945</v>
      </c>
      <c r="BB168" t="str">
        <f>"9891"</f>
        <v>9891</v>
      </c>
      <c r="BC168" t="str">
        <f>"9891"</f>
        <v>9891</v>
      </c>
      <c r="BD168" t="str">
        <f>"144831600000000000000"</f>
        <v>144831600000000000000</v>
      </c>
      <c r="BE168">
        <v>48177</v>
      </c>
      <c r="BG168">
        <v>500</v>
      </c>
      <c r="BH168">
        <v>1154</v>
      </c>
      <c r="BI168" t="s">
        <v>20</v>
      </c>
      <c r="BN168">
        <v>29.277926946274501</v>
      </c>
      <c r="BO168">
        <v>-97.759442479049895</v>
      </c>
      <c r="BX168" t="s">
        <v>22</v>
      </c>
      <c r="CA168" t="str">
        <f>""</f>
        <v/>
      </c>
      <c r="CD168">
        <v>0</v>
      </c>
      <c r="CO168">
        <v>0</v>
      </c>
      <c r="EA168" s="1">
        <v>1</v>
      </c>
      <c r="EC168" t="s">
        <v>23</v>
      </c>
      <c r="ED168" t="s">
        <v>24</v>
      </c>
      <c r="EE168" t="s">
        <v>25</v>
      </c>
      <c r="EG168">
        <v>165092</v>
      </c>
      <c r="EH168">
        <v>3.79</v>
      </c>
      <c r="EI168">
        <v>35000</v>
      </c>
      <c r="EJ168">
        <f t="shared" si="5"/>
        <v>17500</v>
      </c>
      <c r="ER168">
        <v>1</v>
      </c>
      <c r="EW168" t="s">
        <v>26</v>
      </c>
      <c r="EX168" t="s">
        <v>116</v>
      </c>
      <c r="EY168" t="s">
        <v>117</v>
      </c>
      <c r="EZ168" s="2">
        <v>40515</v>
      </c>
      <c r="FA168" t="s">
        <v>143</v>
      </c>
      <c r="FB168" t="str">
        <f>"FALSE"</f>
        <v>FALSE</v>
      </c>
      <c r="FC168">
        <v>2019</v>
      </c>
      <c r="FD168">
        <v>2016</v>
      </c>
      <c r="FE168" t="s">
        <v>119</v>
      </c>
      <c r="FF168" t="s">
        <v>31</v>
      </c>
      <c r="FG168" t="s">
        <v>31</v>
      </c>
      <c r="FH168" t="s">
        <v>31</v>
      </c>
      <c r="FI168" t="s">
        <v>31</v>
      </c>
      <c r="FJ168" t="s">
        <v>31</v>
      </c>
      <c r="FK168" t="s">
        <v>31</v>
      </c>
      <c r="FL168" t="s">
        <v>31</v>
      </c>
      <c r="FM168" t="s">
        <v>31</v>
      </c>
      <c r="FN168" t="s">
        <v>31</v>
      </c>
      <c r="FO168" t="s">
        <v>31</v>
      </c>
      <c r="FP168" t="s">
        <v>31</v>
      </c>
      <c r="FQ168" t="s">
        <v>31</v>
      </c>
      <c r="FR168" t="s">
        <v>31</v>
      </c>
      <c r="FS168" s="3">
        <v>32240</v>
      </c>
      <c r="FT168" s="3">
        <v>31980</v>
      </c>
      <c r="FU168" s="3">
        <v>260</v>
      </c>
      <c r="FV168">
        <v>0.81</v>
      </c>
      <c r="FW168" s="3">
        <v>32240</v>
      </c>
      <c r="FX168" s="3">
        <v>31980</v>
      </c>
      <c r="FY168" s="3">
        <v>260</v>
      </c>
      <c r="FZ168">
        <v>0.81</v>
      </c>
      <c r="GE168" s="3">
        <v>696.58</v>
      </c>
      <c r="GG168" s="3">
        <v>32240</v>
      </c>
      <c r="GI168" t="s">
        <v>120</v>
      </c>
      <c r="GL168" t="s">
        <v>121</v>
      </c>
      <c r="GM168" t="s">
        <v>122</v>
      </c>
      <c r="GN168" t="s">
        <v>123</v>
      </c>
      <c r="GS168" t="str">
        <f>""</f>
        <v/>
      </c>
      <c r="GT168" t="str">
        <f>""</f>
        <v/>
      </c>
      <c r="GV168" s="2">
        <v>39451</v>
      </c>
      <c r="GW168" s="3">
        <v>0</v>
      </c>
      <c r="GY168" t="s">
        <v>36</v>
      </c>
      <c r="GZ168" t="s">
        <v>37</v>
      </c>
      <c r="HF168" t="str">
        <f>""</f>
        <v/>
      </c>
      <c r="HK168" t="str">
        <f>""</f>
        <v/>
      </c>
      <c r="HN168" t="s">
        <v>38</v>
      </c>
      <c r="HP168" t="str">
        <f>"0009750253"</f>
        <v>0009750253</v>
      </c>
      <c r="HZ168" t="str">
        <f>""</f>
        <v/>
      </c>
      <c r="IA168" t="str">
        <f>HYPERLINK("https://web.datatree.com/?/property?propertyId=128807011")</f>
        <v>https://web.datatree.com/?/property?propertyId=128807011</v>
      </c>
    </row>
    <row r="169" spans="1:235" x14ac:dyDescent="0.3">
      <c r="A169" t="s">
        <v>1065</v>
      </c>
      <c r="B169" t="s">
        <v>1066</v>
      </c>
      <c r="C169" t="s">
        <v>1066</v>
      </c>
      <c r="D169" t="s">
        <v>1067</v>
      </c>
      <c r="E169" t="s">
        <v>3</v>
      </c>
      <c r="F169">
        <v>2</v>
      </c>
      <c r="O169" t="s">
        <v>1068</v>
      </c>
      <c r="P169" t="s">
        <v>1065</v>
      </c>
      <c r="T169" t="s">
        <v>137</v>
      </c>
      <c r="V169" t="s">
        <v>109</v>
      </c>
      <c r="W169">
        <v>14628</v>
      </c>
      <c r="Z169" t="s">
        <v>487</v>
      </c>
      <c r="AC169" t="s">
        <v>72</v>
      </c>
      <c r="AE169" t="s">
        <v>8</v>
      </c>
      <c r="AF169" t="str">
        <f>"78959"</f>
        <v>78959</v>
      </c>
      <c r="AG169" t="str">
        <f>"78959-5190"</f>
        <v>78959-5190</v>
      </c>
      <c r="AH169" t="s">
        <v>2</v>
      </c>
      <c r="AI169" t="s">
        <v>152</v>
      </c>
      <c r="AJ169" t="s">
        <v>1069</v>
      </c>
      <c r="AK169" t="s">
        <v>1070</v>
      </c>
      <c r="AL169" t="s">
        <v>109</v>
      </c>
      <c r="AM169">
        <v>14628</v>
      </c>
      <c r="AP169" t="s">
        <v>487</v>
      </c>
      <c r="AS169" t="s">
        <v>72</v>
      </c>
      <c r="AU169" t="s">
        <v>8</v>
      </c>
      <c r="AV169" t="str">
        <f>"78959-5190"</f>
        <v>78959-5190</v>
      </c>
      <c r="AW169" t="s">
        <v>152</v>
      </c>
      <c r="AX169" t="s">
        <v>1069</v>
      </c>
      <c r="AY169" t="s">
        <v>1071</v>
      </c>
      <c r="BA169" t="s">
        <v>1072</v>
      </c>
      <c r="BB169" t="str">
        <f>"7263"</f>
        <v>7263</v>
      </c>
      <c r="BC169" t="str">
        <f>"7263"</f>
        <v>7263</v>
      </c>
      <c r="BD169" t="str">
        <f>"130310500000000000000"</f>
        <v>130310500000000000000</v>
      </c>
      <c r="BE169">
        <v>48177</v>
      </c>
      <c r="BG169">
        <v>100</v>
      </c>
      <c r="BH169">
        <v>2107</v>
      </c>
      <c r="BN169">
        <v>29.681926176926101</v>
      </c>
      <c r="BO169">
        <v>-97.302314907943497</v>
      </c>
      <c r="BX169" t="s">
        <v>22</v>
      </c>
      <c r="CA169" t="str">
        <f>""</f>
        <v/>
      </c>
      <c r="CD169">
        <v>0</v>
      </c>
      <c r="CO169">
        <v>0</v>
      </c>
      <c r="EA169" s="1">
        <v>1</v>
      </c>
      <c r="EC169" t="s">
        <v>23</v>
      </c>
      <c r="ED169" t="s">
        <v>24</v>
      </c>
      <c r="EE169" t="s">
        <v>25</v>
      </c>
      <c r="EG169">
        <v>174240</v>
      </c>
      <c r="EH169">
        <v>4</v>
      </c>
      <c r="EI169">
        <v>52000</v>
      </c>
      <c r="EJ169">
        <f t="shared" si="5"/>
        <v>26000</v>
      </c>
      <c r="EW169" t="s">
        <v>26</v>
      </c>
      <c r="EX169" t="s">
        <v>1040</v>
      </c>
      <c r="EY169" t="s">
        <v>1041</v>
      </c>
      <c r="EZ169" s="2">
        <v>40515</v>
      </c>
      <c r="FA169" t="s">
        <v>143</v>
      </c>
      <c r="FB169" t="str">
        <f>"FALSE"</f>
        <v>FALSE</v>
      </c>
      <c r="FC169">
        <v>2019</v>
      </c>
      <c r="FD169">
        <v>2016</v>
      </c>
      <c r="FE169" t="s">
        <v>205</v>
      </c>
      <c r="FF169" t="s">
        <v>31</v>
      </c>
      <c r="FG169" t="s">
        <v>31</v>
      </c>
      <c r="FH169" t="s">
        <v>31</v>
      </c>
      <c r="FI169" t="s">
        <v>31</v>
      </c>
      <c r="FJ169" t="s">
        <v>31</v>
      </c>
      <c r="FK169" t="s">
        <v>31</v>
      </c>
      <c r="FL169" t="s">
        <v>31</v>
      </c>
      <c r="FM169" t="s">
        <v>31</v>
      </c>
      <c r="FN169" t="s">
        <v>31</v>
      </c>
      <c r="FO169" t="s">
        <v>31</v>
      </c>
      <c r="FP169" t="s">
        <v>31</v>
      </c>
      <c r="FQ169" t="s">
        <v>31</v>
      </c>
      <c r="FR169" t="s">
        <v>31</v>
      </c>
      <c r="FS169" s="3">
        <v>20350</v>
      </c>
      <c r="FT169" s="3">
        <v>20350</v>
      </c>
      <c r="FW169" s="3">
        <v>20350</v>
      </c>
      <c r="FX169" s="3">
        <v>20350</v>
      </c>
      <c r="GE169" s="3">
        <v>452.12</v>
      </c>
      <c r="GG169" s="3">
        <v>20350</v>
      </c>
      <c r="GI169" t="s">
        <v>206</v>
      </c>
      <c r="GL169" t="s">
        <v>207</v>
      </c>
      <c r="GM169" t="s">
        <v>207</v>
      </c>
      <c r="GN169" t="s">
        <v>207</v>
      </c>
      <c r="GO169" s="2">
        <v>42926</v>
      </c>
      <c r="GP169" s="2">
        <v>42926</v>
      </c>
      <c r="GQ169" s="3">
        <v>0</v>
      </c>
      <c r="GR169" t="s">
        <v>586</v>
      </c>
      <c r="GS169" t="str">
        <f>""</f>
        <v/>
      </c>
      <c r="GT169" t="str">
        <f>"290722"</f>
        <v>290722</v>
      </c>
      <c r="HF169" t="str">
        <f>""</f>
        <v/>
      </c>
      <c r="HK169" t="str">
        <f>""</f>
        <v/>
      </c>
      <c r="HN169" t="s">
        <v>38</v>
      </c>
      <c r="HP169" t="str">
        <f>""</f>
        <v/>
      </c>
      <c r="HZ169" t="str">
        <f>""</f>
        <v/>
      </c>
      <c r="IA169" t="str">
        <f>HYPERLINK("https://web.datatree.com/?/property?propertyId=128804338")</f>
        <v>https://web.datatree.com/?/property?propertyId=128804338</v>
      </c>
    </row>
    <row r="170" spans="1:235" x14ac:dyDescent="0.3">
      <c r="A170" t="s">
        <v>83</v>
      </c>
      <c r="D170" t="s">
        <v>83</v>
      </c>
      <c r="E170" t="s">
        <v>84</v>
      </c>
      <c r="F170">
        <v>1</v>
      </c>
      <c r="O170" t="s">
        <v>83</v>
      </c>
      <c r="P170" t="s">
        <v>83</v>
      </c>
      <c r="R170" t="s">
        <v>85</v>
      </c>
      <c r="T170" t="s">
        <v>55</v>
      </c>
      <c r="Z170" t="s">
        <v>86</v>
      </c>
      <c r="AC170" t="s">
        <v>2</v>
      </c>
      <c r="AE170" t="s">
        <v>8</v>
      </c>
      <c r="AF170" t="str">
        <f>"78629"</f>
        <v>78629</v>
      </c>
      <c r="AG170" t="str">
        <f>"78629"</f>
        <v>78629</v>
      </c>
      <c r="AH170" t="s">
        <v>2</v>
      </c>
      <c r="AJ170" t="s">
        <v>87</v>
      </c>
      <c r="AK170" t="s">
        <v>88</v>
      </c>
      <c r="AM170">
        <v>5900</v>
      </c>
      <c r="AP170" t="s">
        <v>89</v>
      </c>
      <c r="AQ170" t="s">
        <v>77</v>
      </c>
      <c r="AR170">
        <v>160</v>
      </c>
      <c r="AS170" t="s">
        <v>90</v>
      </c>
      <c r="AT170" t="s">
        <v>90</v>
      </c>
      <c r="AU170" t="s">
        <v>8</v>
      </c>
      <c r="AV170" t="str">
        <f>"78731-4293"</f>
        <v>78731-4293</v>
      </c>
      <c r="AW170" t="s">
        <v>91</v>
      </c>
      <c r="AX170" t="s">
        <v>92</v>
      </c>
      <c r="AY170" t="s">
        <v>93</v>
      </c>
      <c r="AZ170" t="s">
        <v>18</v>
      </c>
      <c r="BA170" t="s">
        <v>94</v>
      </c>
      <c r="BB170" t="str">
        <f>"12429"</f>
        <v>12429</v>
      </c>
      <c r="BC170" t="str">
        <f>"12429"</f>
        <v>12429</v>
      </c>
      <c r="BD170" t="str">
        <f>"162404500008950000000"</f>
        <v>162404500008950000000</v>
      </c>
      <c r="BE170">
        <v>48177</v>
      </c>
      <c r="BG170">
        <v>400</v>
      </c>
      <c r="BH170">
        <v>2001</v>
      </c>
      <c r="BI170" t="s">
        <v>20</v>
      </c>
      <c r="BN170">
        <v>29.519486799969599</v>
      </c>
      <c r="BO170">
        <v>-97.441460365055306</v>
      </c>
      <c r="BX170" t="s">
        <v>22</v>
      </c>
      <c r="CA170" t="str">
        <f>""</f>
        <v/>
      </c>
      <c r="CD170">
        <v>0</v>
      </c>
      <c r="CO170">
        <v>0</v>
      </c>
      <c r="EA170" s="1">
        <v>1</v>
      </c>
      <c r="EC170" t="s">
        <v>23</v>
      </c>
      <c r="ED170" t="s">
        <v>24</v>
      </c>
      <c r="EE170" t="s">
        <v>25</v>
      </c>
      <c r="EG170">
        <v>191054</v>
      </c>
      <c r="EH170">
        <v>4.3899999999999997</v>
      </c>
      <c r="EI170">
        <v>52000</v>
      </c>
      <c r="EJ170">
        <f t="shared" si="5"/>
        <v>26000</v>
      </c>
      <c r="EW170" t="s">
        <v>26</v>
      </c>
      <c r="EX170" t="s">
        <v>27</v>
      </c>
      <c r="EY170" t="s">
        <v>28</v>
      </c>
      <c r="EZ170" s="2">
        <v>40515</v>
      </c>
      <c r="FA170" t="s">
        <v>29</v>
      </c>
      <c r="FB170" t="str">
        <f>"FALSE"</f>
        <v>FALSE</v>
      </c>
      <c r="FC170">
        <v>2019</v>
      </c>
      <c r="FD170">
        <v>2016</v>
      </c>
      <c r="FE170" t="s">
        <v>30</v>
      </c>
      <c r="FF170" t="s">
        <v>31</v>
      </c>
      <c r="FG170" t="s">
        <v>31</v>
      </c>
      <c r="FH170" t="s">
        <v>31</v>
      </c>
      <c r="FI170" t="s">
        <v>31</v>
      </c>
      <c r="FJ170" t="s">
        <v>31</v>
      </c>
      <c r="FK170" t="s">
        <v>31</v>
      </c>
      <c r="FL170" t="s">
        <v>31</v>
      </c>
      <c r="FM170" t="s">
        <v>31</v>
      </c>
      <c r="FN170" t="s">
        <v>31</v>
      </c>
      <c r="FO170" t="s">
        <v>31</v>
      </c>
      <c r="FP170" t="s">
        <v>31</v>
      </c>
      <c r="FQ170" t="s">
        <v>31</v>
      </c>
      <c r="FR170" t="s">
        <v>31</v>
      </c>
      <c r="FS170" s="3">
        <v>41420</v>
      </c>
      <c r="FT170" s="3">
        <v>41420</v>
      </c>
      <c r="FW170" s="3">
        <v>41420</v>
      </c>
      <c r="FX170" s="3">
        <v>41420</v>
      </c>
      <c r="GE170" s="3">
        <v>918.7</v>
      </c>
      <c r="GG170" s="3">
        <v>41420</v>
      </c>
      <c r="GI170" t="s">
        <v>32</v>
      </c>
      <c r="GL170" t="s">
        <v>33</v>
      </c>
      <c r="GM170" t="s">
        <v>34</v>
      </c>
      <c r="GN170" t="s">
        <v>35</v>
      </c>
      <c r="GS170" t="str">
        <f>""</f>
        <v/>
      </c>
      <c r="GT170" t="str">
        <f>""</f>
        <v/>
      </c>
      <c r="GV170" s="2">
        <v>36251</v>
      </c>
      <c r="GW170" s="3">
        <v>0</v>
      </c>
      <c r="GY170" t="s">
        <v>36</v>
      </c>
      <c r="GZ170" t="s">
        <v>37</v>
      </c>
      <c r="HF170" t="str">
        <f>""</f>
        <v/>
      </c>
      <c r="HK170" t="str">
        <f>""</f>
        <v/>
      </c>
      <c r="HN170" t="s">
        <v>38</v>
      </c>
      <c r="HP170" t="str">
        <f>"0008150388"</f>
        <v>0008150388</v>
      </c>
      <c r="HZ170" t="str">
        <f>""</f>
        <v/>
      </c>
      <c r="IA170" t="str">
        <f>HYPERLINK("https://web.datatree.com/?/property?propertyId=128791395")</f>
        <v>https://web.datatree.com/?/property?propertyId=128791395</v>
      </c>
    </row>
    <row r="171" spans="1:235" x14ac:dyDescent="0.3">
      <c r="A171" t="s">
        <v>1572</v>
      </c>
      <c r="B171" t="s">
        <v>1573</v>
      </c>
      <c r="C171" t="s">
        <v>1574</v>
      </c>
      <c r="D171" t="s">
        <v>1575</v>
      </c>
      <c r="E171" t="s">
        <v>3</v>
      </c>
      <c r="F171">
        <v>1</v>
      </c>
      <c r="O171" t="s">
        <v>1576</v>
      </c>
      <c r="P171" t="s">
        <v>1572</v>
      </c>
      <c r="T171" t="s">
        <v>55</v>
      </c>
      <c r="Z171" t="s">
        <v>1577</v>
      </c>
      <c r="AB171">
        <v>7</v>
      </c>
      <c r="AE171" t="s">
        <v>8</v>
      </c>
      <c r="AH171" t="s">
        <v>2</v>
      </c>
      <c r="AJ171" t="s">
        <v>1578</v>
      </c>
      <c r="AK171" t="s">
        <v>1579</v>
      </c>
      <c r="AM171">
        <v>1004</v>
      </c>
      <c r="AP171" t="s">
        <v>1580</v>
      </c>
      <c r="AQ171" t="s">
        <v>7</v>
      </c>
      <c r="AS171" t="s">
        <v>2</v>
      </c>
      <c r="AT171" t="s">
        <v>2</v>
      </c>
      <c r="AU171" t="s">
        <v>8</v>
      </c>
      <c r="AV171" t="str">
        <f>"78629-4628"</f>
        <v>78629-4628</v>
      </c>
      <c r="AW171" t="s">
        <v>281</v>
      </c>
      <c r="AX171" t="s">
        <v>1581</v>
      </c>
      <c r="AY171" t="s">
        <v>1582</v>
      </c>
      <c r="AZ171" t="s">
        <v>18</v>
      </c>
      <c r="BA171" t="s">
        <v>1583</v>
      </c>
      <c r="BB171" t="str">
        <f>"21260"</f>
        <v>21260</v>
      </c>
      <c r="BC171" t="str">
        <f>"21260"</f>
        <v>21260</v>
      </c>
      <c r="BD171" t="str">
        <f>"901600000700000000000"</f>
        <v>901600000700000000000</v>
      </c>
      <c r="BE171">
        <v>48177</v>
      </c>
      <c r="BN171">
        <v>29.5064760390026</v>
      </c>
      <c r="BO171">
        <v>-97.626844501917006</v>
      </c>
      <c r="BP171" t="s">
        <v>1584</v>
      </c>
      <c r="BV171" t="s">
        <v>1585</v>
      </c>
      <c r="BX171" t="s">
        <v>22</v>
      </c>
      <c r="CA171" t="str">
        <f>"7|A/16"</f>
        <v>7|A/16</v>
      </c>
      <c r="CD171">
        <v>0</v>
      </c>
      <c r="CO171">
        <v>0</v>
      </c>
      <c r="EA171" s="1">
        <v>1</v>
      </c>
      <c r="EC171" t="s">
        <v>23</v>
      </c>
      <c r="ED171" t="s">
        <v>24</v>
      </c>
      <c r="EE171" t="s">
        <v>25</v>
      </c>
      <c r="EG171">
        <v>196020</v>
      </c>
      <c r="EH171">
        <v>4.5</v>
      </c>
      <c r="EI171">
        <v>52000</v>
      </c>
      <c r="EJ171">
        <f t="shared" si="5"/>
        <v>26000</v>
      </c>
      <c r="EW171" t="s">
        <v>26</v>
      </c>
      <c r="EX171" t="s">
        <v>708</v>
      </c>
      <c r="EY171" t="s">
        <v>709</v>
      </c>
      <c r="EZ171" s="2">
        <v>40515</v>
      </c>
      <c r="FA171" t="s">
        <v>143</v>
      </c>
      <c r="FB171" t="str">
        <f>"FALSE"</f>
        <v>FALSE</v>
      </c>
      <c r="FC171">
        <v>2019</v>
      </c>
      <c r="FD171">
        <v>2016</v>
      </c>
      <c r="FE171" t="s">
        <v>30</v>
      </c>
      <c r="FF171" t="s">
        <v>31</v>
      </c>
      <c r="FG171" t="s">
        <v>31</v>
      </c>
      <c r="FH171" t="s">
        <v>31</v>
      </c>
      <c r="FI171" t="s">
        <v>31</v>
      </c>
      <c r="FJ171" t="s">
        <v>31</v>
      </c>
      <c r="FK171" t="s">
        <v>31</v>
      </c>
      <c r="FL171" t="s">
        <v>31</v>
      </c>
      <c r="FM171" t="s">
        <v>31</v>
      </c>
      <c r="FN171" t="s">
        <v>31</v>
      </c>
      <c r="FO171" t="s">
        <v>31</v>
      </c>
      <c r="FP171" t="s">
        <v>31</v>
      </c>
      <c r="FQ171" t="s">
        <v>31</v>
      </c>
      <c r="FR171" t="s">
        <v>31</v>
      </c>
      <c r="FS171" s="3">
        <v>13500</v>
      </c>
      <c r="FT171" s="3">
        <v>13500</v>
      </c>
      <c r="FW171" s="3">
        <v>13500</v>
      </c>
      <c r="FX171" s="3">
        <v>13500</v>
      </c>
      <c r="GE171" s="3">
        <v>275.55</v>
      </c>
      <c r="GG171" s="3">
        <v>13500</v>
      </c>
      <c r="GI171" t="s">
        <v>32</v>
      </c>
      <c r="GL171" t="s">
        <v>33</v>
      </c>
      <c r="GM171" t="s">
        <v>34</v>
      </c>
      <c r="GN171" t="s">
        <v>35</v>
      </c>
      <c r="GS171" t="str">
        <f>""</f>
        <v/>
      </c>
      <c r="GT171" t="str">
        <f>""</f>
        <v/>
      </c>
      <c r="GV171" s="2">
        <v>37442</v>
      </c>
      <c r="GW171" s="3">
        <v>0</v>
      </c>
      <c r="GY171" t="s">
        <v>36</v>
      </c>
      <c r="GZ171" t="s">
        <v>37</v>
      </c>
      <c r="HF171" t="str">
        <f>""</f>
        <v/>
      </c>
      <c r="HK171" t="str">
        <f>""</f>
        <v/>
      </c>
      <c r="HN171" t="s">
        <v>38</v>
      </c>
      <c r="HP171" t="str">
        <f>"0008690726"</f>
        <v>0008690726</v>
      </c>
      <c r="HZ171" t="str">
        <f>""</f>
        <v/>
      </c>
      <c r="IA171" t="str">
        <f>HYPERLINK("https://web.datatree.com/?/property?propertyId=128797024")</f>
        <v>https://web.datatree.com/?/property?propertyId=128797024</v>
      </c>
    </row>
    <row r="172" spans="1:235" x14ac:dyDescent="0.3">
      <c r="A172" t="s">
        <v>1086</v>
      </c>
      <c r="B172" t="s">
        <v>1087</v>
      </c>
      <c r="C172" t="s">
        <v>508</v>
      </c>
      <c r="D172" t="s">
        <v>1088</v>
      </c>
      <c r="E172" t="s">
        <v>3</v>
      </c>
      <c r="F172">
        <v>2</v>
      </c>
      <c r="O172" t="s">
        <v>1089</v>
      </c>
      <c r="P172" t="s">
        <v>1086</v>
      </c>
      <c r="T172" t="s">
        <v>55</v>
      </c>
      <c r="W172" t="s">
        <v>1090</v>
      </c>
      <c r="Z172" t="s">
        <v>1091</v>
      </c>
      <c r="AB172" t="s">
        <v>1092</v>
      </c>
      <c r="AC172" t="s">
        <v>2</v>
      </c>
      <c r="AE172" t="s">
        <v>8</v>
      </c>
      <c r="AF172" t="str">
        <f>"78629"</f>
        <v>78629</v>
      </c>
      <c r="AG172" t="str">
        <f>"78629"</f>
        <v>78629</v>
      </c>
      <c r="AH172" t="s">
        <v>2</v>
      </c>
      <c r="AJ172" t="s">
        <v>1093</v>
      </c>
      <c r="AK172" t="s">
        <v>1094</v>
      </c>
      <c r="AM172">
        <v>1170</v>
      </c>
      <c r="AP172" t="s">
        <v>1095</v>
      </c>
      <c r="AQ172" t="s">
        <v>1096</v>
      </c>
      <c r="AS172" t="s">
        <v>1097</v>
      </c>
      <c r="AU172" t="s">
        <v>1098</v>
      </c>
      <c r="AV172" t="str">
        <f>"30680-8013"</f>
        <v>30680-8013</v>
      </c>
      <c r="AW172" t="s">
        <v>1099</v>
      </c>
      <c r="AX172" t="s">
        <v>1100</v>
      </c>
      <c r="AY172" t="s">
        <v>1101</v>
      </c>
      <c r="AZ172" t="s">
        <v>18</v>
      </c>
      <c r="BA172" t="s">
        <v>1102</v>
      </c>
      <c r="BB172" t="str">
        <f>"10828"</f>
        <v>10828</v>
      </c>
      <c r="BC172" t="str">
        <f>"10828"</f>
        <v>10828</v>
      </c>
      <c r="BD172" t="str">
        <f>"150309000000351000000"</f>
        <v>150309000000351000000</v>
      </c>
      <c r="BE172">
        <v>48177</v>
      </c>
      <c r="BG172">
        <v>400</v>
      </c>
      <c r="BH172">
        <v>2001</v>
      </c>
      <c r="BN172">
        <v>29.5389680377377</v>
      </c>
      <c r="BO172">
        <v>-97.410509874726699</v>
      </c>
      <c r="BX172" t="s">
        <v>22</v>
      </c>
      <c r="CA172" t="str">
        <f>""</f>
        <v/>
      </c>
      <c r="CD172">
        <v>0</v>
      </c>
      <c r="CO172">
        <v>0</v>
      </c>
      <c r="EA172" s="1">
        <v>1</v>
      </c>
      <c r="EC172" t="s">
        <v>23</v>
      </c>
      <c r="ED172" t="s">
        <v>24</v>
      </c>
      <c r="EE172" t="s">
        <v>25</v>
      </c>
      <c r="EG172">
        <v>196891</v>
      </c>
      <c r="EH172">
        <v>4.5199999999999996</v>
      </c>
      <c r="EI172">
        <v>52000</v>
      </c>
      <c r="EJ172">
        <f t="shared" si="5"/>
        <v>26000</v>
      </c>
      <c r="EW172" t="s">
        <v>26</v>
      </c>
      <c r="EX172" t="s">
        <v>64</v>
      </c>
      <c r="EY172" t="s">
        <v>65</v>
      </c>
      <c r="EZ172" s="2">
        <v>40515</v>
      </c>
      <c r="FA172" t="s">
        <v>143</v>
      </c>
      <c r="FB172" t="str">
        <f>"FALSE"</f>
        <v>FALSE</v>
      </c>
      <c r="FC172">
        <v>2019</v>
      </c>
      <c r="FD172">
        <v>2016</v>
      </c>
      <c r="FE172" t="s">
        <v>30</v>
      </c>
      <c r="FF172" t="s">
        <v>31</v>
      </c>
      <c r="FG172" t="s">
        <v>31</v>
      </c>
      <c r="FH172" t="s">
        <v>31</v>
      </c>
      <c r="FI172" t="s">
        <v>31</v>
      </c>
      <c r="FJ172" t="s">
        <v>31</v>
      </c>
      <c r="FK172" t="s">
        <v>31</v>
      </c>
      <c r="FL172" t="s">
        <v>31</v>
      </c>
      <c r="FM172" t="s">
        <v>31</v>
      </c>
      <c r="FN172" t="s">
        <v>31</v>
      </c>
      <c r="FO172" t="s">
        <v>31</v>
      </c>
      <c r="FP172" t="s">
        <v>31</v>
      </c>
      <c r="FQ172" t="s">
        <v>31</v>
      </c>
      <c r="FR172" t="s">
        <v>31</v>
      </c>
      <c r="FS172" s="3">
        <v>37810</v>
      </c>
      <c r="FT172" s="3">
        <v>37810</v>
      </c>
      <c r="FW172" s="3">
        <v>37810</v>
      </c>
      <c r="FX172" s="3">
        <v>37810</v>
      </c>
      <c r="GE172" s="3">
        <v>771.74</v>
      </c>
      <c r="GG172" s="3">
        <v>37810</v>
      </c>
      <c r="GI172" t="s">
        <v>32</v>
      </c>
      <c r="GL172" t="s">
        <v>33</v>
      </c>
      <c r="GM172" t="s">
        <v>34</v>
      </c>
      <c r="GN172" t="s">
        <v>35</v>
      </c>
      <c r="GS172" t="str">
        <f>""</f>
        <v/>
      </c>
      <c r="GT172" t="str">
        <f>""</f>
        <v/>
      </c>
      <c r="HF172" t="str">
        <f>""</f>
        <v/>
      </c>
      <c r="HK172" t="str">
        <f>""</f>
        <v/>
      </c>
      <c r="HN172" t="s">
        <v>38</v>
      </c>
      <c r="HP172" t="str">
        <f>""</f>
        <v/>
      </c>
      <c r="HZ172" t="str">
        <f>""</f>
        <v/>
      </c>
      <c r="IA172" t="str">
        <f>HYPERLINK("https://web.datatree.com/?/property?propertyId=128789758")</f>
        <v>https://web.datatree.com/?/property?propertyId=128789758</v>
      </c>
    </row>
    <row r="173" spans="1:235" x14ac:dyDescent="0.3">
      <c r="A173" t="s">
        <v>1929</v>
      </c>
      <c r="D173" t="s">
        <v>1929</v>
      </c>
      <c r="E173" t="s">
        <v>84</v>
      </c>
      <c r="F173">
        <v>1</v>
      </c>
      <c r="O173" t="s">
        <v>1929</v>
      </c>
      <c r="P173" t="s">
        <v>1929</v>
      </c>
      <c r="T173" t="s">
        <v>55</v>
      </c>
      <c r="AE173" t="s">
        <v>8</v>
      </c>
      <c r="AH173" t="s">
        <v>2</v>
      </c>
      <c r="AK173" t="s">
        <v>1113</v>
      </c>
      <c r="AM173">
        <v>2901</v>
      </c>
      <c r="AP173" t="s">
        <v>1670</v>
      </c>
      <c r="AQ173" t="s">
        <v>1660</v>
      </c>
      <c r="AR173">
        <v>450</v>
      </c>
      <c r="AS173" t="s">
        <v>1930</v>
      </c>
      <c r="AT173" t="s">
        <v>1930</v>
      </c>
      <c r="AU173" t="s">
        <v>8</v>
      </c>
      <c r="AV173" t="str">
        <f>"75093-5997"</f>
        <v>75093-5997</v>
      </c>
      <c r="AW173" t="s">
        <v>1931</v>
      </c>
      <c r="AX173" t="s">
        <v>1932</v>
      </c>
      <c r="AY173" t="s">
        <v>1933</v>
      </c>
      <c r="AZ173" t="s">
        <v>18</v>
      </c>
      <c r="BA173" t="s">
        <v>1934</v>
      </c>
      <c r="BB173" t="str">
        <f>"840"</f>
        <v>840</v>
      </c>
      <c r="BC173" t="str">
        <f>"840"</f>
        <v>840</v>
      </c>
      <c r="BD173" t="str">
        <f>"902510000000000000000"</f>
        <v>902510000000000000000</v>
      </c>
      <c r="BE173">
        <v>48177</v>
      </c>
      <c r="BN173">
        <v>29.5482698349694</v>
      </c>
      <c r="BO173">
        <v>-97.430574332240397</v>
      </c>
      <c r="BP173" t="s">
        <v>1935</v>
      </c>
      <c r="BX173" t="s">
        <v>22</v>
      </c>
      <c r="CA173" t="str">
        <f>""</f>
        <v/>
      </c>
      <c r="CD173">
        <v>0</v>
      </c>
      <c r="CO173">
        <v>0</v>
      </c>
      <c r="EA173" s="1">
        <v>1</v>
      </c>
      <c r="EC173" t="s">
        <v>23</v>
      </c>
      <c r="ED173" t="s">
        <v>24</v>
      </c>
      <c r="EE173" t="s">
        <v>25</v>
      </c>
      <c r="EG173">
        <v>198459</v>
      </c>
      <c r="EH173">
        <v>4.5599999999999996</v>
      </c>
      <c r="EI173">
        <v>52000</v>
      </c>
      <c r="EJ173">
        <f t="shared" si="5"/>
        <v>26000</v>
      </c>
      <c r="EW173" t="s">
        <v>26</v>
      </c>
      <c r="EX173" t="s">
        <v>64</v>
      </c>
      <c r="EY173" t="s">
        <v>65</v>
      </c>
      <c r="EZ173" s="2">
        <v>40515</v>
      </c>
      <c r="FA173" t="s">
        <v>143</v>
      </c>
      <c r="FB173" t="str">
        <f>"FALSE"</f>
        <v>FALSE</v>
      </c>
      <c r="FC173">
        <v>2019</v>
      </c>
      <c r="FD173">
        <v>2016</v>
      </c>
      <c r="FE173" t="s">
        <v>30</v>
      </c>
      <c r="FF173" t="s">
        <v>31</v>
      </c>
      <c r="FG173" t="s">
        <v>31</v>
      </c>
      <c r="FH173" t="s">
        <v>31</v>
      </c>
      <c r="FI173" t="s">
        <v>31</v>
      </c>
      <c r="FJ173" t="s">
        <v>31</v>
      </c>
      <c r="FK173" t="s">
        <v>31</v>
      </c>
      <c r="FL173" t="s">
        <v>31</v>
      </c>
      <c r="FM173" t="s">
        <v>31</v>
      </c>
      <c r="FN173" t="s">
        <v>31</v>
      </c>
      <c r="FO173" t="s">
        <v>31</v>
      </c>
      <c r="FP173" t="s">
        <v>31</v>
      </c>
      <c r="FQ173" t="s">
        <v>31</v>
      </c>
      <c r="FR173" t="s">
        <v>31</v>
      </c>
      <c r="FS173" s="3">
        <v>40190</v>
      </c>
      <c r="FT173" s="3">
        <v>40190</v>
      </c>
      <c r="FW173" s="3">
        <v>40190</v>
      </c>
      <c r="FX173" s="3">
        <v>40190</v>
      </c>
      <c r="GE173" s="3">
        <v>820.32</v>
      </c>
      <c r="GG173" s="3">
        <v>40190</v>
      </c>
      <c r="GI173" t="s">
        <v>32</v>
      </c>
      <c r="GL173" t="s">
        <v>33</v>
      </c>
      <c r="GM173" t="s">
        <v>34</v>
      </c>
      <c r="GN173" t="s">
        <v>35</v>
      </c>
      <c r="GP173" s="2">
        <v>32325</v>
      </c>
      <c r="GQ173" s="3">
        <v>0</v>
      </c>
      <c r="GR173" t="s">
        <v>36</v>
      </c>
      <c r="GS173" t="str">
        <f>""</f>
        <v/>
      </c>
      <c r="GT173" t="str">
        <f>"0006190005"</f>
        <v>0006190005</v>
      </c>
      <c r="HF173" t="str">
        <f>""</f>
        <v/>
      </c>
      <c r="HK173" t="str">
        <f>""</f>
        <v/>
      </c>
      <c r="HN173" t="s">
        <v>38</v>
      </c>
      <c r="HP173" t="str">
        <f>""</f>
        <v/>
      </c>
      <c r="HZ173" t="str">
        <f>""</f>
        <v/>
      </c>
      <c r="IA173" t="str">
        <f>HYPERLINK("https://web.datatree.com/?/property?propertyId=128805474")</f>
        <v>https://web.datatree.com/?/property?propertyId=128805474</v>
      </c>
    </row>
    <row r="174" spans="1:235" x14ac:dyDescent="0.3">
      <c r="A174" t="s">
        <v>222</v>
      </c>
      <c r="B174" t="s">
        <v>223</v>
      </c>
      <c r="C174" t="s">
        <v>224</v>
      </c>
      <c r="D174" t="s">
        <v>225</v>
      </c>
      <c r="E174" t="s">
        <v>3</v>
      </c>
      <c r="F174">
        <v>1</v>
      </c>
      <c r="O174" t="s">
        <v>226</v>
      </c>
      <c r="P174" t="s">
        <v>222</v>
      </c>
      <c r="T174" t="s">
        <v>55</v>
      </c>
      <c r="W174">
        <v>488</v>
      </c>
      <c r="Z174" t="s">
        <v>227</v>
      </c>
      <c r="AC174" t="s">
        <v>2</v>
      </c>
      <c r="AE174" t="s">
        <v>8</v>
      </c>
      <c r="AF174" t="str">
        <f>"78629"</f>
        <v>78629</v>
      </c>
      <c r="AG174" t="str">
        <f>"78629"</f>
        <v>78629</v>
      </c>
      <c r="AH174" t="s">
        <v>2</v>
      </c>
      <c r="AJ174" t="s">
        <v>228</v>
      </c>
      <c r="AK174" t="s">
        <v>229</v>
      </c>
      <c r="AL174" t="s">
        <v>52</v>
      </c>
      <c r="AM174">
        <v>15791</v>
      </c>
      <c r="AP174" t="s">
        <v>230</v>
      </c>
      <c r="AS174" t="s">
        <v>231</v>
      </c>
      <c r="AU174" t="s">
        <v>8</v>
      </c>
      <c r="AV174" t="str">
        <f>"78155"</f>
        <v>78155</v>
      </c>
      <c r="AW174" t="s">
        <v>232</v>
      </c>
      <c r="AX174" t="s">
        <v>233</v>
      </c>
      <c r="AY174" t="s">
        <v>234</v>
      </c>
      <c r="AZ174" t="s">
        <v>18</v>
      </c>
      <c r="BA174" t="s">
        <v>235</v>
      </c>
      <c r="BB174" t="str">
        <f>"1191"</f>
        <v>1191</v>
      </c>
      <c r="BC174" t="str">
        <f>"1191"</f>
        <v>1191</v>
      </c>
      <c r="BD174" t="str">
        <f>"102568000000400000000"</f>
        <v>102568000000400000000</v>
      </c>
      <c r="BE174">
        <v>48177</v>
      </c>
      <c r="BG174">
        <v>400</v>
      </c>
      <c r="BH174">
        <v>2001</v>
      </c>
      <c r="BN174">
        <v>29.534891617593701</v>
      </c>
      <c r="BO174">
        <v>-97.413193414193202</v>
      </c>
      <c r="BX174" t="s">
        <v>22</v>
      </c>
      <c r="CA174" t="str">
        <f>""</f>
        <v/>
      </c>
      <c r="CD174">
        <v>0</v>
      </c>
      <c r="CO174">
        <v>0</v>
      </c>
      <c r="EA174" s="1">
        <v>1</v>
      </c>
      <c r="EC174" t="s">
        <v>23</v>
      </c>
      <c r="ED174" t="s">
        <v>24</v>
      </c>
      <c r="EE174" t="s">
        <v>25</v>
      </c>
      <c r="EG174">
        <v>206039</v>
      </c>
      <c r="EH174">
        <v>4.7300000000000004</v>
      </c>
      <c r="EI174">
        <v>52000</v>
      </c>
      <c r="EJ174">
        <f t="shared" si="5"/>
        <v>26000</v>
      </c>
      <c r="EW174" t="s">
        <v>26</v>
      </c>
      <c r="EX174" t="s">
        <v>64</v>
      </c>
      <c r="EY174" t="s">
        <v>65</v>
      </c>
      <c r="EZ174" s="2">
        <v>40515</v>
      </c>
      <c r="FA174" t="s">
        <v>143</v>
      </c>
      <c r="FB174" t="str">
        <f>"FALSE"</f>
        <v>FALSE</v>
      </c>
      <c r="FC174">
        <v>2019</v>
      </c>
      <c r="FD174">
        <v>2016</v>
      </c>
      <c r="FE174" t="s">
        <v>30</v>
      </c>
      <c r="FF174" t="s">
        <v>31</v>
      </c>
      <c r="FG174" t="s">
        <v>31</v>
      </c>
      <c r="FH174" t="s">
        <v>31</v>
      </c>
      <c r="FI174" t="s">
        <v>31</v>
      </c>
      <c r="FJ174" t="s">
        <v>31</v>
      </c>
      <c r="FK174" t="s">
        <v>31</v>
      </c>
      <c r="FL174" t="s">
        <v>31</v>
      </c>
      <c r="FM174" t="s">
        <v>31</v>
      </c>
      <c r="FN174" t="s">
        <v>31</v>
      </c>
      <c r="FO174" t="s">
        <v>31</v>
      </c>
      <c r="FP174" t="s">
        <v>31</v>
      </c>
      <c r="FQ174" t="s">
        <v>31</v>
      </c>
      <c r="FR174" t="s">
        <v>31</v>
      </c>
      <c r="FS174" s="3">
        <v>13890</v>
      </c>
      <c r="FT174" s="3">
        <v>13890</v>
      </c>
      <c r="FW174" s="3">
        <v>13890</v>
      </c>
      <c r="FX174" s="3">
        <v>13890</v>
      </c>
      <c r="GE174" s="3">
        <v>283.51</v>
      </c>
      <c r="GG174" s="3">
        <v>13890</v>
      </c>
      <c r="GI174" t="s">
        <v>32</v>
      </c>
      <c r="GL174" t="s">
        <v>33</v>
      </c>
      <c r="GM174" t="s">
        <v>34</v>
      </c>
      <c r="GN174" t="s">
        <v>35</v>
      </c>
      <c r="GS174" t="str">
        <f>""</f>
        <v/>
      </c>
      <c r="GT174" t="str">
        <f>""</f>
        <v/>
      </c>
      <c r="HF174" t="str">
        <f>""</f>
        <v/>
      </c>
      <c r="HK174" t="str">
        <f>""</f>
        <v/>
      </c>
      <c r="HN174" t="s">
        <v>38</v>
      </c>
      <c r="HP174" t="str">
        <f>""</f>
        <v/>
      </c>
      <c r="HZ174" t="str">
        <f>""</f>
        <v/>
      </c>
      <c r="IA174" t="str">
        <f>HYPERLINK("https://web.datatree.com/?/property?propertyId=128790861")</f>
        <v>https://web.datatree.com/?/property?propertyId=128790861</v>
      </c>
    </row>
    <row r="175" spans="1:235" x14ac:dyDescent="0.3">
      <c r="A175" t="s">
        <v>236</v>
      </c>
      <c r="B175" t="s">
        <v>237</v>
      </c>
      <c r="C175" t="s">
        <v>238</v>
      </c>
      <c r="D175" t="s">
        <v>225</v>
      </c>
      <c r="E175" t="s">
        <v>3</v>
      </c>
      <c r="F175">
        <v>1</v>
      </c>
      <c r="O175" t="s">
        <v>239</v>
      </c>
      <c r="P175" t="s">
        <v>236</v>
      </c>
      <c r="T175" t="s">
        <v>55</v>
      </c>
      <c r="W175">
        <v>488</v>
      </c>
      <c r="Z175" t="s">
        <v>227</v>
      </c>
      <c r="AC175" t="s">
        <v>2</v>
      </c>
      <c r="AE175" t="s">
        <v>8</v>
      </c>
      <c r="AF175" t="str">
        <f>"78629"</f>
        <v>78629</v>
      </c>
      <c r="AG175" t="str">
        <f>"78629"</f>
        <v>78629</v>
      </c>
      <c r="AH175" t="s">
        <v>2</v>
      </c>
      <c r="AJ175" t="s">
        <v>228</v>
      </c>
      <c r="AK175" t="s">
        <v>229</v>
      </c>
      <c r="AM175">
        <v>6026</v>
      </c>
      <c r="AP175" t="s">
        <v>240</v>
      </c>
      <c r="AQ175" t="s">
        <v>77</v>
      </c>
      <c r="AS175" t="s">
        <v>241</v>
      </c>
      <c r="AT175" t="s">
        <v>241</v>
      </c>
      <c r="AU175" t="s">
        <v>8</v>
      </c>
      <c r="AV175" t="str">
        <f>"78220-1933"</f>
        <v>78220-1933</v>
      </c>
      <c r="AW175" t="s">
        <v>242</v>
      </c>
      <c r="AX175" t="s">
        <v>243</v>
      </c>
      <c r="AY175" t="s">
        <v>244</v>
      </c>
      <c r="AZ175" t="s">
        <v>18</v>
      </c>
      <c r="BA175" t="s">
        <v>235</v>
      </c>
      <c r="BB175" t="str">
        <f>"1192"</f>
        <v>1192</v>
      </c>
      <c r="BC175" t="str">
        <f>"1192"</f>
        <v>1192</v>
      </c>
      <c r="BD175" t="str">
        <f>"102568000000500000000"</f>
        <v>102568000000500000000</v>
      </c>
      <c r="BE175">
        <v>48177</v>
      </c>
      <c r="BG175">
        <v>400</v>
      </c>
      <c r="BH175">
        <v>2001</v>
      </c>
      <c r="BN175">
        <v>29.534891617593701</v>
      </c>
      <c r="BO175">
        <v>-97.413193414193202</v>
      </c>
      <c r="BX175" t="s">
        <v>22</v>
      </c>
      <c r="CA175" t="str">
        <f>""</f>
        <v/>
      </c>
      <c r="CD175">
        <v>0</v>
      </c>
      <c r="CO175">
        <v>0</v>
      </c>
      <c r="EA175" s="1">
        <v>1</v>
      </c>
      <c r="EC175" t="s">
        <v>23</v>
      </c>
      <c r="ED175" t="s">
        <v>24</v>
      </c>
      <c r="EE175" t="s">
        <v>25</v>
      </c>
      <c r="EG175">
        <v>206039</v>
      </c>
      <c r="EH175">
        <v>4.7300000000000004</v>
      </c>
      <c r="EI175">
        <v>52000</v>
      </c>
      <c r="EJ175">
        <f t="shared" si="5"/>
        <v>26000</v>
      </c>
      <c r="EW175" t="s">
        <v>26</v>
      </c>
      <c r="EX175" t="s">
        <v>64</v>
      </c>
      <c r="EY175" t="s">
        <v>65</v>
      </c>
      <c r="EZ175" s="2">
        <v>40515</v>
      </c>
      <c r="FA175" t="s">
        <v>143</v>
      </c>
      <c r="FB175" t="str">
        <f>"FALSE"</f>
        <v>FALSE</v>
      </c>
      <c r="FC175">
        <v>2019</v>
      </c>
      <c r="FD175">
        <v>2016</v>
      </c>
      <c r="FE175" t="s">
        <v>30</v>
      </c>
      <c r="FF175" t="s">
        <v>31</v>
      </c>
      <c r="FG175" t="s">
        <v>31</v>
      </c>
      <c r="FH175" t="s">
        <v>31</v>
      </c>
      <c r="FI175" t="s">
        <v>31</v>
      </c>
      <c r="FJ175" t="s">
        <v>31</v>
      </c>
      <c r="FK175" t="s">
        <v>31</v>
      </c>
      <c r="FL175" t="s">
        <v>31</v>
      </c>
      <c r="FM175" t="s">
        <v>31</v>
      </c>
      <c r="FN175" t="s">
        <v>31</v>
      </c>
      <c r="FO175" t="s">
        <v>31</v>
      </c>
      <c r="FP175" t="s">
        <v>31</v>
      </c>
      <c r="FQ175" t="s">
        <v>31</v>
      </c>
      <c r="FR175" t="s">
        <v>31</v>
      </c>
      <c r="FS175" s="3">
        <v>13890</v>
      </c>
      <c r="FT175" s="3">
        <v>13890</v>
      </c>
      <c r="FW175" s="3">
        <v>13890</v>
      </c>
      <c r="FX175" s="3">
        <v>13890</v>
      </c>
      <c r="GE175" s="3">
        <v>283.51</v>
      </c>
      <c r="GG175" s="3">
        <v>13890</v>
      </c>
      <c r="GI175" t="s">
        <v>32</v>
      </c>
      <c r="GL175" t="s">
        <v>33</v>
      </c>
      <c r="GM175" t="s">
        <v>34</v>
      </c>
      <c r="GN175" t="s">
        <v>35</v>
      </c>
      <c r="GS175" t="str">
        <f>""</f>
        <v/>
      </c>
      <c r="GT175" t="str">
        <f>""</f>
        <v/>
      </c>
      <c r="HF175" t="str">
        <f>""</f>
        <v/>
      </c>
      <c r="HK175" t="str">
        <f>""</f>
        <v/>
      </c>
      <c r="HN175" t="s">
        <v>38</v>
      </c>
      <c r="HP175" t="str">
        <f>""</f>
        <v/>
      </c>
      <c r="HZ175" t="str">
        <f>""</f>
        <v/>
      </c>
      <c r="IA175" t="str">
        <f>HYPERLINK("https://web.datatree.com/?/property?propertyId=128790872")</f>
        <v>https://web.datatree.com/?/property?propertyId=128790872</v>
      </c>
    </row>
    <row r="176" spans="1:235" x14ac:dyDescent="0.3">
      <c r="A176" t="s">
        <v>245</v>
      </c>
      <c r="B176" t="s">
        <v>246</v>
      </c>
      <c r="C176" t="s">
        <v>247</v>
      </c>
      <c r="D176" t="s">
        <v>248</v>
      </c>
      <c r="E176" t="s">
        <v>3</v>
      </c>
      <c r="F176">
        <v>1</v>
      </c>
      <c r="G176" t="s">
        <v>249</v>
      </c>
      <c r="H176" t="s">
        <v>250</v>
      </c>
      <c r="I176" t="s">
        <v>247</v>
      </c>
      <c r="J176" t="s">
        <v>248</v>
      </c>
      <c r="K176" t="s">
        <v>3</v>
      </c>
      <c r="L176">
        <v>1</v>
      </c>
      <c r="O176" t="s">
        <v>251</v>
      </c>
      <c r="P176" t="s">
        <v>252</v>
      </c>
      <c r="T176" t="s">
        <v>55</v>
      </c>
      <c r="W176">
        <v>488</v>
      </c>
      <c r="Z176" t="s">
        <v>227</v>
      </c>
      <c r="AC176" t="s">
        <v>2</v>
      </c>
      <c r="AE176" t="s">
        <v>8</v>
      </c>
      <c r="AF176" t="str">
        <f>"78629"</f>
        <v>78629</v>
      </c>
      <c r="AG176" t="str">
        <f>"78629"</f>
        <v>78629</v>
      </c>
      <c r="AH176" t="s">
        <v>2</v>
      </c>
      <c r="AJ176" t="s">
        <v>228</v>
      </c>
      <c r="AK176" t="s">
        <v>229</v>
      </c>
      <c r="AP176" t="s">
        <v>253</v>
      </c>
      <c r="AS176" t="s">
        <v>2</v>
      </c>
      <c r="AT176" t="s">
        <v>2</v>
      </c>
      <c r="AU176" t="s">
        <v>8</v>
      </c>
      <c r="AV176" t="str">
        <f>"78629"</f>
        <v>78629</v>
      </c>
      <c r="AW176" t="s">
        <v>254</v>
      </c>
      <c r="AX176" t="s">
        <v>255</v>
      </c>
      <c r="AY176" t="s">
        <v>256</v>
      </c>
      <c r="AZ176" t="s">
        <v>18</v>
      </c>
      <c r="BA176" t="s">
        <v>235</v>
      </c>
      <c r="BB176" t="str">
        <f>"1193"</f>
        <v>1193</v>
      </c>
      <c r="BC176" t="str">
        <f>"1193"</f>
        <v>1193</v>
      </c>
      <c r="BD176" t="str">
        <f>"102568000000600000000"</f>
        <v>102568000000600000000</v>
      </c>
      <c r="BE176">
        <v>48177</v>
      </c>
      <c r="BG176">
        <v>400</v>
      </c>
      <c r="BH176">
        <v>2001</v>
      </c>
      <c r="BN176">
        <v>29.534891617593701</v>
      </c>
      <c r="BO176">
        <v>-97.413193414193202</v>
      </c>
      <c r="BX176" t="s">
        <v>22</v>
      </c>
      <c r="CA176" t="str">
        <f>""</f>
        <v/>
      </c>
      <c r="CD176">
        <v>0</v>
      </c>
      <c r="CO176">
        <v>0</v>
      </c>
      <c r="EA176" s="1">
        <v>1</v>
      </c>
      <c r="EC176" t="s">
        <v>23</v>
      </c>
      <c r="ED176" t="s">
        <v>24</v>
      </c>
      <c r="EE176" t="s">
        <v>25</v>
      </c>
      <c r="EG176">
        <v>206039</v>
      </c>
      <c r="EH176">
        <v>4.7300000000000004</v>
      </c>
      <c r="EI176">
        <v>52000</v>
      </c>
      <c r="EJ176">
        <f t="shared" si="5"/>
        <v>26000</v>
      </c>
      <c r="EW176" t="s">
        <v>26</v>
      </c>
      <c r="EX176" t="s">
        <v>64</v>
      </c>
      <c r="EY176" t="s">
        <v>65</v>
      </c>
      <c r="EZ176" s="2">
        <v>40515</v>
      </c>
      <c r="FA176" t="s">
        <v>143</v>
      </c>
      <c r="FB176" t="str">
        <f>"FALSE"</f>
        <v>FALSE</v>
      </c>
      <c r="FC176">
        <v>2019</v>
      </c>
      <c r="FD176">
        <v>2016</v>
      </c>
      <c r="FE176" t="s">
        <v>30</v>
      </c>
      <c r="FF176" t="s">
        <v>31</v>
      </c>
      <c r="FG176" t="s">
        <v>31</v>
      </c>
      <c r="FH176" t="s">
        <v>31</v>
      </c>
      <c r="FI176" t="s">
        <v>31</v>
      </c>
      <c r="FJ176" t="s">
        <v>31</v>
      </c>
      <c r="FK176" t="s">
        <v>31</v>
      </c>
      <c r="FL176" t="s">
        <v>31</v>
      </c>
      <c r="FM176" t="s">
        <v>31</v>
      </c>
      <c r="FN176" t="s">
        <v>31</v>
      </c>
      <c r="FO176" t="s">
        <v>31</v>
      </c>
      <c r="FP176" t="s">
        <v>31</v>
      </c>
      <c r="FQ176" t="s">
        <v>31</v>
      </c>
      <c r="FR176" t="s">
        <v>31</v>
      </c>
      <c r="FS176" s="3">
        <v>13890</v>
      </c>
      <c r="FT176" s="3">
        <v>13890</v>
      </c>
      <c r="FW176" s="3">
        <v>13890</v>
      </c>
      <c r="FX176" s="3">
        <v>13890</v>
      </c>
      <c r="GE176" s="3">
        <v>283.51</v>
      </c>
      <c r="GG176" s="3">
        <v>13890</v>
      </c>
      <c r="GI176" t="s">
        <v>32</v>
      </c>
      <c r="GL176" t="s">
        <v>33</v>
      </c>
      <c r="GM176" t="s">
        <v>34</v>
      </c>
      <c r="GN176" t="s">
        <v>35</v>
      </c>
      <c r="GS176" t="str">
        <f>""</f>
        <v/>
      </c>
      <c r="GT176" t="str">
        <f>""</f>
        <v/>
      </c>
      <c r="HF176" t="str">
        <f>""</f>
        <v/>
      </c>
      <c r="HK176" t="str">
        <f>""</f>
        <v/>
      </c>
      <c r="HN176" t="s">
        <v>38</v>
      </c>
      <c r="HP176" t="str">
        <f>""</f>
        <v/>
      </c>
      <c r="HZ176" t="str">
        <f>""</f>
        <v/>
      </c>
      <c r="IA176" t="str">
        <f>HYPERLINK("https://web.datatree.com/?/property?propertyId=128790883")</f>
        <v>https://web.datatree.com/?/property?propertyId=128790883</v>
      </c>
    </row>
    <row r="177" spans="1:235" x14ac:dyDescent="0.3">
      <c r="A177" t="s">
        <v>1533</v>
      </c>
      <c r="B177" t="s">
        <v>1534</v>
      </c>
      <c r="C177" t="s">
        <v>1534</v>
      </c>
      <c r="D177" t="s">
        <v>1535</v>
      </c>
      <c r="E177" t="s">
        <v>3</v>
      </c>
      <c r="F177">
        <v>1</v>
      </c>
      <c r="O177" t="s">
        <v>1536</v>
      </c>
      <c r="P177" t="s">
        <v>1533</v>
      </c>
      <c r="T177" t="s">
        <v>55</v>
      </c>
      <c r="AE177" t="s">
        <v>8</v>
      </c>
      <c r="AH177" t="s">
        <v>2</v>
      </c>
      <c r="AK177" t="s">
        <v>1113</v>
      </c>
      <c r="AP177" t="s">
        <v>1537</v>
      </c>
      <c r="AS177" t="s">
        <v>512</v>
      </c>
      <c r="AU177" t="s">
        <v>8</v>
      </c>
      <c r="AV177" t="str">
        <f>"78159"</f>
        <v>78159</v>
      </c>
      <c r="AW177" t="s">
        <v>549</v>
      </c>
      <c r="AX177" t="s">
        <v>1538</v>
      </c>
      <c r="AY177" t="s">
        <v>1539</v>
      </c>
      <c r="AZ177" t="s">
        <v>18</v>
      </c>
      <c r="BA177" t="s">
        <v>1540</v>
      </c>
      <c r="BB177" t="str">
        <f>"10089"</f>
        <v>10089</v>
      </c>
      <c r="BC177" t="str">
        <f>"10089"</f>
        <v>10089</v>
      </c>
      <c r="BD177" t="str">
        <f>"146427800000000000000"</f>
        <v>146427800000000000000</v>
      </c>
      <c r="BE177">
        <v>48177</v>
      </c>
      <c r="BN177">
        <v>29.259817688448301</v>
      </c>
      <c r="BO177">
        <v>-97.638200616558095</v>
      </c>
      <c r="BX177" t="s">
        <v>22</v>
      </c>
      <c r="CA177" t="str">
        <f>""</f>
        <v/>
      </c>
      <c r="CD177">
        <v>0</v>
      </c>
      <c r="CO177">
        <v>0</v>
      </c>
      <c r="EA177" s="1">
        <v>1</v>
      </c>
      <c r="EC177" t="s">
        <v>23</v>
      </c>
      <c r="ED177" t="s">
        <v>24</v>
      </c>
      <c r="EE177" t="s">
        <v>25</v>
      </c>
      <c r="EG177">
        <v>217800</v>
      </c>
      <c r="EH177">
        <v>5</v>
      </c>
      <c r="EI177">
        <v>52000</v>
      </c>
      <c r="EJ177">
        <f t="shared" si="5"/>
        <v>26000</v>
      </c>
      <c r="ER177">
        <v>1</v>
      </c>
      <c r="EW177" t="s">
        <v>26</v>
      </c>
      <c r="EX177" t="s">
        <v>491</v>
      </c>
      <c r="EY177" t="s">
        <v>492</v>
      </c>
      <c r="EZ177" s="2">
        <v>40515</v>
      </c>
      <c r="FA177" t="s">
        <v>143</v>
      </c>
      <c r="FB177" t="str">
        <f>"FALSE"</f>
        <v>FALSE</v>
      </c>
      <c r="FC177">
        <v>2019</v>
      </c>
      <c r="FD177">
        <v>2016</v>
      </c>
      <c r="FE177" t="s">
        <v>119</v>
      </c>
      <c r="FF177" t="s">
        <v>31</v>
      </c>
      <c r="FG177" t="s">
        <v>31</v>
      </c>
      <c r="FH177" t="s">
        <v>31</v>
      </c>
      <c r="FI177" t="s">
        <v>31</v>
      </c>
      <c r="FJ177" t="s">
        <v>31</v>
      </c>
      <c r="FK177" t="s">
        <v>31</v>
      </c>
      <c r="FL177" t="s">
        <v>31</v>
      </c>
      <c r="FM177" t="s">
        <v>31</v>
      </c>
      <c r="FN177" t="s">
        <v>31</v>
      </c>
      <c r="FO177" t="s">
        <v>31</v>
      </c>
      <c r="FP177" t="s">
        <v>31</v>
      </c>
      <c r="FQ177" t="s">
        <v>31</v>
      </c>
      <c r="FR177" t="s">
        <v>31</v>
      </c>
      <c r="FS177" s="3">
        <v>45160</v>
      </c>
      <c r="FT177" s="3">
        <v>42260</v>
      </c>
      <c r="FU177" s="3">
        <v>2900</v>
      </c>
      <c r="FV177">
        <v>6.42</v>
      </c>
      <c r="FW177" s="3">
        <v>45160</v>
      </c>
      <c r="FX177" s="3">
        <v>42260</v>
      </c>
      <c r="FY177" s="3">
        <v>2900</v>
      </c>
      <c r="FZ177">
        <v>6.42</v>
      </c>
      <c r="GE177" s="3">
        <v>146.24</v>
      </c>
      <c r="GG177" s="3">
        <v>45160</v>
      </c>
      <c r="GI177" t="s">
        <v>120</v>
      </c>
      <c r="GL177" t="s">
        <v>121</v>
      </c>
      <c r="GM177" t="s">
        <v>122</v>
      </c>
      <c r="GN177" t="s">
        <v>123</v>
      </c>
      <c r="GS177" t="str">
        <f>""</f>
        <v/>
      </c>
      <c r="GT177" t="str">
        <f>""</f>
        <v/>
      </c>
      <c r="HF177" t="str">
        <f>""</f>
        <v/>
      </c>
      <c r="HK177" t="str">
        <f>""</f>
        <v/>
      </c>
      <c r="HN177" t="s">
        <v>38</v>
      </c>
      <c r="HP177" t="str">
        <f>""</f>
        <v/>
      </c>
      <c r="HZ177" t="str">
        <f>""</f>
        <v/>
      </c>
      <c r="IA177" t="str">
        <f>HYPERLINK("https://web.datatree.com/?/property?propertyId=128789019")</f>
        <v>https://web.datatree.com/?/property?propertyId=128789019</v>
      </c>
    </row>
    <row r="178" spans="1:235" x14ac:dyDescent="0.3">
      <c r="A178" t="s">
        <v>1626</v>
      </c>
      <c r="B178" t="s">
        <v>1627</v>
      </c>
      <c r="C178" t="s">
        <v>1628</v>
      </c>
      <c r="D178" t="s">
        <v>1629</v>
      </c>
      <c r="E178" t="s">
        <v>3</v>
      </c>
      <c r="F178">
        <v>2</v>
      </c>
      <c r="G178" t="s">
        <v>1630</v>
      </c>
      <c r="H178" t="s">
        <v>1631</v>
      </c>
      <c r="I178" t="s">
        <v>1632</v>
      </c>
      <c r="J178" t="s">
        <v>1629</v>
      </c>
      <c r="K178" t="s">
        <v>3</v>
      </c>
      <c r="L178">
        <v>2</v>
      </c>
      <c r="O178" t="s">
        <v>1633</v>
      </c>
      <c r="P178" t="s">
        <v>1634</v>
      </c>
      <c r="T178" t="s">
        <v>137</v>
      </c>
      <c r="V178" t="s">
        <v>148</v>
      </c>
      <c r="W178">
        <v>8502</v>
      </c>
      <c r="Z178" t="s">
        <v>487</v>
      </c>
      <c r="AC178" t="s">
        <v>1635</v>
      </c>
      <c r="AE178" t="s">
        <v>8</v>
      </c>
      <c r="AF178" t="str">
        <f>"78614"</f>
        <v>78614</v>
      </c>
      <c r="AG178" t="str">
        <f>"78614-4533"</f>
        <v>78614-4533</v>
      </c>
      <c r="AH178" t="s">
        <v>2</v>
      </c>
      <c r="AI178" t="s">
        <v>152</v>
      </c>
      <c r="AJ178" t="s">
        <v>1636</v>
      </c>
      <c r="AK178" t="s">
        <v>1637</v>
      </c>
      <c r="AL178" t="s">
        <v>148</v>
      </c>
      <c r="AM178">
        <v>8502</v>
      </c>
      <c r="AP178" t="s">
        <v>487</v>
      </c>
      <c r="AS178" t="s">
        <v>1635</v>
      </c>
      <c r="AU178" t="s">
        <v>8</v>
      </c>
      <c r="AV178" t="str">
        <f>"78614-4533"</f>
        <v>78614-4533</v>
      </c>
      <c r="AW178" t="s">
        <v>152</v>
      </c>
      <c r="AX178" t="s">
        <v>1636</v>
      </c>
      <c r="AY178" t="s">
        <v>1638</v>
      </c>
      <c r="AZ178" t="s">
        <v>18</v>
      </c>
      <c r="BA178" t="s">
        <v>1639</v>
      </c>
      <c r="BB178" t="str">
        <f>"6125"</f>
        <v>6125</v>
      </c>
      <c r="BC178" t="str">
        <f>"6125"</f>
        <v>6125</v>
      </c>
      <c r="BD178" t="str">
        <f>"92300-00013-00000-000000"</f>
        <v>92300-00013-00000-000000</v>
      </c>
      <c r="BE178">
        <v>48177</v>
      </c>
      <c r="BG178">
        <v>600</v>
      </c>
      <c r="BH178">
        <v>1093</v>
      </c>
      <c r="BN178">
        <v>29.426095670525498</v>
      </c>
      <c r="BO178">
        <v>-97.5689593032251</v>
      </c>
      <c r="CA178" t="str">
        <f>""</f>
        <v/>
      </c>
      <c r="CD178">
        <v>0</v>
      </c>
      <c r="CO178">
        <v>0</v>
      </c>
      <c r="CP178">
        <v>0</v>
      </c>
      <c r="EA178" s="1">
        <v>1</v>
      </c>
      <c r="EC178" t="s">
        <v>23</v>
      </c>
      <c r="EE178" t="s">
        <v>25</v>
      </c>
      <c r="EG178">
        <v>248292</v>
      </c>
      <c r="EH178">
        <v>5.7</v>
      </c>
      <c r="EI178">
        <v>52000</v>
      </c>
      <c r="EJ178">
        <f t="shared" si="5"/>
        <v>26000</v>
      </c>
      <c r="EW178" t="s">
        <v>26</v>
      </c>
      <c r="EX178" t="s">
        <v>683</v>
      </c>
      <c r="EY178" t="s">
        <v>684</v>
      </c>
      <c r="EZ178" s="2">
        <v>40515</v>
      </c>
      <c r="FA178" t="s">
        <v>143</v>
      </c>
      <c r="FB178" t="str">
        <f>"FALSE"</f>
        <v>FALSE</v>
      </c>
      <c r="FC178">
        <v>2019</v>
      </c>
      <c r="FD178">
        <v>2016</v>
      </c>
      <c r="FE178" t="s">
        <v>30</v>
      </c>
      <c r="FF178" t="s">
        <v>31</v>
      </c>
      <c r="FG178" t="s">
        <v>520</v>
      </c>
      <c r="FH178" t="s">
        <v>31</v>
      </c>
      <c r="FI178" t="s">
        <v>31</v>
      </c>
      <c r="FJ178" t="s">
        <v>31</v>
      </c>
      <c r="FK178" t="s">
        <v>31</v>
      </c>
      <c r="FL178" t="s">
        <v>31</v>
      </c>
      <c r="FM178" t="s">
        <v>31</v>
      </c>
      <c r="FN178" t="s">
        <v>31</v>
      </c>
      <c r="FO178" t="s">
        <v>31</v>
      </c>
      <c r="FP178" t="s">
        <v>31</v>
      </c>
      <c r="FQ178" t="s">
        <v>31</v>
      </c>
      <c r="FR178" t="s">
        <v>31</v>
      </c>
      <c r="FS178" s="3">
        <v>42470</v>
      </c>
      <c r="FT178" s="3">
        <v>40470</v>
      </c>
      <c r="FU178" s="3">
        <v>2000</v>
      </c>
      <c r="FV178">
        <v>4.71</v>
      </c>
      <c r="FW178" s="3">
        <v>42470</v>
      </c>
      <c r="FX178" s="3">
        <v>40470</v>
      </c>
      <c r="FY178" s="3">
        <v>2000</v>
      </c>
      <c r="FZ178">
        <v>4.71</v>
      </c>
      <c r="GG178" s="3">
        <v>42470</v>
      </c>
      <c r="GI178" t="s">
        <v>32</v>
      </c>
      <c r="GL178" t="s">
        <v>273</v>
      </c>
      <c r="GM178" t="s">
        <v>34</v>
      </c>
      <c r="GN178" t="s">
        <v>35</v>
      </c>
      <c r="GS178" t="str">
        <f>""</f>
        <v/>
      </c>
      <c r="GT178" t="str">
        <f>""</f>
        <v/>
      </c>
      <c r="HF178" t="str">
        <f>""</f>
        <v/>
      </c>
      <c r="HK178" t="str">
        <f>""</f>
        <v/>
      </c>
      <c r="HN178" t="s">
        <v>38</v>
      </c>
      <c r="HP178" t="str">
        <f>""</f>
        <v/>
      </c>
      <c r="HZ178" t="str">
        <f>""</f>
        <v/>
      </c>
      <c r="IA178" t="str">
        <f>HYPERLINK("https://web.datatree.com/?/property?propertyId=128803192")</f>
        <v>https://web.datatree.com/?/property?propertyId=128803192</v>
      </c>
    </row>
    <row r="179" spans="1:235" x14ac:dyDescent="0.3">
      <c r="A179" t="s">
        <v>1709</v>
      </c>
      <c r="D179" t="s">
        <v>1709</v>
      </c>
      <c r="E179" t="s">
        <v>3</v>
      </c>
      <c r="F179">
        <v>9</v>
      </c>
      <c r="O179" t="s">
        <v>1710</v>
      </c>
      <c r="P179" t="s">
        <v>1709</v>
      </c>
      <c r="Q179" t="s">
        <v>665</v>
      </c>
      <c r="T179" t="s">
        <v>55</v>
      </c>
      <c r="Z179" t="s">
        <v>484</v>
      </c>
      <c r="AC179" t="s">
        <v>2</v>
      </c>
      <c r="AE179" t="s">
        <v>8</v>
      </c>
      <c r="AF179" t="str">
        <f>"78629"</f>
        <v>78629</v>
      </c>
      <c r="AG179" t="str">
        <f>"78629"</f>
        <v>78629</v>
      </c>
      <c r="AH179" t="s">
        <v>2</v>
      </c>
      <c r="AJ179" t="s">
        <v>485</v>
      </c>
      <c r="AK179" t="s">
        <v>1711</v>
      </c>
      <c r="AM179">
        <v>1155</v>
      </c>
      <c r="AP179" t="s">
        <v>1712</v>
      </c>
      <c r="AS179" t="s">
        <v>656</v>
      </c>
      <c r="AT179" t="s">
        <v>656</v>
      </c>
      <c r="AU179" t="s">
        <v>8</v>
      </c>
      <c r="AV179" t="str">
        <f>"78130-3431"</f>
        <v>78130-3431</v>
      </c>
      <c r="AW179" t="s">
        <v>704</v>
      </c>
      <c r="AX179" t="s">
        <v>1713</v>
      </c>
      <c r="AY179" t="s">
        <v>1714</v>
      </c>
      <c r="AZ179" t="s">
        <v>18</v>
      </c>
      <c r="BA179" t="s">
        <v>1715</v>
      </c>
      <c r="BB179" t="str">
        <f>"28028"</f>
        <v>28028</v>
      </c>
      <c r="BC179" t="str">
        <f>"28028"</f>
        <v>28028</v>
      </c>
      <c r="BD179" t="str">
        <f>"92300-00010-00000-000000"</f>
        <v>92300-00010-00000-000000</v>
      </c>
      <c r="BE179">
        <v>48177</v>
      </c>
      <c r="BG179">
        <v>400</v>
      </c>
      <c r="BH179">
        <v>2001</v>
      </c>
      <c r="BN179">
        <v>29.507200000000001</v>
      </c>
      <c r="BO179">
        <v>-97.452100000000002</v>
      </c>
      <c r="CA179" t="str">
        <f>""</f>
        <v/>
      </c>
      <c r="CD179">
        <v>0</v>
      </c>
      <c r="CO179">
        <v>0</v>
      </c>
      <c r="CP179">
        <v>0</v>
      </c>
      <c r="EA179" s="1">
        <v>1</v>
      </c>
      <c r="EC179" t="s">
        <v>731</v>
      </c>
      <c r="EE179" t="s">
        <v>732</v>
      </c>
      <c r="EG179">
        <v>255654</v>
      </c>
      <c r="EH179">
        <v>5.87</v>
      </c>
      <c r="EI179">
        <v>52000</v>
      </c>
      <c r="EJ179">
        <f t="shared" si="5"/>
        <v>26000</v>
      </c>
      <c r="FB179" t="str">
        <f>"UNKNOWN"</f>
        <v>UNKNOWN</v>
      </c>
      <c r="FC179">
        <v>2019</v>
      </c>
      <c r="FE179" t="s">
        <v>30</v>
      </c>
      <c r="FF179" t="s">
        <v>31</v>
      </c>
      <c r="FG179" t="s">
        <v>31</v>
      </c>
      <c r="FH179" t="s">
        <v>31</v>
      </c>
      <c r="FI179" t="s">
        <v>31</v>
      </c>
      <c r="FJ179" t="s">
        <v>31</v>
      </c>
      <c r="FK179" t="s">
        <v>31</v>
      </c>
      <c r="FL179" t="s">
        <v>31</v>
      </c>
      <c r="FM179" t="s">
        <v>31</v>
      </c>
      <c r="FN179" t="s">
        <v>31</v>
      </c>
      <c r="FO179" t="s">
        <v>31</v>
      </c>
      <c r="FP179" t="s">
        <v>31</v>
      </c>
      <c r="FQ179" t="s">
        <v>31</v>
      </c>
      <c r="FR179" t="s">
        <v>31</v>
      </c>
      <c r="FS179" s="3">
        <v>22500</v>
      </c>
      <c r="FT179" s="3">
        <v>22500</v>
      </c>
      <c r="FW179" s="3">
        <v>22500</v>
      </c>
      <c r="FX179" s="3">
        <v>22500</v>
      </c>
      <c r="GG179" s="3">
        <v>22500</v>
      </c>
      <c r="GS179" t="str">
        <f>""</f>
        <v/>
      </c>
      <c r="GT179" t="str">
        <f>""</f>
        <v/>
      </c>
      <c r="HF179" t="str">
        <f>""</f>
        <v/>
      </c>
      <c r="HK179" t="str">
        <f>""</f>
        <v/>
      </c>
      <c r="HN179" t="s">
        <v>38</v>
      </c>
      <c r="HP179" t="str">
        <f>""</f>
        <v/>
      </c>
      <c r="HZ179" t="str">
        <f>""</f>
        <v/>
      </c>
      <c r="IA179" t="str">
        <f>HYPERLINK("https://web.datatree.com/?/property?propertyId=211431441")</f>
        <v>https://web.datatree.com/?/property?propertyId=211431441</v>
      </c>
    </row>
    <row r="180" spans="1:235" x14ac:dyDescent="0.3">
      <c r="A180" t="s">
        <v>633</v>
      </c>
      <c r="B180" t="s">
        <v>634</v>
      </c>
      <c r="C180" t="s">
        <v>634</v>
      </c>
      <c r="D180" t="s">
        <v>635</v>
      </c>
      <c r="E180" t="s">
        <v>3</v>
      </c>
      <c r="F180">
        <v>2</v>
      </c>
      <c r="G180" t="s">
        <v>636</v>
      </c>
      <c r="H180" t="s">
        <v>637</v>
      </c>
      <c r="I180" t="s">
        <v>637</v>
      </c>
      <c r="J180" t="s">
        <v>638</v>
      </c>
      <c r="K180" t="s">
        <v>3</v>
      </c>
      <c r="L180">
        <v>1</v>
      </c>
      <c r="O180" t="s">
        <v>639</v>
      </c>
      <c r="P180" t="s">
        <v>640</v>
      </c>
      <c r="T180" t="s">
        <v>55</v>
      </c>
      <c r="Z180" t="s">
        <v>641</v>
      </c>
      <c r="AA180" t="s">
        <v>7</v>
      </c>
      <c r="AC180" t="s">
        <v>512</v>
      </c>
      <c r="AE180" t="s">
        <v>8</v>
      </c>
      <c r="AF180" t="str">
        <f>"78159"</f>
        <v>78159</v>
      </c>
      <c r="AG180" t="str">
        <f>"78159"</f>
        <v>78159</v>
      </c>
      <c r="AH180" t="s">
        <v>2</v>
      </c>
      <c r="AJ180" t="s">
        <v>642</v>
      </c>
      <c r="AK180" t="s">
        <v>643</v>
      </c>
      <c r="AM180">
        <v>645</v>
      </c>
      <c r="AP180" t="s">
        <v>644</v>
      </c>
      <c r="AQ180" t="s">
        <v>645</v>
      </c>
      <c r="AS180" t="s">
        <v>646</v>
      </c>
      <c r="AT180" t="s">
        <v>646</v>
      </c>
      <c r="AU180" t="s">
        <v>8</v>
      </c>
      <c r="AV180" t="str">
        <f>"78154-1840"</f>
        <v>78154-1840</v>
      </c>
      <c r="AW180" t="s">
        <v>647</v>
      </c>
      <c r="AX180" t="s">
        <v>648</v>
      </c>
      <c r="AY180" t="s">
        <v>649</v>
      </c>
      <c r="AZ180" t="s">
        <v>18</v>
      </c>
      <c r="BA180" t="s">
        <v>650</v>
      </c>
      <c r="BB180" t="str">
        <f>"16920"</f>
        <v>16920</v>
      </c>
      <c r="BC180" t="str">
        <f>"16920"</f>
        <v>16920</v>
      </c>
      <c r="BD180" t="str">
        <f>"190406007011200000000"</f>
        <v>190406007011200000000</v>
      </c>
      <c r="BE180">
        <v>48177</v>
      </c>
      <c r="BG180">
        <v>600</v>
      </c>
      <c r="BH180">
        <v>2048</v>
      </c>
      <c r="BN180">
        <v>29.2667476865299</v>
      </c>
      <c r="BO180">
        <v>-97.642959180884006</v>
      </c>
      <c r="BP180" t="s">
        <v>553</v>
      </c>
      <c r="BX180" t="s">
        <v>22</v>
      </c>
      <c r="CA180" t="str">
        <f>"7"</f>
        <v>7</v>
      </c>
      <c r="CB180">
        <v>4</v>
      </c>
      <c r="CD180">
        <v>0</v>
      </c>
      <c r="CO180">
        <v>0</v>
      </c>
      <c r="EA180" s="1">
        <v>1</v>
      </c>
      <c r="EC180" t="s">
        <v>23</v>
      </c>
      <c r="ED180" t="s">
        <v>24</v>
      </c>
      <c r="EE180" t="s">
        <v>25</v>
      </c>
      <c r="EG180">
        <v>266457</v>
      </c>
      <c r="EH180">
        <v>6.12</v>
      </c>
      <c r="EI180">
        <v>58000</v>
      </c>
      <c r="EJ180">
        <f t="shared" si="5"/>
        <v>29000</v>
      </c>
      <c r="EW180" t="s">
        <v>26</v>
      </c>
      <c r="EX180" t="s">
        <v>491</v>
      </c>
      <c r="EY180" t="s">
        <v>492</v>
      </c>
      <c r="EZ180" s="2">
        <v>40515</v>
      </c>
      <c r="FA180" t="s">
        <v>524</v>
      </c>
      <c r="FB180" t="str">
        <f>"FALSE"</f>
        <v>FALSE</v>
      </c>
      <c r="FC180">
        <v>2019</v>
      </c>
      <c r="FD180">
        <v>2016</v>
      </c>
      <c r="FE180" t="s">
        <v>119</v>
      </c>
      <c r="FF180" t="s">
        <v>31</v>
      </c>
      <c r="FG180" t="s">
        <v>31</v>
      </c>
      <c r="FH180" t="s">
        <v>31</v>
      </c>
      <c r="FI180" t="s">
        <v>31</v>
      </c>
      <c r="FJ180" t="s">
        <v>31</v>
      </c>
      <c r="FK180" t="s">
        <v>31</v>
      </c>
      <c r="FL180" t="s">
        <v>31</v>
      </c>
      <c r="FM180" t="s">
        <v>31</v>
      </c>
      <c r="FN180" t="s">
        <v>31</v>
      </c>
      <c r="FO180" t="s">
        <v>31</v>
      </c>
      <c r="FP180" t="s">
        <v>31</v>
      </c>
      <c r="FQ180" t="s">
        <v>31</v>
      </c>
      <c r="FR180" t="s">
        <v>31</v>
      </c>
      <c r="FS180" s="3">
        <v>35050</v>
      </c>
      <c r="FT180" s="3">
        <v>35050</v>
      </c>
      <c r="FW180" s="3">
        <v>35050</v>
      </c>
      <c r="FX180" s="3">
        <v>35050</v>
      </c>
      <c r="GE180" s="3">
        <v>259.85000000000002</v>
      </c>
      <c r="GG180" s="3">
        <v>35050</v>
      </c>
      <c r="GI180" t="s">
        <v>120</v>
      </c>
      <c r="GL180" t="s">
        <v>121</v>
      </c>
      <c r="GM180" t="s">
        <v>122</v>
      </c>
      <c r="GN180" t="s">
        <v>123</v>
      </c>
      <c r="GS180" t="str">
        <f>""</f>
        <v/>
      </c>
      <c r="GT180" t="str">
        <f>""</f>
        <v/>
      </c>
      <c r="GV180" s="2">
        <v>35886</v>
      </c>
      <c r="GW180" s="3">
        <v>0</v>
      </c>
      <c r="GY180" t="s">
        <v>36</v>
      </c>
      <c r="GZ180" t="s">
        <v>37</v>
      </c>
      <c r="HF180" t="str">
        <f>""</f>
        <v/>
      </c>
      <c r="HK180" t="str">
        <f>""</f>
        <v/>
      </c>
      <c r="HN180" t="s">
        <v>38</v>
      </c>
      <c r="HP180" t="str">
        <f>"0007960852"</f>
        <v>0007960852</v>
      </c>
      <c r="HZ180" t="str">
        <f>""</f>
        <v/>
      </c>
      <c r="IA180" t="str">
        <f>HYPERLINK("https://web.datatree.com/?/property?propertyId=128795393")</f>
        <v>https://web.datatree.com/?/property?propertyId=128795393</v>
      </c>
    </row>
    <row r="181" spans="1:235" x14ac:dyDescent="0.3">
      <c r="A181" t="s">
        <v>2107</v>
      </c>
      <c r="B181" t="s">
        <v>2108</v>
      </c>
      <c r="C181" t="s">
        <v>2109</v>
      </c>
      <c r="D181" t="s">
        <v>2110</v>
      </c>
      <c r="E181" t="s">
        <v>3</v>
      </c>
      <c r="F181">
        <v>2</v>
      </c>
      <c r="G181" t="s">
        <v>2111</v>
      </c>
      <c r="H181" t="s">
        <v>2112</v>
      </c>
      <c r="I181" t="s">
        <v>2113</v>
      </c>
      <c r="J181" t="s">
        <v>2110</v>
      </c>
      <c r="K181" t="s">
        <v>3</v>
      </c>
      <c r="L181">
        <v>1</v>
      </c>
      <c r="O181" t="s">
        <v>2114</v>
      </c>
      <c r="P181" t="s">
        <v>2115</v>
      </c>
      <c r="T181" t="s">
        <v>55</v>
      </c>
      <c r="Z181" t="s">
        <v>484</v>
      </c>
      <c r="AC181" t="s">
        <v>2</v>
      </c>
      <c r="AE181" t="s">
        <v>8</v>
      </c>
      <c r="AF181" t="str">
        <f>"78629"</f>
        <v>78629</v>
      </c>
      <c r="AG181" t="str">
        <f>"78629"</f>
        <v>78629</v>
      </c>
      <c r="AH181" t="s">
        <v>2</v>
      </c>
      <c r="AJ181" t="s">
        <v>485</v>
      </c>
      <c r="AK181" t="s">
        <v>1711</v>
      </c>
      <c r="AM181">
        <v>603</v>
      </c>
      <c r="AP181" t="s">
        <v>2116</v>
      </c>
      <c r="AQ181" t="s">
        <v>7</v>
      </c>
      <c r="AS181" t="s">
        <v>2</v>
      </c>
      <c r="AT181" t="s">
        <v>2</v>
      </c>
      <c r="AU181" t="s">
        <v>8</v>
      </c>
      <c r="AV181" t="str">
        <f>"78629-2309"</f>
        <v>78629-2309</v>
      </c>
      <c r="AW181" t="s">
        <v>80</v>
      </c>
      <c r="AX181" t="s">
        <v>2117</v>
      </c>
      <c r="AY181" t="s">
        <v>2118</v>
      </c>
      <c r="AZ181" t="s">
        <v>18</v>
      </c>
      <c r="BA181" t="s">
        <v>2119</v>
      </c>
      <c r="BB181" t="str">
        <f>"28033"</f>
        <v>28033</v>
      </c>
      <c r="BC181" t="str">
        <f>"28033"</f>
        <v>28033</v>
      </c>
      <c r="BD181" t="str">
        <f>"92300-00016-00000-000000"</f>
        <v>92300-00016-00000-000000</v>
      </c>
      <c r="BE181">
        <v>48177</v>
      </c>
      <c r="BG181">
        <v>400</v>
      </c>
      <c r="BH181">
        <v>2001</v>
      </c>
      <c r="BN181">
        <v>29.507200000000001</v>
      </c>
      <c r="BO181">
        <v>-97.452100000000002</v>
      </c>
      <c r="CA181" t="str">
        <f>""</f>
        <v/>
      </c>
      <c r="CD181">
        <v>0</v>
      </c>
      <c r="CO181">
        <v>0</v>
      </c>
      <c r="CP181">
        <v>0</v>
      </c>
      <c r="EA181" s="1">
        <v>1</v>
      </c>
      <c r="EC181" t="s">
        <v>23</v>
      </c>
      <c r="EE181" t="s">
        <v>25</v>
      </c>
      <c r="EG181">
        <v>266979</v>
      </c>
      <c r="EH181">
        <v>6.13</v>
      </c>
      <c r="EI181">
        <v>58000</v>
      </c>
      <c r="EJ181">
        <f t="shared" si="5"/>
        <v>29000</v>
      </c>
      <c r="FB181" t="str">
        <f>"UNKNOWN"</f>
        <v>UNKNOWN</v>
      </c>
      <c r="FC181">
        <v>2019</v>
      </c>
      <c r="FE181" t="s">
        <v>30</v>
      </c>
      <c r="FF181" t="s">
        <v>31</v>
      </c>
      <c r="FG181" t="s">
        <v>31</v>
      </c>
      <c r="FH181" t="s">
        <v>31</v>
      </c>
      <c r="FI181" t="s">
        <v>31</v>
      </c>
      <c r="FJ181" t="s">
        <v>31</v>
      </c>
      <c r="FK181" t="s">
        <v>31</v>
      </c>
      <c r="FL181" t="s">
        <v>31</v>
      </c>
      <c r="FM181" t="s">
        <v>31</v>
      </c>
      <c r="FN181" t="s">
        <v>31</v>
      </c>
      <c r="FO181" t="s">
        <v>31</v>
      </c>
      <c r="FP181" t="s">
        <v>31</v>
      </c>
      <c r="FQ181" t="s">
        <v>31</v>
      </c>
      <c r="FR181" t="s">
        <v>31</v>
      </c>
      <c r="FS181" s="3">
        <v>89180</v>
      </c>
      <c r="FT181" s="3">
        <v>89180</v>
      </c>
      <c r="FW181" s="3">
        <v>89180</v>
      </c>
      <c r="FX181" s="3">
        <v>89180</v>
      </c>
      <c r="GG181" s="3">
        <v>89180</v>
      </c>
      <c r="GS181" t="str">
        <f>""</f>
        <v/>
      </c>
      <c r="GT181" t="str">
        <f>""</f>
        <v/>
      </c>
      <c r="HF181" t="str">
        <f>""</f>
        <v/>
      </c>
      <c r="HK181" t="str">
        <f>""</f>
        <v/>
      </c>
      <c r="HN181" t="s">
        <v>38</v>
      </c>
      <c r="HP181" t="str">
        <f>""</f>
        <v/>
      </c>
      <c r="HZ181" t="str">
        <f>""</f>
        <v/>
      </c>
      <c r="IA181" t="str">
        <f>HYPERLINK("https://web.datatree.com/?/property?propertyId=211429852")</f>
        <v>https://web.datatree.com/?/property?propertyId=211429852</v>
      </c>
    </row>
    <row r="182" spans="1:235" x14ac:dyDescent="0.3">
      <c r="A182" t="s">
        <v>1811</v>
      </c>
      <c r="B182" t="s">
        <v>1812</v>
      </c>
      <c r="C182" t="s">
        <v>1813</v>
      </c>
      <c r="D182" t="s">
        <v>1814</v>
      </c>
      <c r="E182" t="s">
        <v>3</v>
      </c>
      <c r="F182">
        <v>1</v>
      </c>
      <c r="G182" t="s">
        <v>1815</v>
      </c>
      <c r="H182" t="s">
        <v>1816</v>
      </c>
      <c r="I182" t="s">
        <v>1817</v>
      </c>
      <c r="J182" t="s">
        <v>1818</v>
      </c>
      <c r="K182" t="s">
        <v>3</v>
      </c>
      <c r="L182">
        <v>2</v>
      </c>
      <c r="O182" t="s">
        <v>1819</v>
      </c>
      <c r="P182" t="s">
        <v>1820</v>
      </c>
      <c r="T182" t="s">
        <v>55</v>
      </c>
      <c r="Z182" t="s">
        <v>484</v>
      </c>
      <c r="AC182" t="s">
        <v>2</v>
      </c>
      <c r="AE182" t="s">
        <v>8</v>
      </c>
      <c r="AF182" t="str">
        <f>"78629"</f>
        <v>78629</v>
      </c>
      <c r="AG182" t="str">
        <f>"78629"</f>
        <v>78629</v>
      </c>
      <c r="AH182" t="s">
        <v>2</v>
      </c>
      <c r="AJ182" t="s">
        <v>485</v>
      </c>
      <c r="AK182" t="s">
        <v>1711</v>
      </c>
      <c r="AM182">
        <v>708</v>
      </c>
      <c r="AP182" t="s">
        <v>1821</v>
      </c>
      <c r="AQ182" t="s">
        <v>7</v>
      </c>
      <c r="AS182" t="s">
        <v>2</v>
      </c>
      <c r="AT182" t="s">
        <v>2</v>
      </c>
      <c r="AU182" t="s">
        <v>8</v>
      </c>
      <c r="AV182" t="str">
        <f>"78629-3648"</f>
        <v>78629-3648</v>
      </c>
      <c r="AW182" t="s">
        <v>9</v>
      </c>
      <c r="AX182" t="s">
        <v>1822</v>
      </c>
      <c r="AY182" t="s">
        <v>1823</v>
      </c>
      <c r="AZ182" t="s">
        <v>18</v>
      </c>
      <c r="BA182" t="s">
        <v>1824</v>
      </c>
      <c r="BB182" t="str">
        <f>"28032"</f>
        <v>28032</v>
      </c>
      <c r="BC182" t="str">
        <f>"28032"</f>
        <v>28032</v>
      </c>
      <c r="BD182" t="str">
        <f>"92300-00015-00000-000000"</f>
        <v>92300-00015-00000-000000</v>
      </c>
      <c r="BE182">
        <v>48177</v>
      </c>
      <c r="BG182">
        <v>400</v>
      </c>
      <c r="BH182">
        <v>2001</v>
      </c>
      <c r="BN182">
        <v>29.507200000000001</v>
      </c>
      <c r="BO182">
        <v>-97.452100000000002</v>
      </c>
      <c r="CA182" t="str">
        <f>""</f>
        <v/>
      </c>
      <c r="CD182">
        <v>0</v>
      </c>
      <c r="CO182">
        <v>0</v>
      </c>
      <c r="CP182">
        <v>0</v>
      </c>
      <c r="EA182" s="1">
        <v>1</v>
      </c>
      <c r="EC182" t="s">
        <v>23</v>
      </c>
      <c r="EE182" t="s">
        <v>25</v>
      </c>
      <c r="EG182">
        <v>268373</v>
      </c>
      <c r="EH182">
        <v>6.16</v>
      </c>
      <c r="EI182">
        <v>58000</v>
      </c>
      <c r="EJ182">
        <f t="shared" si="5"/>
        <v>29000</v>
      </c>
      <c r="FB182" t="str">
        <f>"UNKNOWN"</f>
        <v>UNKNOWN</v>
      </c>
      <c r="FC182">
        <v>2019</v>
      </c>
      <c r="FE182" t="s">
        <v>30</v>
      </c>
      <c r="FF182" t="s">
        <v>31</v>
      </c>
      <c r="FG182" t="s">
        <v>31</v>
      </c>
      <c r="FH182" t="s">
        <v>31</v>
      </c>
      <c r="FI182" t="s">
        <v>31</v>
      </c>
      <c r="FJ182" t="s">
        <v>31</v>
      </c>
      <c r="FK182" t="s">
        <v>31</v>
      </c>
      <c r="FL182" t="s">
        <v>31</v>
      </c>
      <c r="FM182" t="s">
        <v>31</v>
      </c>
      <c r="FN182" t="s">
        <v>31</v>
      </c>
      <c r="FO182" t="s">
        <v>31</v>
      </c>
      <c r="FP182" t="s">
        <v>31</v>
      </c>
      <c r="FQ182" t="s">
        <v>31</v>
      </c>
      <c r="FR182" t="s">
        <v>31</v>
      </c>
      <c r="FS182" s="3">
        <v>43740</v>
      </c>
      <c r="FT182" s="3">
        <v>43740</v>
      </c>
      <c r="FW182" s="3">
        <v>43740</v>
      </c>
      <c r="FX182" s="3">
        <v>43740</v>
      </c>
      <c r="GG182" s="3">
        <v>43740</v>
      </c>
      <c r="GS182" t="str">
        <f>""</f>
        <v/>
      </c>
      <c r="GT182" t="str">
        <f>""</f>
        <v/>
      </c>
      <c r="HF182" t="str">
        <f>""</f>
        <v/>
      </c>
      <c r="HK182" t="str">
        <f>""</f>
        <v/>
      </c>
      <c r="HN182" t="s">
        <v>38</v>
      </c>
      <c r="HP182" t="str">
        <f>""</f>
        <v/>
      </c>
      <c r="HZ182" t="str">
        <f>""</f>
        <v/>
      </c>
      <c r="IA182" t="str">
        <f>HYPERLINK("https://web.datatree.com/?/property?propertyId=211429771")</f>
        <v>https://web.datatree.com/?/property?propertyId=211429771</v>
      </c>
    </row>
    <row r="183" spans="1:235" x14ac:dyDescent="0.3">
      <c r="A183" t="s">
        <v>1890</v>
      </c>
      <c r="B183" t="s">
        <v>1891</v>
      </c>
      <c r="C183" t="s">
        <v>1891</v>
      </c>
      <c r="D183" t="s">
        <v>1892</v>
      </c>
      <c r="E183" t="s">
        <v>3</v>
      </c>
      <c r="F183">
        <v>2</v>
      </c>
      <c r="G183" t="s">
        <v>1893</v>
      </c>
      <c r="H183" t="s">
        <v>1894</v>
      </c>
      <c r="I183" t="s">
        <v>1894</v>
      </c>
      <c r="J183" t="s">
        <v>1892</v>
      </c>
      <c r="K183" t="s">
        <v>3</v>
      </c>
      <c r="L183">
        <v>1</v>
      </c>
      <c r="O183" t="s">
        <v>1895</v>
      </c>
      <c r="P183" t="s">
        <v>1896</v>
      </c>
      <c r="Q183" t="s">
        <v>1897</v>
      </c>
      <c r="T183" t="s">
        <v>55</v>
      </c>
      <c r="Z183" t="s">
        <v>484</v>
      </c>
      <c r="AC183" t="s">
        <v>2</v>
      </c>
      <c r="AE183" t="s">
        <v>8</v>
      </c>
      <c r="AF183" t="str">
        <f>"78629"</f>
        <v>78629</v>
      </c>
      <c r="AG183" t="str">
        <f>"78629"</f>
        <v>78629</v>
      </c>
      <c r="AH183" t="s">
        <v>2</v>
      </c>
      <c r="AJ183" t="s">
        <v>485</v>
      </c>
      <c r="AK183" t="s">
        <v>1711</v>
      </c>
      <c r="AM183">
        <v>3312</v>
      </c>
      <c r="AP183" t="s">
        <v>1898</v>
      </c>
      <c r="AS183" t="s">
        <v>2</v>
      </c>
      <c r="AU183" t="s">
        <v>8</v>
      </c>
      <c r="AV183" t="str">
        <f>"78629-6844"</f>
        <v>78629-6844</v>
      </c>
      <c r="AW183" t="s">
        <v>346</v>
      </c>
      <c r="AX183" t="s">
        <v>1899</v>
      </c>
      <c r="AY183" t="s">
        <v>1900</v>
      </c>
      <c r="AZ183" t="s">
        <v>18</v>
      </c>
      <c r="BA183" t="s">
        <v>1901</v>
      </c>
      <c r="BB183" t="str">
        <f>"28035"</f>
        <v>28035</v>
      </c>
      <c r="BC183" t="str">
        <f>"28035"</f>
        <v>28035</v>
      </c>
      <c r="BD183" t="str">
        <f>"92300-00017-00000-000000"</f>
        <v>92300-00017-00000-000000</v>
      </c>
      <c r="BE183">
        <v>48177</v>
      </c>
      <c r="BG183">
        <v>400</v>
      </c>
      <c r="BH183">
        <v>2001</v>
      </c>
      <c r="BN183">
        <v>29.507200000000001</v>
      </c>
      <c r="BO183">
        <v>-97.452100000000002</v>
      </c>
      <c r="CA183" t="str">
        <f>""</f>
        <v/>
      </c>
      <c r="CD183">
        <v>0</v>
      </c>
      <c r="CO183">
        <v>0</v>
      </c>
      <c r="CP183">
        <v>0</v>
      </c>
      <c r="EA183" s="1">
        <v>1</v>
      </c>
      <c r="EC183" t="s">
        <v>23</v>
      </c>
      <c r="EE183" t="s">
        <v>25</v>
      </c>
      <c r="EG183">
        <v>273426</v>
      </c>
      <c r="EH183">
        <v>6.28</v>
      </c>
      <c r="EI183">
        <v>58000</v>
      </c>
      <c r="EJ183">
        <f t="shared" si="5"/>
        <v>29000</v>
      </c>
      <c r="FB183" t="str">
        <f>"UNKNOWN"</f>
        <v>UNKNOWN</v>
      </c>
      <c r="FC183">
        <v>2019</v>
      </c>
      <c r="FE183" t="s">
        <v>30</v>
      </c>
      <c r="FF183" t="s">
        <v>31</v>
      </c>
      <c r="FG183" t="s">
        <v>31</v>
      </c>
      <c r="FH183" t="s">
        <v>31</v>
      </c>
      <c r="FI183" t="s">
        <v>31</v>
      </c>
      <c r="FJ183" t="s">
        <v>31</v>
      </c>
      <c r="FK183" t="s">
        <v>31</v>
      </c>
      <c r="FL183" t="s">
        <v>31</v>
      </c>
      <c r="FM183" t="s">
        <v>31</v>
      </c>
      <c r="FN183" t="s">
        <v>31</v>
      </c>
      <c r="FO183" t="s">
        <v>31</v>
      </c>
      <c r="FP183" t="s">
        <v>31</v>
      </c>
      <c r="FQ183" t="s">
        <v>31</v>
      </c>
      <c r="FR183" t="s">
        <v>31</v>
      </c>
      <c r="FS183" s="3">
        <v>91330</v>
      </c>
      <c r="FT183" s="3">
        <v>91330</v>
      </c>
      <c r="FW183" s="3">
        <v>91330</v>
      </c>
      <c r="FX183" s="3">
        <v>91330</v>
      </c>
      <c r="GG183" s="3">
        <v>91330</v>
      </c>
      <c r="GS183" t="str">
        <f>""</f>
        <v/>
      </c>
      <c r="GT183" t="str">
        <f>""</f>
        <v/>
      </c>
      <c r="GU183" s="2">
        <v>43330</v>
      </c>
      <c r="GV183" s="2">
        <v>43353</v>
      </c>
      <c r="GW183" s="3">
        <v>72747.5</v>
      </c>
      <c r="GX183" t="s">
        <v>892</v>
      </c>
      <c r="GY183" t="s">
        <v>893</v>
      </c>
      <c r="GZ183" t="s">
        <v>1709</v>
      </c>
      <c r="HB183" s="3">
        <v>58198</v>
      </c>
      <c r="HC183" t="s">
        <v>1902</v>
      </c>
      <c r="HF183" t="str">
        <f>"295717"</f>
        <v>295717</v>
      </c>
      <c r="HK183" t="str">
        <f>""</f>
        <v/>
      </c>
      <c r="HL183" t="s">
        <v>1903</v>
      </c>
      <c r="HM183" t="s">
        <v>1369</v>
      </c>
      <c r="HN183" t="s">
        <v>38</v>
      </c>
      <c r="HP183" t="str">
        <f>"295716"</f>
        <v>295716</v>
      </c>
      <c r="HQ183" s="2">
        <v>43330</v>
      </c>
      <c r="HR183" s="2">
        <v>43353</v>
      </c>
      <c r="HS183" s="3">
        <v>72747.5</v>
      </c>
      <c r="HT183" t="s">
        <v>893</v>
      </c>
      <c r="HU183" t="s">
        <v>1903</v>
      </c>
      <c r="HV183" s="3">
        <v>58198</v>
      </c>
      <c r="HW183" t="s">
        <v>1902</v>
      </c>
      <c r="HZ183" t="str">
        <f>"1290.654"</f>
        <v>1290.654</v>
      </c>
      <c r="IA183" t="str">
        <f>HYPERLINK("https://web.datatree.com/?/property?propertyId=211431387")</f>
        <v>https://web.datatree.com/?/property?propertyId=211431387</v>
      </c>
    </row>
    <row r="184" spans="1:235" x14ac:dyDescent="0.3">
      <c r="A184" t="s">
        <v>1109</v>
      </c>
      <c r="B184" t="s">
        <v>1110</v>
      </c>
      <c r="C184" t="s">
        <v>1110</v>
      </c>
      <c r="D184" t="s">
        <v>1111</v>
      </c>
      <c r="E184" t="s">
        <v>3</v>
      </c>
      <c r="F184">
        <v>7</v>
      </c>
      <c r="O184" t="s">
        <v>1112</v>
      </c>
      <c r="P184" t="s">
        <v>1109</v>
      </c>
      <c r="T184" t="s">
        <v>55</v>
      </c>
      <c r="AE184" t="s">
        <v>8</v>
      </c>
      <c r="AH184" t="s">
        <v>2</v>
      </c>
      <c r="AK184" t="s">
        <v>1113</v>
      </c>
      <c r="AM184">
        <v>703</v>
      </c>
      <c r="AP184" t="s">
        <v>992</v>
      </c>
      <c r="AQ184" t="s">
        <v>7</v>
      </c>
      <c r="AS184" t="s">
        <v>2</v>
      </c>
      <c r="AT184" t="s">
        <v>2</v>
      </c>
      <c r="AU184" t="s">
        <v>8</v>
      </c>
      <c r="AV184" t="str">
        <f>"78629-2346"</f>
        <v>78629-2346</v>
      </c>
      <c r="AW184" t="s">
        <v>80</v>
      </c>
      <c r="AX184" t="s">
        <v>1114</v>
      </c>
      <c r="AY184" t="s">
        <v>1115</v>
      </c>
      <c r="AZ184" t="s">
        <v>18</v>
      </c>
      <c r="BA184" t="s">
        <v>1116</v>
      </c>
      <c r="BB184" t="str">
        <f>"14214"</f>
        <v>14214</v>
      </c>
      <c r="BC184" t="str">
        <f>"14214"</f>
        <v>14214</v>
      </c>
      <c r="BD184" t="str">
        <f>"167011500697200000000"</f>
        <v>167011500697200000000</v>
      </c>
      <c r="BE184">
        <v>48177</v>
      </c>
      <c r="BN184">
        <v>29.500588229190601</v>
      </c>
      <c r="BO184">
        <v>-97.621719731972405</v>
      </c>
      <c r="BX184" t="s">
        <v>22</v>
      </c>
      <c r="CA184" t="str">
        <f>""</f>
        <v/>
      </c>
      <c r="CD184">
        <v>0</v>
      </c>
      <c r="CO184">
        <v>0</v>
      </c>
      <c r="EA184" s="1">
        <v>1</v>
      </c>
      <c r="EC184" t="s">
        <v>23</v>
      </c>
      <c r="ED184" t="s">
        <v>24</v>
      </c>
      <c r="EE184" t="s">
        <v>25</v>
      </c>
      <c r="EG184">
        <v>273600</v>
      </c>
      <c r="EH184">
        <v>6.28</v>
      </c>
      <c r="EI184">
        <v>58000</v>
      </c>
      <c r="EJ184">
        <f t="shared" si="5"/>
        <v>29000</v>
      </c>
      <c r="EW184" t="s">
        <v>26</v>
      </c>
      <c r="EX184" t="s">
        <v>584</v>
      </c>
      <c r="EY184" t="s">
        <v>585</v>
      </c>
      <c r="EZ184" s="2">
        <v>40515</v>
      </c>
      <c r="FA184" t="s">
        <v>143</v>
      </c>
      <c r="FB184" t="str">
        <f>"FALSE"</f>
        <v>FALSE</v>
      </c>
      <c r="FC184">
        <v>2019</v>
      </c>
      <c r="FD184">
        <v>2016</v>
      </c>
      <c r="FE184" t="s">
        <v>30</v>
      </c>
      <c r="FF184" t="s">
        <v>31</v>
      </c>
      <c r="FG184" t="s">
        <v>31</v>
      </c>
      <c r="FH184" t="s">
        <v>31</v>
      </c>
      <c r="FI184" t="s">
        <v>31</v>
      </c>
      <c r="FJ184" t="s">
        <v>31</v>
      </c>
      <c r="FK184" t="s">
        <v>31</v>
      </c>
      <c r="FL184" t="s">
        <v>31</v>
      </c>
      <c r="FM184" t="s">
        <v>31</v>
      </c>
      <c r="FN184" t="s">
        <v>31</v>
      </c>
      <c r="FO184" t="s">
        <v>31</v>
      </c>
      <c r="FP184" t="s">
        <v>31</v>
      </c>
      <c r="FQ184" t="s">
        <v>31</v>
      </c>
      <c r="FR184" t="s">
        <v>31</v>
      </c>
      <c r="FS184" s="3">
        <v>43970</v>
      </c>
      <c r="FT184" s="3">
        <v>43970</v>
      </c>
      <c r="FW184" s="3">
        <v>43970</v>
      </c>
      <c r="FX184" s="3">
        <v>43970</v>
      </c>
      <c r="GE184" s="3">
        <v>897.47</v>
      </c>
      <c r="GG184" s="3">
        <v>43970</v>
      </c>
      <c r="GI184" t="s">
        <v>32</v>
      </c>
      <c r="GL184" t="s">
        <v>33</v>
      </c>
      <c r="GM184" t="s">
        <v>34</v>
      </c>
      <c r="GN184" t="s">
        <v>35</v>
      </c>
      <c r="GS184" t="str">
        <f>""</f>
        <v/>
      </c>
      <c r="GT184" t="str">
        <f>""</f>
        <v/>
      </c>
      <c r="GV184" s="2">
        <v>36235</v>
      </c>
      <c r="GW184" s="3">
        <v>0</v>
      </c>
      <c r="GY184" t="s">
        <v>36</v>
      </c>
      <c r="GZ184" t="s">
        <v>37</v>
      </c>
      <c r="HF184" t="str">
        <f>""</f>
        <v/>
      </c>
      <c r="HK184" t="str">
        <f>""</f>
        <v/>
      </c>
      <c r="HN184" t="s">
        <v>38</v>
      </c>
      <c r="HP184" t="str">
        <f>"0008140565"</f>
        <v>0008140565</v>
      </c>
      <c r="HZ184" t="str">
        <f>""</f>
        <v/>
      </c>
      <c r="IA184" t="str">
        <f>HYPERLINK("https://web.datatree.com/?/property?propertyId=128793212")</f>
        <v>https://web.datatree.com/?/property?propertyId=128793212</v>
      </c>
    </row>
    <row r="185" spans="1:235" x14ac:dyDescent="0.3">
      <c r="A185" t="s">
        <v>1999</v>
      </c>
      <c r="B185" t="s">
        <v>2000</v>
      </c>
      <c r="C185" t="s">
        <v>238</v>
      </c>
      <c r="D185" t="s">
        <v>2001</v>
      </c>
      <c r="E185" t="s">
        <v>3</v>
      </c>
      <c r="F185">
        <v>1</v>
      </c>
      <c r="G185" t="s">
        <v>2002</v>
      </c>
      <c r="H185" t="s">
        <v>2003</v>
      </c>
      <c r="I185" t="s">
        <v>2004</v>
      </c>
      <c r="J185" t="s">
        <v>1892</v>
      </c>
      <c r="K185" t="s">
        <v>3</v>
      </c>
      <c r="L185">
        <v>2</v>
      </c>
      <c r="O185" t="s">
        <v>2005</v>
      </c>
      <c r="P185" t="s">
        <v>2006</v>
      </c>
      <c r="T185" t="s">
        <v>55</v>
      </c>
      <c r="Z185" t="s">
        <v>484</v>
      </c>
      <c r="AC185" t="s">
        <v>2</v>
      </c>
      <c r="AE185" t="s">
        <v>8</v>
      </c>
      <c r="AF185" t="str">
        <f>"78629"</f>
        <v>78629</v>
      </c>
      <c r="AG185" t="str">
        <f>"78629"</f>
        <v>78629</v>
      </c>
      <c r="AH185" t="s">
        <v>2</v>
      </c>
      <c r="AJ185" t="s">
        <v>485</v>
      </c>
      <c r="AK185" t="s">
        <v>1711</v>
      </c>
      <c r="AM185">
        <v>310</v>
      </c>
      <c r="AP185" t="s">
        <v>2007</v>
      </c>
      <c r="AQ185" t="s">
        <v>73</v>
      </c>
      <c r="AR185">
        <v>9</v>
      </c>
      <c r="AS185" t="s">
        <v>2</v>
      </c>
      <c r="AT185" t="s">
        <v>2</v>
      </c>
      <c r="AU185" t="s">
        <v>8</v>
      </c>
      <c r="AV185" t="str">
        <f>"78629-2231"</f>
        <v>78629-2231</v>
      </c>
      <c r="AW185" t="s">
        <v>217</v>
      </c>
      <c r="AX185" t="s">
        <v>2008</v>
      </c>
      <c r="AY185" t="s">
        <v>2009</v>
      </c>
      <c r="AZ185" t="s">
        <v>18</v>
      </c>
      <c r="BA185" t="s">
        <v>2010</v>
      </c>
      <c r="BB185" t="str">
        <f>"28036"</f>
        <v>28036</v>
      </c>
      <c r="BC185" t="str">
        <f>"28036"</f>
        <v>28036</v>
      </c>
      <c r="BD185" t="str">
        <f>"92300-00018-00000-000000"</f>
        <v>92300-00018-00000-000000</v>
      </c>
      <c r="BE185">
        <v>48177</v>
      </c>
      <c r="BG185">
        <v>400</v>
      </c>
      <c r="BH185">
        <v>2001</v>
      </c>
      <c r="BN185">
        <v>29.507200000000001</v>
      </c>
      <c r="BO185">
        <v>-97.452100000000002</v>
      </c>
      <c r="CA185" t="str">
        <f>""</f>
        <v/>
      </c>
      <c r="CD185">
        <v>0</v>
      </c>
      <c r="CO185">
        <v>0</v>
      </c>
      <c r="CP185">
        <v>0</v>
      </c>
      <c r="EA185" s="1">
        <v>1</v>
      </c>
      <c r="EC185" t="s">
        <v>23</v>
      </c>
      <c r="EE185" t="s">
        <v>25</v>
      </c>
      <c r="EG185">
        <v>283576</v>
      </c>
      <c r="EH185">
        <v>6.51</v>
      </c>
      <c r="EI185">
        <v>58000</v>
      </c>
      <c r="EJ185">
        <f t="shared" si="5"/>
        <v>29000</v>
      </c>
      <c r="FB185" t="str">
        <f>"UNKNOWN"</f>
        <v>UNKNOWN</v>
      </c>
      <c r="FC185">
        <v>2019</v>
      </c>
      <c r="FE185" t="s">
        <v>30</v>
      </c>
      <c r="FF185" t="s">
        <v>31</v>
      </c>
      <c r="FG185" t="s">
        <v>31</v>
      </c>
      <c r="FH185" t="s">
        <v>31</v>
      </c>
      <c r="FI185" t="s">
        <v>31</v>
      </c>
      <c r="FJ185" t="s">
        <v>31</v>
      </c>
      <c r="FK185" t="s">
        <v>31</v>
      </c>
      <c r="FL185" t="s">
        <v>31</v>
      </c>
      <c r="FM185" t="s">
        <v>31</v>
      </c>
      <c r="FN185" t="s">
        <v>31</v>
      </c>
      <c r="FO185" t="s">
        <v>31</v>
      </c>
      <c r="FP185" t="s">
        <v>31</v>
      </c>
      <c r="FQ185" t="s">
        <v>31</v>
      </c>
      <c r="FR185" t="s">
        <v>31</v>
      </c>
      <c r="FS185" s="3">
        <v>46220</v>
      </c>
      <c r="FT185" s="3">
        <v>46220</v>
      </c>
      <c r="FW185" s="3">
        <v>46220</v>
      </c>
      <c r="FX185" s="3">
        <v>46220</v>
      </c>
      <c r="GG185" s="3">
        <v>46220</v>
      </c>
      <c r="GS185" t="str">
        <f>""</f>
        <v/>
      </c>
      <c r="GT185" t="str">
        <f>""</f>
        <v/>
      </c>
      <c r="GU185" s="2">
        <v>43214</v>
      </c>
      <c r="GV185" s="2">
        <v>43220</v>
      </c>
      <c r="GW185" s="3">
        <v>67125</v>
      </c>
      <c r="GX185" t="s">
        <v>892</v>
      </c>
      <c r="GY185" t="s">
        <v>893</v>
      </c>
      <c r="GZ185" t="s">
        <v>1709</v>
      </c>
      <c r="HB185" s="3">
        <v>53700</v>
      </c>
      <c r="HF185" t="str">
        <f>"294005"</f>
        <v>294005</v>
      </c>
      <c r="HK185" t="str">
        <f>""</f>
        <v/>
      </c>
      <c r="HL185" t="s">
        <v>2011</v>
      </c>
      <c r="HM185" t="s">
        <v>1369</v>
      </c>
      <c r="HN185" t="s">
        <v>38</v>
      </c>
      <c r="HP185" t="str">
        <f>"294004"</f>
        <v>294004</v>
      </c>
      <c r="HQ185" s="2">
        <v>43214</v>
      </c>
      <c r="HR185" s="2">
        <v>43220</v>
      </c>
      <c r="HS185" s="3">
        <v>67125</v>
      </c>
      <c r="HT185" t="s">
        <v>893</v>
      </c>
      <c r="HU185" t="s">
        <v>2011</v>
      </c>
      <c r="HV185" s="3">
        <v>53700</v>
      </c>
      <c r="HZ185" t="str">
        <f>"1279.398"</f>
        <v>1279.398</v>
      </c>
      <c r="IA185" t="str">
        <f>HYPERLINK("https://web.datatree.com/?/property?propertyId=211428011")</f>
        <v>https://web.datatree.com/?/property?propertyId=211428011</v>
      </c>
    </row>
  </sheetData>
  <sortState xmlns:xlrd2="http://schemas.microsoft.com/office/spreadsheetml/2017/richdata2" ref="A2:IA185">
    <sortCondition ref="EH1"/>
  </sortState>
  <conditionalFormatting sqref="AJ1:AJ1048576 AX1:AX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Mayfield</dc:creator>
  <cp:lastModifiedBy>Jason Mayfield</cp:lastModifiedBy>
  <dcterms:created xsi:type="dcterms:W3CDTF">2020-01-01T21:36:02Z</dcterms:created>
  <dcterms:modified xsi:type="dcterms:W3CDTF">2020-01-01T22:04:17Z</dcterms:modified>
</cp:coreProperties>
</file>