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k/Library/Mobile Documents/com~apple~CloudDocs/Tennis/"/>
    </mc:Choice>
  </mc:AlternateContent>
  <xr:revisionPtr revIDLastSave="0" documentId="13_ncr:1_{0920C024-D77F-914A-B250-8E77EA9CE74F}" xr6:coauthVersionLast="47" xr6:coauthVersionMax="47" xr10:uidLastSave="{00000000-0000-0000-0000-000000000000}"/>
  <bookViews>
    <workbookView xWindow="0" yWindow="880" windowWidth="18000" windowHeight="21360" xr2:uid="{DAA6B2B8-0863-744C-91FF-999813BEC83B}"/>
  </bookViews>
  <sheets>
    <sheet name="Dashboard" sheetId="17" r:id="rId1"/>
    <sheet name="Dashboard - B" sheetId="16" state="hidden" r:id="rId2"/>
    <sheet name="Data" sheetId="15" r:id="rId3"/>
    <sheet name="Rackets" sheetId="10" r:id="rId4"/>
    <sheet name="Strings" sheetId="11" r:id="rId5"/>
    <sheet name="Grips" sheetId="18" r:id="rId6"/>
    <sheet name="Settings" sheetId="12" r:id="rId7"/>
    <sheet name="Change Logs" sheetId="8" r:id="rId8"/>
    <sheet name="Events" sheetId="13" state="hidden" r:id="rId9"/>
  </sheets>
  <definedNames>
    <definedName name="_xlchart.v2.0" hidden="1">Grips!$G$2:$G$8</definedName>
    <definedName name="_xlchart.v2.1" hidden="1">Grips!$J$2:$J$8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8" l="1" a="1"/>
  <c r="F4" i="18" s="1"/>
  <c r="F5" i="18" a="1"/>
  <c r="F5" i="18" s="1"/>
  <c r="F6" i="18" a="1"/>
  <c r="F6" i="18" s="1"/>
  <c r="G4" i="18"/>
  <c r="G5" i="18"/>
  <c r="G6" i="18"/>
  <c r="F4" i="11" a="1"/>
  <c r="F4" i="11" s="1"/>
  <c r="F5" i="11" a="1"/>
  <c r="F5" i="11" s="1"/>
  <c r="K4" i="11"/>
  <c r="K5" i="11"/>
  <c r="J5" i="18" l="1"/>
  <c r="I5" i="18"/>
  <c r="J4" i="18"/>
  <c r="I4" i="18"/>
  <c r="I6" i="18"/>
  <c r="J6" i="18"/>
  <c r="M5" i="11"/>
  <c r="N5" i="11"/>
  <c r="M4" i="11"/>
  <c r="N4" i="11"/>
  <c r="C1" i="17" l="1"/>
  <c r="F2" i="18" a="1"/>
  <c r="F2" i="18" s="1"/>
  <c r="I2" i="18" s="1"/>
  <c r="F3" i="18" a="1"/>
  <c r="F3" i="18" s="1"/>
  <c r="I3" i="18" s="1"/>
  <c r="G2" i="18"/>
  <c r="G3" i="18"/>
  <c r="J3" i="18" l="1"/>
  <c r="J2" i="18"/>
  <c r="K2" i="11" l="1"/>
  <c r="K3" i="11"/>
  <c r="G2" i="10" l="1"/>
  <c r="G3" i="10"/>
  <c r="G7" i="16"/>
  <c r="C7" i="16" s="1" a="1"/>
  <c r="C7" i="16" s="1"/>
  <c r="C7" i="17"/>
  <c r="C1" i="16"/>
  <c r="C2" i="10"/>
  <c r="C3" i="10"/>
  <c r="F2" i="11" a="1"/>
  <c r="F2" i="11" s="1"/>
  <c r="F3" i="11" a="1"/>
  <c r="F3" i="11" s="1"/>
  <c r="B5" i="17" a="1"/>
  <c r="B5" i="16" a="1"/>
  <c r="R6" i="17" l="1"/>
  <c r="Q6" i="17"/>
  <c r="P6" i="17"/>
  <c r="N6" i="17"/>
  <c r="O6" i="17" s="1"/>
  <c r="M2" i="11"/>
  <c r="M3" i="11"/>
  <c r="H7" i="16"/>
  <c r="E7" i="17" a="1"/>
  <c r="E7" i="17" s="1"/>
  <c r="D7" i="17"/>
  <c r="B5" i="17"/>
  <c r="C6" i="17"/>
  <c r="D6" i="17" s="1"/>
  <c r="H6" i="17"/>
  <c r="F6" i="17"/>
  <c r="E6" i="17"/>
  <c r="G6" i="17" a="1"/>
  <c r="G6" i="17" s="1"/>
  <c r="G6" i="16"/>
  <c r="H6" i="16" s="1"/>
  <c r="N3" i="11"/>
  <c r="N2" i="11"/>
  <c r="F6" i="16"/>
  <c r="C6" i="16"/>
  <c r="E6" i="16" a="1"/>
  <c r="E6" i="16" s="1"/>
  <c r="D6" i="16"/>
  <c r="B5" i="16"/>
  <c r="P5" i="17" l="1"/>
  <c r="R5" i="17"/>
  <c r="Q5" i="17"/>
  <c r="N5" i="17"/>
  <c r="O5" i="17" s="1"/>
  <c r="K6" i="17"/>
  <c r="L6" i="17"/>
  <c r="I6" i="17"/>
  <c r="J6" i="17"/>
  <c r="G5" i="17" a="1"/>
  <c r="G5" i="17" s="1"/>
  <c r="F5" i="17"/>
  <c r="C5" i="17"/>
  <c r="H5" i="17"/>
  <c r="E5" i="17"/>
  <c r="G5" i="16"/>
  <c r="H5" i="16" s="1"/>
  <c r="D5" i="16"/>
  <c r="C5" i="16"/>
  <c r="F5" i="16"/>
  <c r="E5" i="16" a="1"/>
  <c r="E5" i="16" s="1"/>
  <c r="D5" i="17" l="1"/>
  <c r="K5" i="17"/>
  <c r="L5" i="17"/>
  <c r="I5" i="17"/>
  <c r="J5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<sst xmlns="http://schemas.openxmlformats.org/spreadsheetml/2006/main" count="192" uniqueCount="92">
  <si>
    <t>Event</t>
  </si>
  <si>
    <t>Racket</t>
  </si>
  <si>
    <t>Date</t>
  </si>
  <si>
    <t>Details</t>
  </si>
  <si>
    <t>Play</t>
  </si>
  <si>
    <t>Strings</t>
  </si>
  <si>
    <t>Grips</t>
  </si>
  <si>
    <t>Hours played</t>
  </si>
  <si>
    <t>Last Change</t>
  </si>
  <si>
    <t>Hours played to change strings</t>
  </si>
  <si>
    <t>Version</t>
  </si>
  <si>
    <t>Changes</t>
  </si>
  <si>
    <t>First release</t>
  </si>
  <si>
    <t>Internal only - Conditional formatting on hours played</t>
  </si>
  <si>
    <t>Conditional formatting update on dates.
New settings 
- Days to change strings
- Days to change grips
- Hours played to change strings
- Hours played to change grips
Change logs tab</t>
  </si>
  <si>
    <t>Days (absolute) to change strings</t>
  </si>
  <si>
    <t>Formula cleaning (using table and row names)</t>
  </si>
  <si>
    <t>Adding #changes for strings and grips
Adding "hours played overall" per racket</t>
  </si>
  <si>
    <r>
      <t xml:space="preserve">Adding #changes for strings and grips
Adding "hours played overall" per racket
Adding useless charts :)
</t>
    </r>
    <r>
      <rPr>
        <b/>
        <sz val="12"/>
        <color theme="1"/>
        <rFont val="Calibri"/>
        <family val="2"/>
        <scheme val="minor"/>
      </rPr>
      <t>Adding Strings Info tab and chart</t>
    </r>
  </si>
  <si>
    <t>New Balls</t>
  </si>
  <si>
    <t>EventType</t>
  </si>
  <si>
    <t>Adding Balls change event and stats
Renaming to stringz</t>
  </si>
  <si>
    <t>Stringz Version:</t>
  </si>
  <si>
    <t>Hours played to change balls</t>
  </si>
  <si>
    <t>Duration
(hours)</t>
  </si>
  <si>
    <t>Count for ball usage
(Y/N)</t>
  </si>
  <si>
    <t>Warning value (absolute / days) to change strings</t>
  </si>
  <si>
    <t>Warning value (hours played) to change strings</t>
  </si>
  <si>
    <t>Removed "Overall Time played" in Data
Issue #2 changed date format in data tab for a more easy readable format
Issue #3 Removed "Strings and Grips changes" graph
Issue #4 addressed using new setting : "Hours played to change balls" and new row "Count for ball usage" in datas
Issue #5 Fixed "Wrong grip Xlookup in dashboard"
Issue #7 - Dashboard and data tabs display at 125%, Strings Info, Settings and Change Logs at 150%
Minor esthetic changes</t>
  </si>
  <si>
    <t>Comment</t>
  </si>
  <si>
    <t>Tension</t>
  </si>
  <si>
    <t>Gauge</t>
  </si>
  <si>
    <t>Color</t>
  </si>
  <si>
    <t>Weight</t>
  </si>
  <si>
    <t>Main Tension</t>
  </si>
  <si>
    <t>Cross Tension</t>
  </si>
  <si>
    <t>Type</t>
  </si>
  <si>
    <t>Brand</t>
  </si>
  <si>
    <t>Comments</t>
  </si>
  <si>
    <t>Model</t>
  </si>
  <si>
    <t>Installation Date</t>
  </si>
  <si>
    <t>Removal Date*</t>
  </si>
  <si>
    <t>ID*</t>
  </si>
  <si>
    <t>Info</t>
  </si>
  <si>
    <t>Value</t>
  </si>
  <si>
    <t>Balls</t>
  </si>
  <si>
    <t>Days played*</t>
  </si>
  <si>
    <t>Hours played*</t>
  </si>
  <si>
    <t xml:space="preserve">Balls </t>
  </si>
  <si>
    <t>Tech Info</t>
  </si>
  <si>
    <t>Timing Info</t>
  </si>
  <si>
    <t>Hours played to warn for balls change</t>
  </si>
  <si>
    <t>TW - Gauge Nominal (mm)</t>
  </si>
  <si>
    <t>TW - Stiffness (lb/in)</t>
  </si>
  <si>
    <t>TW - Tension Loss (%)</t>
  </si>
  <si>
    <t>TW - Energy Return (%)</t>
  </si>
  <si>
    <t>TW - Spin Potential</t>
  </si>
  <si>
    <t>Strings Timing Infos</t>
  </si>
  <si>
    <t>Strings Tech Infos</t>
  </si>
  <si>
    <t>Strings TW Infos (for nominal gauges)</t>
  </si>
  <si>
    <t>Grips Timing Infos</t>
  </si>
  <si>
    <t>Grips Tech Infos</t>
  </si>
  <si>
    <t xml:space="preserve">Name </t>
  </si>
  <si>
    <t>Days (absolute) to change grips (80% will display a warning)</t>
  </si>
  <si>
    <t>Hours played to change grips (80% will display a warning)</t>
  </si>
  <si>
    <t>Days Played *</t>
  </si>
  <si>
    <t>Hours Played*</t>
  </si>
  <si>
    <t>Full redesign</t>
  </si>
  <si>
    <t>8x Babolat Team</t>
  </si>
  <si>
    <t>Head Graphene Radical 1</t>
  </si>
  <si>
    <t>Y</t>
  </si>
  <si>
    <t>Babolat Pure Strike VS 2</t>
  </si>
  <si>
    <t>N</t>
  </si>
  <si>
    <t>Head</t>
  </si>
  <si>
    <t>Graphene Radical</t>
  </si>
  <si>
    <t>Babolat</t>
  </si>
  <si>
    <t>Pure Strike VS</t>
  </si>
  <si>
    <t>Black</t>
  </si>
  <si>
    <t>Red</t>
  </si>
  <si>
    <t>Tecnifibre</t>
  </si>
  <si>
    <t>Ice Code</t>
  </si>
  <si>
    <t>Mono</t>
  </si>
  <si>
    <t>Black Code</t>
  </si>
  <si>
    <t xml:space="preserve">Duramix </t>
  </si>
  <si>
    <t>Multi</t>
  </si>
  <si>
    <t>Triax</t>
  </si>
  <si>
    <t>White</t>
  </si>
  <si>
    <t>Natural</t>
  </si>
  <si>
    <t>Artengo</t>
  </si>
  <si>
    <t>Comfort</t>
  </si>
  <si>
    <t>Pro Tour Comfort</t>
  </si>
  <si>
    <t>Tacky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</si>
</sst>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left" wrapText="1"/>
    </xf>
    <xf numFmtId="0" fontId="0" fillId="4" borderId="6" xfId="0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5" borderId="1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3" borderId="3" xfId="0" applyFont="1" applyFill="1" applyBorder="1" applyAlignment="1" applyProtection="1">
      <alignment horizontal="center"/>
      <protection locked="0"/>
    </xf>
    <xf numFmtId="0" fontId="4" fillId="3" borderId="5" xfId="0" applyFont="1" applyFill="1" applyBorder="1" applyAlignment="1" applyProtection="1">
      <alignment horizontal="center"/>
      <protection locked="0"/>
    </xf>
    <xf numFmtId="0" fontId="4" fillId="4" borderId="3" xfId="0" applyFont="1" applyFill="1" applyBorder="1" applyAlignment="1" applyProtection="1">
      <alignment horizontal="center"/>
      <protection locked="0"/>
    </xf>
    <xf numFmtId="0" fontId="4" fillId="4" borderId="7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4"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64" formatCode="dd\ mmmm\ yyyy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64" formatCode="dd\ mmmm\ yyyy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164" formatCode="dd\ mmmm\ yyyy"/>
      <alignment horizontal="center" vertical="center" textRotation="0" wrapText="0" indent="0" justifyLastLine="0" shrinkToFit="0" readingOrder="0"/>
      <protection locked="0" hidden="0"/>
    </dxf>
    <dxf>
      <numFmt numFmtId="164" formatCode="dd\ mmmm\ yyyy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numFmt numFmtId="164" formatCode="dd\ mmmm\ yyyy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protection locked="0" hidden="0"/>
    </dxf>
    <dxf>
      <numFmt numFmtId="0" formatCode="General"/>
      <alignment horizontal="center" vertical="center" textRotation="0" indent="0" justifyLastLine="0" shrinkToFit="0" readingOrder="0"/>
    </dxf>
    <dxf>
      <numFmt numFmtId="164" formatCode="dd\ mmmm\ yyyy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\ mmmm\ yyyy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9193"/>
      <color rgb="FF941100"/>
      <color rgb="FFFF9300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Rackets Usage (hours)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47-694A-89E0-511AF14814C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47-694A-89E0-511AF14814C6}"/>
              </c:ext>
            </c:extLst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'Rackets'!$C$2:$C$3</c:f>
              <c:strCache>
                <c:ptCount val="2"/>
                <c:pt idx="0">
                  <c:v>Head Graphene Radical 1</c:v>
                </c:pt>
                <c:pt idx="1">
                  <c:v>Babolat Pure Strike VS 2</c:v>
                </c:pt>
              </c:strCache>
            </c:strRef>
          </c:cat>
          <c:val>
            <c:numRef>
              <c:f>'Rackets'!$G$2:$G$3</c:f>
              <c:numCache>
                <c:formatCode>0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7-694A-89E0-511AF14814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</a:t>
            </a:r>
            <a:r>
              <a:rPr lang="en-GB" baseline="0"/>
              <a:t> Usage (hours)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6C-1843-9786-32FAB8C70AAC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6C-1843-9786-32FAB8C70AAC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Strings!$K$2:$K$5</c:f>
              <c:strCache>
                <c:ptCount val="4"/>
                <c:pt idx="0">
                  <c:v>Tecnifibre Ice Code 23/21-120-1</c:v>
                </c:pt>
                <c:pt idx="1">
                  <c:v>Tecnifibre Black Code 22/20-120-2</c:v>
                </c:pt>
                <c:pt idx="2">
                  <c:v>Tecnifibre Duramix  25/25-130-3</c:v>
                </c:pt>
                <c:pt idx="3">
                  <c:v>Tecnifibre Triax 24/24-133-4</c:v>
                </c:pt>
              </c:strCache>
            </c:strRef>
          </c:cat>
          <c:val>
            <c:numRef>
              <c:f>Strings!$N$2:$N$5</c:f>
              <c:numCache>
                <c:formatCode>General</c:formatCode>
                <c:ptCount val="4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6C-1843-9786-32FAB8C70A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788810712524818"/>
          <c:y val="0.25942807930258716"/>
          <c:w val="0.4154760353061886"/>
          <c:h val="0.6194249156355455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Strings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Dashboard!$F$5</c:f>
              <c:strCache>
                <c:ptCount val="1"/>
                <c:pt idx="0">
                  <c:v>Duramix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Dashboard!$I$4:$L$4</c:f>
              <c:strCache>
                <c:ptCount val="4"/>
                <c:pt idx="0">
                  <c:v>TW - Stiffness (lb/in)</c:v>
                </c:pt>
                <c:pt idx="1">
                  <c:v>TW - Tension Loss (%)</c:v>
                </c:pt>
                <c:pt idx="2">
                  <c:v>TW - Energy Return (%)</c:v>
                </c:pt>
                <c:pt idx="3">
                  <c:v>TW - Spin Potential</c:v>
                </c:pt>
              </c:strCache>
            </c:strRef>
          </c:cat>
          <c:val>
            <c:numRef>
              <c:f>Dashboard!$I$5:$L$5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0-FD4D-B0FF-5008191493C1}"/>
            </c:ext>
          </c:extLst>
        </c:ser>
        <c:ser>
          <c:idx val="1"/>
          <c:order val="1"/>
          <c:tx>
            <c:strRef>
              <c:f>Dashboard!$F$6</c:f>
              <c:strCache>
                <c:ptCount val="1"/>
                <c:pt idx="0">
                  <c:v>Triax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Dashboard!$I$4:$L$4</c:f>
              <c:strCache>
                <c:ptCount val="4"/>
                <c:pt idx="0">
                  <c:v>TW - Stiffness (lb/in)</c:v>
                </c:pt>
                <c:pt idx="1">
                  <c:v>TW - Tension Loss (%)</c:v>
                </c:pt>
                <c:pt idx="2">
                  <c:v>TW - Energy Return (%)</c:v>
                </c:pt>
                <c:pt idx="3">
                  <c:v>TW - Spin Potential</c:v>
                </c:pt>
              </c:strCache>
            </c:strRef>
          </c:cat>
          <c:val>
            <c:numRef>
              <c:f>Dashboard!$I$6:$L$6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0-FD4D-B0FF-5008191493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6562543"/>
        <c:axId val="196564191"/>
      </c:barChart>
      <c:catAx>
        <c:axId val="19656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6564191"/>
        <c:crosses val="autoZero"/>
        <c:auto val="1"/>
        <c:lblAlgn val="ctr"/>
        <c:lblOffset val="100"/>
        <c:noMultiLvlLbl val="0"/>
      </c:catAx>
      <c:valAx>
        <c:axId val="196564191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9656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GB" sz="1800" b="1" i="0" baseline="0">
                <a:effectLst/>
              </a:rPr>
              <a:t>Grips Usage (hours)</a:t>
            </a:r>
            <a:endParaRPr lang="en-FR">
              <a:effectLst/>
            </a:endParaRPr>
          </a:p>
        </cx:rich>
      </cx:tx>
    </cx:title>
    <cx:plotArea>
      <cx:plotAreaRegion>
        <cx:series layoutId="funnel" uniqueId="{E25195E5-A7EB-F746-9C44-0EEB46DA4F99}">
          <cx:dataLabels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10160</xdr:rowOff>
    </xdr:from>
    <xdr:to>
      <xdr:col>3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DD02E-109F-1C4D-9196-42A44F5ED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8</xdr:row>
      <xdr:rowOff>0</xdr:rowOff>
    </xdr:from>
    <xdr:to>
      <xdr:col>8</xdr:col>
      <xdr:colOff>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D70E4B-8821-C641-91C4-D9A9DE825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137710</xdr:colOff>
      <xdr:row>8</xdr:row>
      <xdr:rowOff>1682</xdr:rowOff>
    </xdr:from>
    <xdr:to>
      <xdr:col>11</xdr:col>
      <xdr:colOff>1306722</xdr:colOff>
      <xdr:row>22</xdr:row>
      <xdr:rowOff>7649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D35DF8-9970-0428-B40D-B1E9FBD81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8</xdr:row>
      <xdr:rowOff>0</xdr:rowOff>
    </xdr:from>
    <xdr:to>
      <xdr:col>18</xdr:col>
      <xdr:colOff>10160</xdr:colOff>
      <xdr:row>22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6755A3-43EA-6646-BB88-8045FC022A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35300" y="1689100"/>
              <a:ext cx="5293360" cy="284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556EEF-D0F6-5A47-BAFE-517AE0E5C054}" name="Data" displayName="Data" ref="A1:F15" totalsRowShown="0" headerRowDxfId="27" dataDxfId="0">
  <autoFilter ref="A1:F15" xr:uid="{51556EEF-D0F6-5A47-BAFE-517AE0E5C054}"/>
  <tableColumns count="6">
    <tableColumn id="1" xr3:uid="{576A4291-288D-EA45-9A6E-153C5D5C9A29}" name="Date" dataDxfId="6"/>
    <tableColumn id="2" xr3:uid="{5A47CEC0-595E-B048-B68D-604A699F9E8D}" name="Event" dataDxfId="5"/>
    <tableColumn id="3" xr3:uid="{400BC64F-5456-A348-9188-97ED0105B1B4}" name="Racket" dataDxfId="4"/>
    <tableColumn id="4" xr3:uid="{1100A5C0-72AA-734F-861C-0E53306B9589}" name="Duration_x000a_(hours)" dataDxfId="3"/>
    <tableColumn id="5" xr3:uid="{9BC364EF-16FD-1E4F-9BF3-C20987366A5C}" name="Details" dataDxfId="2"/>
    <tableColumn id="6" xr3:uid="{B46CD6AB-64C8-6F40-9C48-1357FEB95BB1}" name="Count for ball usage_x000a_(Y/N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DAF07B-A374-334D-BE0F-0EA011D83542}" name="Rackets" displayName="Rackets" ref="A1:H3" totalsRowShown="0" headerRowDxfId="55" dataDxfId="54">
  <autoFilter ref="A1:H3" xr:uid="{94DAF07B-A374-334D-BE0F-0EA011D83542}"/>
  <tableColumns count="8">
    <tableColumn id="1" xr3:uid="{F84B6045-E83C-2841-989D-DFFBAE94B4A7}" name="Brand" dataDxfId="26"/>
    <tableColumn id="8" xr3:uid="{68D70F5D-1736-F449-A2D1-97A5B71ACEEF}" name="Model" dataDxfId="25"/>
    <tableColumn id="2" xr3:uid="{F38954C5-316D-4446-B04E-11AE3EACBC6C}" name="ID*" dataDxfId="21">
      <calculatedColumnFormula>Rackets[[#This Row],[Brand]]&amp;" "&amp;Rackets[[#This Row],[Model]]&amp;" "&amp;ROW()-1</calculatedColumnFormula>
    </tableColumn>
    <tableColumn id="3" xr3:uid="{AC04020F-DA4D-0D46-ADCC-7C2037DBA701}" name="Weight" dataDxfId="24"/>
    <tableColumn id="5" xr3:uid="{589700D2-3F9A-F943-92BF-4910B0D30000}" name="Color" dataDxfId="23"/>
    <tableColumn id="7" xr3:uid="{6454C547-F294-AB43-B1F6-8A59F104C6B8}" name="Date" dataDxfId="22"/>
    <tableColumn id="4" xr3:uid="{7D938651-F8DF-3942-B164-6EBA76ECEFA3}" name="Hours played*" dataDxfId="53">
      <calculatedColumnFormula>SUMIFS(Data[Duration
(hours)],Data[Racket],Rackets[[#This Row],[ID*]])</calculatedColumnFormula>
    </tableColumn>
    <tableColumn id="6" xr3:uid="{F3F81AF6-1E1A-1C40-AC04-158C844338FD}" name="Comment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E2CF9-294B-744B-8C41-04DF4CDEBD18}" name="Strings" displayName="Strings" ref="A1:S5" totalsRowShown="0" headerRowDxfId="51" dataDxfId="50">
  <autoFilter ref="A1:S5" xr:uid="{588E2CF9-294B-744B-8C41-04DF4CDEBD18}"/>
  <tableColumns count="19">
    <tableColumn id="1" xr3:uid="{34BB7466-7AF9-D94E-B143-76E749481FCF}" name="Brand" dataDxfId="20"/>
    <tableColumn id="10" xr3:uid="{B378D043-DBAA-FB4C-BC3B-E3228E5446D6}" name="Model" dataDxfId="19"/>
    <tableColumn id="9" xr3:uid="{E062B2D5-8A6B-B540-BE00-5EE5F6FC2DE4}" name="Type" dataDxfId="18"/>
    <tableColumn id="13" xr3:uid="{E84B64B6-B600-9D47-97F4-B009E1BC6B9B}" name="Installation Date" dataDxfId="17"/>
    <tableColumn id="7" xr3:uid="{50B952ED-A2C4-3C43-A891-609D3C65D3D8}" name="Racket" dataDxfId="16"/>
    <tableColumn id="14" xr3:uid="{7A716B56-B9FA-D74C-AED5-94A2AD471EE8}" name="Removal Date*" dataDxfId="49">
      <calculatedColumnFormula array="1">_xlfn.XLOOKUP(1,(Strings[Racket]=Strings[[#This Row],[Racket]])*(Strings[Installation Date]&gt;Strings[[#This Row],[Installation Date]]),Strings[Installation Date],TODAY(),0,1)</calculatedColumnFormula>
    </tableColumn>
    <tableColumn id="4" xr3:uid="{31C067A7-156B-1B49-8966-135EBE15A5AD}" name="Main Tension" dataDxfId="15"/>
    <tableColumn id="8" xr3:uid="{B297A039-CDA1-CC49-94C1-4492BE6B3DCC}" name="Cross Tension" dataDxfId="14"/>
    <tableColumn id="5" xr3:uid="{061BCE21-290F-E64C-AE27-778D3B265905}" name="Gauge" dataDxfId="13"/>
    <tableColumn id="6" xr3:uid="{7437C2C0-987B-5049-B3DC-F2E03101F000}" name="Color" dataDxfId="12"/>
    <tableColumn id="12" xr3:uid="{424C39BC-7030-7447-B233-1E100000B51B}" name="ID*" dataDxfId="48">
      <calculatedColumnFormula>Strings[[#This Row],[Brand]]&amp;" "&amp;Strings[[#This Row],[Model]]&amp;" "&amp;Strings[[#This Row],[Main Tension]]&amp;"/"&amp;Strings[[#This Row],[Cross Tension]]&amp;"-"&amp;Strings[[#This Row],[Gauge]]&amp;"-"&amp;ROW()-1</calculatedColumnFormula>
    </tableColumn>
    <tableColumn id="11" xr3:uid="{9EFC9960-28BC-5F47-A651-A905A14666C7}" name="Comments" dataDxfId="47"/>
    <tableColumn id="15" xr3:uid="{467495C2-2EC6-5B4F-A495-4DDE147771B8}" name="Days played*" dataDxfId="46">
      <calculatedColumnFormula>Strings[[#This Row],[Removal Date*]]-Strings[[#This Row],[Installation Date]]</calculatedColumnFormula>
    </tableColumn>
    <tableColumn id="16" xr3:uid="{DB78761A-FC6C-5F4A-8D52-045721624C3C}" name="Hours played*" dataDxfId="45">
      <calculatedColumnFormula>SUMIFS(Data[Duration
(hours)],Data[Date],"&lt;="&amp;Strings[[#This Row],[Removal Date*]],Data[Date],"&gt;="&amp;Strings[[#This Row],[Installation Date]],Data[Racket],Strings[[#This Row],[Racket]])</calculatedColumnFormula>
    </tableColumn>
    <tableColumn id="2" xr3:uid="{02BD826A-CFA0-084D-8FD8-DAB3E25A6059}" name="TW - Gauge Nominal (mm)" dataDxfId="44"/>
    <tableColumn id="3" xr3:uid="{7D6F1905-3885-E14D-94CC-8F1D759FC4CA}" name="TW - Stiffness (lb/in)" dataDxfId="43"/>
    <tableColumn id="17" xr3:uid="{AB6DA447-4549-D94B-A2C0-EAC623A71514}" name="TW - Tension Loss (%)" dataDxfId="42"/>
    <tableColumn id="18" xr3:uid="{241A85FF-D354-0B40-8656-3C4D737D4295}" name="TW - Energy Return (%)" dataDxfId="41"/>
    <tableColumn id="19" xr3:uid="{3F81BD10-CD48-5941-8E01-13ED4F151D79}" name="TW - Spin Potential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B5A8CC-7F67-3B41-99CF-704BF24E1FEB}" name="Grips" displayName="Grips" ref="A1:J6" totalsRowShown="0" headerRowDxfId="39" dataDxfId="38">
  <autoFilter ref="A1:J6" xr:uid="{0BB5A8CC-7F67-3B41-99CF-704BF24E1FEB}"/>
  <tableColumns count="10">
    <tableColumn id="1" xr3:uid="{2006926C-CA3D-6B45-9743-F499C98D0B3D}" name="Brand" dataDxfId="11"/>
    <tableColumn id="2" xr3:uid="{0A546A03-8D75-0942-B129-6659E9F62819}" name="Model" dataDxfId="10"/>
    <tableColumn id="3" xr3:uid="{1FE2E25A-0F92-144C-8E53-9B8C3A7F6ED3}" name="Color" dataDxfId="9"/>
    <tableColumn id="4" xr3:uid="{450ACF4D-2B30-554F-A98B-2F8599014EEE}" name="Installation Date" dataDxfId="8"/>
    <tableColumn id="5" xr3:uid="{014A4C1B-2091-2A48-AF3D-C899510343AA}" name="Racket" dataDxfId="7"/>
    <tableColumn id="6" xr3:uid="{A9634954-C429-0B4B-9F57-C3878AFAE8B3}" name="Removal Date*" dataDxfId="37">
      <calculatedColumnFormula array="1">_xlfn.XLOOKUP(1,(Grips[Racket]=Grips[[#This Row],[Racket]])*(Grips[Installation Date]&gt;Grips[[#This Row],[Installation Date]]),Grips[Installation Date],TODAY(),0,1)</calculatedColumnFormula>
    </tableColumn>
    <tableColumn id="7" xr3:uid="{52E88293-C279-2845-B9A8-B9B9FF42C180}" name="ID*" dataDxfId="36">
      <calculatedColumnFormula>Grips[[#This Row],[Brand]]&amp;" "&amp;Grips[[#This Row],[Model]]&amp;" "&amp;Grips[[#This Row],[Color]]&amp;"-"&amp;ROW()-1</calculatedColumnFormula>
    </tableColumn>
    <tableColumn id="8" xr3:uid="{1E35854F-54AB-CB4D-8E8E-EB7F01819E4D}" name="Comments" dataDxfId="35"/>
    <tableColumn id="9" xr3:uid="{808785E9-C702-1E44-9905-8756EF512747}" name="Days Played *" dataDxfId="34">
      <calculatedColumnFormula>Grips[[#This Row],[Removal Date*]]-Grips[[#This Row],[Installation Date]]</calculatedColumnFormula>
    </tableColumn>
    <tableColumn id="10" xr3:uid="{322AE7A1-B1F0-514A-BAE0-460A8D367789}" name="Hours Played*" dataDxfId="33">
      <calculatedColumnFormula>SUMIFS(Data[Duration
(hours)],Data[Date],"&lt;="&amp;Grips[[#This Row],[Removal Date*]],Data[Date],"&gt;="&amp;Grips[[#This Row],[Installation Date]],Data[Racket],Grips[[#This Row],[Racket]])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52B443-C31B-5645-AAA5-3B9F55602CFA}" name="Settings" displayName="Settings" ref="A1:C9" totalsRowShown="0" tableBorderDxfId="32">
  <autoFilter ref="A1:C9" xr:uid="{8152B443-C31B-5645-AAA5-3B9F55602CFA}">
    <filterColumn colId="0" hiddenButton="1"/>
    <filterColumn colId="1" hiddenButton="1"/>
    <filterColumn colId="2" hiddenButton="1"/>
  </autoFilter>
  <tableColumns count="3">
    <tableColumn id="1" xr3:uid="{F590531E-AC96-0A4F-A6EA-4093ADA85257}" name="Type" dataDxfId="31"/>
    <tableColumn id="2" xr3:uid="{19511623-9AA9-554E-8A44-4AD3B1D6E240}" name="Info" dataDxfId="30"/>
    <tableColumn id="3" xr3:uid="{6042B61C-4281-DB4F-9AAA-5441EF2C30BC}" name="Value" dataDxfId="2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4CF3-9341-EF49-B24D-20954509618E}" name="ChangeLogs" displayName="ChangeLogs" ref="A1:B10" totalsRowShown="0">
  <autoFilter ref="A1:B10" xr:uid="{62604CF3-9341-EF49-B24D-20954509618E}"/>
  <tableColumns count="2">
    <tableColumn id="1" xr3:uid="{E4E73ABB-D747-F644-8A1B-3FC6CCD779BA}" name="Version" dataDxfId="28"/>
    <tableColumn id="2" xr3:uid="{42093D4A-AC48-E144-B168-E1C1DC471916}" name="Chang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50AD82-B590-7747-A3AD-0B5C3598C370}" name="EventsType" displayName="EventsType" ref="A1:A3" totalsRowShown="0">
  <autoFilter ref="A1:A3" xr:uid="{BE50AD82-B590-7747-A3AD-0B5C3598C370}"/>
  <tableColumns count="1">
    <tableColumn id="1" xr3:uid="{0525C49A-15F5-E547-A34E-AA5911BF30A9}" name="Ev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6776-732A-CA46-8B06-CC85125191B6}">
  <sheetPr>
    <tabColor rgb="FF0070C0"/>
  </sheetPr>
  <dimension ref="B1:R9"/>
  <sheetViews>
    <sheetView tabSelected="1" zoomScale="125" zoomScaleNormal="125" workbookViewId="0">
      <selection activeCell="B3" sqref="B3"/>
    </sheetView>
  </sheetViews>
  <sheetFormatPr baseColWidth="10" defaultRowHeight="16" x14ac:dyDescent="0.2"/>
  <cols>
    <col min="1" max="1" width="3.1640625" customWidth="1"/>
    <col min="2" max="2" width="28.6640625" style="24" customWidth="1"/>
    <col min="3" max="3" width="20.1640625" style="11" customWidth="1"/>
    <col min="4" max="4" width="11.6640625" style="11" bestFit="1" customWidth="1"/>
    <col min="5" max="5" width="10" style="24" customWidth="1"/>
    <col min="6" max="6" width="34.5" style="24" bestFit="1" customWidth="1"/>
    <col min="7" max="7" width="9.5" customWidth="1"/>
    <col min="9" max="9" width="18.6640625" style="11" bestFit="1" customWidth="1"/>
    <col min="10" max="10" width="19.5" style="11" bestFit="1" customWidth="1"/>
    <col min="11" max="11" width="20.6640625" style="11" bestFit="1" customWidth="1"/>
    <col min="12" max="12" width="17.1640625" style="11" bestFit="1" customWidth="1"/>
    <col min="13" max="13" width="2" customWidth="1"/>
    <col min="14" max="14" width="17.1640625" style="11" customWidth="1"/>
    <col min="15" max="15" width="15.33203125" style="11" customWidth="1"/>
    <col min="17" max="17" width="15.1640625" bestFit="1" customWidth="1"/>
  </cols>
  <sheetData>
    <row r="1" spans="2:18" x14ac:dyDescent="0.2">
      <c r="B1" s="33" t="s">
        <v>22</v>
      </c>
      <c r="C1" s="34">
        <f>MAX('Change Logs'!A:A)</f>
        <v>3</v>
      </c>
    </row>
    <row r="2" spans="2:18" ht="17" thickBot="1" x14ac:dyDescent="0.25"/>
    <row r="3" spans="2:18" ht="17" thickBot="1" x14ac:dyDescent="0.25">
      <c r="C3" s="79" t="s">
        <v>57</v>
      </c>
      <c r="D3" s="81"/>
      <c r="E3" s="79" t="s">
        <v>58</v>
      </c>
      <c r="F3" s="80"/>
      <c r="G3" s="80"/>
      <c r="H3" s="81"/>
      <c r="I3" s="85" t="s">
        <v>59</v>
      </c>
      <c r="J3" s="86"/>
      <c r="K3" s="86"/>
      <c r="L3" s="86"/>
      <c r="M3" s="59"/>
      <c r="N3" s="80" t="s">
        <v>60</v>
      </c>
      <c r="O3" s="81"/>
      <c r="P3" s="79" t="s">
        <v>61</v>
      </c>
      <c r="Q3" s="80"/>
      <c r="R3" s="81"/>
    </row>
    <row r="4" spans="2:18" ht="17" thickBot="1" x14ac:dyDescent="0.25">
      <c r="C4" s="29" t="s">
        <v>8</v>
      </c>
      <c r="D4" s="28" t="s">
        <v>7</v>
      </c>
      <c r="E4" s="30" t="s">
        <v>36</v>
      </c>
      <c r="F4" s="38" t="s">
        <v>39</v>
      </c>
      <c r="G4" s="38" t="s">
        <v>30</v>
      </c>
      <c r="H4" s="27" t="s">
        <v>31</v>
      </c>
      <c r="I4" s="30" t="s">
        <v>53</v>
      </c>
      <c r="J4" s="38" t="s">
        <v>54</v>
      </c>
      <c r="K4" s="38" t="s">
        <v>55</v>
      </c>
      <c r="L4" s="38" t="s">
        <v>56</v>
      </c>
      <c r="M4" s="60"/>
      <c r="N4" s="38" t="s">
        <v>8</v>
      </c>
      <c r="O4" s="27" t="s">
        <v>7</v>
      </c>
      <c r="P4" s="30" t="s">
        <v>37</v>
      </c>
      <c r="Q4" s="38" t="s">
        <v>62</v>
      </c>
      <c r="R4" s="27" t="s">
        <v>32</v>
      </c>
    </row>
    <row r="5" spans="2:18" x14ac:dyDescent="0.2">
      <c r="B5" s="48" t="str" cm="1">
        <f t="array" aca="1" ref="B5:B6" ca="1">INDIRECT("Rackets[ID*]")</f>
        <v>Head Graphene Radical 1</v>
      </c>
      <c r="C5" s="31">
        <f ca="1">_xlfn.XLOOKUP(B5,Strings[Racket],Strings[Installation Date],"Not Found",0,-1)</f>
        <v>44927</v>
      </c>
      <c r="D5" s="35">
        <f ca="1">SUMIFS(Data[Duration
(hours)],Data[Date],"&lt;="&amp;TODAY(),Data[Date],"&gt;="&amp;C5,Data[Racket],B5)</f>
        <v>12</v>
      </c>
      <c r="E5" s="29" t="str">
        <f ca="1">_xlfn.XLOOKUP(Dashboard!B5,Strings[Racket],Strings[Type],"Not Found",0,-1)</f>
        <v>Multi</v>
      </c>
      <c r="F5" s="25" t="str">
        <f ca="1">_xlfn.XLOOKUP(Dashboard!B5,Strings[Racket],Strings[Model],"Not Found",0,-1)</f>
        <v xml:space="preserve">Duramix </v>
      </c>
      <c r="G5" s="25" t="str" cm="1">
        <f t="array" aca="1" ref="G5" ca="1">_xlfn.XLOOKUP(Dashboard!B5,Strings[Racket],Strings[Main Tension]&amp;"/"&amp;Strings[Cross Tension],"Not Found",0,-1)</f>
        <v>25/25</v>
      </c>
      <c r="H5" s="28">
        <f ca="1">_xlfn.XLOOKUP(Dashboard!B5,Strings[Racket],Strings[Gauge],"Not Found",0,-1)</f>
        <v>130</v>
      </c>
      <c r="I5" s="29">
        <f ca="1">_xlfn.XLOOKUP(F5,Strings[Model],Strings[TW - Stiffness (lb/in)],"Not Found",0,-1)</f>
        <v>0</v>
      </c>
      <c r="J5" s="25">
        <f ca="1">_xlfn.XLOOKUP(F5,Strings[Model],Strings[TW - Tension Loss (%)],"Not Found",0,-1)</f>
        <v>0</v>
      </c>
      <c r="K5" s="25">
        <f ca="1">_xlfn.XLOOKUP(F5,Strings[Model],Strings[TW - Energy Return (%)],"Not Found",0,-1)</f>
        <v>0</v>
      </c>
      <c r="L5" s="25">
        <f ca="1">_xlfn.XLOOKUP(F5,Strings[Model],Strings[TW - Spin Potential],"Not Found",0,-1)</f>
        <v>0</v>
      </c>
      <c r="M5" s="60"/>
      <c r="N5" s="12">
        <f ca="1">_xlfn.XLOOKUP(B5,Grips[Racket],Grips[Installation Date],"Not Found",0,-1)</f>
        <v>44927</v>
      </c>
      <c r="O5" s="58">
        <f ca="1">SUMIFS(Data[Duration
(hours)],Data[Date],"&lt;="&amp;TODAY(),Data[Date],"&gt;="&amp;N5,Data[Racket],B5)</f>
        <v>12</v>
      </c>
      <c r="P5" s="62" t="str">
        <f ca="1">_xlfn.XLOOKUP(Dashboard!B5,Grips[Racket],Grips[Brand],"Not Found",0,-1)</f>
        <v>Artengo</v>
      </c>
      <c r="Q5" s="63" t="str">
        <f ca="1">_xlfn.XLOOKUP(Dashboard!B5,Grips[Racket],Grips[Model],"Not Found",0,-1)</f>
        <v>Tacky</v>
      </c>
      <c r="R5" s="66" t="str">
        <f ca="1">_xlfn.XLOOKUP(Dashboard!B5,Grips[Racket],Grips[Color],"Not Found",0,-1)</f>
        <v>White</v>
      </c>
    </row>
    <row r="6" spans="2:18" ht="17" thickBot="1" x14ac:dyDescent="0.25">
      <c r="B6" s="49" t="str">
        <f ca="1"/>
        <v>Babolat Pure Strike VS 2</v>
      </c>
      <c r="C6" s="32">
        <f ca="1">_xlfn.XLOOKUP(B6,Strings[Racket],Strings[Installation Date],"Not Found",0,-1)</f>
        <v>44927</v>
      </c>
      <c r="D6" s="36">
        <f ca="1">SUMIFS(Data[Duration
(hours)],Data[Date],"&lt;="&amp;TODAY(),Data[Date],"&gt;="&amp;C6,Data[Racket],B6)</f>
        <v>9</v>
      </c>
      <c r="E6" s="37" t="str">
        <f ca="1">_xlfn.XLOOKUP(Dashboard!B6,Strings[Racket],Strings[Type],"Not Found",0,-1)</f>
        <v>Multi</v>
      </c>
      <c r="F6" s="26" t="str">
        <f ca="1">_xlfn.XLOOKUP(Dashboard!B6,Strings[Racket],Strings[Model],"Not Found",0,-1)</f>
        <v>Triax</v>
      </c>
      <c r="G6" s="26" t="str" cm="1">
        <f t="array" aca="1" ref="G6" ca="1">_xlfn.XLOOKUP(Dashboard!B6,Strings[Racket],Strings[Main Tension]&amp;"/"&amp;Strings[Cross Tension],"Not Found",0,-1)</f>
        <v>24/24</v>
      </c>
      <c r="H6" s="46">
        <f ca="1">_xlfn.XLOOKUP(Dashboard!B6,Strings[Racket],Strings[Gauge],"Not Found",0,-1)</f>
        <v>133</v>
      </c>
      <c r="I6" s="37">
        <f ca="1">_xlfn.XLOOKUP(F6,Strings[Model],Strings[TW - Stiffness (lb/in)],"Not Found",0,-1)</f>
        <v>0</v>
      </c>
      <c r="J6" s="26">
        <f ca="1">_xlfn.XLOOKUP(F6,Strings[Model],Strings[TW - Tension Loss (%)],"Not Found",0,-1)</f>
        <v>0</v>
      </c>
      <c r="K6" s="26">
        <f ca="1">_xlfn.XLOOKUP(F6,Strings[Model],Strings[TW - Energy Return (%)],"Not Found",0,-1)</f>
        <v>0</v>
      </c>
      <c r="L6" s="26">
        <f ca="1">_xlfn.XLOOKUP(F6,Strings[Model],Strings[TW - Spin Potential],"Not Found",0,-1)</f>
        <v>0</v>
      </c>
      <c r="M6" s="61"/>
      <c r="N6" s="57">
        <f ca="1">_xlfn.XLOOKUP(B6,Grips[Racket],Grips[Installation Date],"Not Found",0,-1)</f>
        <v>44927</v>
      </c>
      <c r="O6" s="36">
        <f ca="1">SUMIFS(Data[Duration
(hours)],Data[Date],"&lt;="&amp;TODAY(),Data[Date],"&gt;="&amp;N6,Data[Racket],B6)</f>
        <v>9</v>
      </c>
      <c r="P6" s="64" t="str">
        <f ca="1">_xlfn.XLOOKUP(Dashboard!B6,Grips[Racket],Grips[Brand],"Not Found",0,-1)</f>
        <v>Artengo</v>
      </c>
      <c r="Q6" s="65" t="str">
        <f ca="1">_xlfn.XLOOKUP(Dashboard!B6,Grips[Racket],Grips[Model],"Not Found",0,-1)</f>
        <v>Tacky</v>
      </c>
      <c r="R6" s="56" t="str">
        <f ca="1">_xlfn.XLOOKUP(Dashboard!B6,Grips[Racket],Grips[Color],"Not Found",0,-1)</f>
        <v>White</v>
      </c>
    </row>
    <row r="7" spans="2:18" ht="17" thickBot="1" x14ac:dyDescent="0.25">
      <c r="B7" s="47" t="s">
        <v>48</v>
      </c>
      <c r="C7" s="44">
        <f>_xlfn.XLOOKUP(Events!A3,Data[Event],Data[Date],"Not Found",0,-1)</f>
        <v>44932</v>
      </c>
      <c r="D7" s="45">
        <f>SUMIFS(Data[Duration
(hours)],Data[Date],"&gt;="&amp;C7,Data[Count for ball usage
(Y/N)],"="&amp;"Y")</f>
        <v>9</v>
      </c>
      <c r="E7" s="82" cm="1">
        <f t="array" ref="E7">_xlfn.XLOOKUP(C7&amp;Events!A3,Data[Date]&amp;Data[Event],Data[Details],"Not Found",0,-1)</f>
        <v>0</v>
      </c>
      <c r="F7" s="83"/>
      <c r="G7" s="83"/>
      <c r="H7" s="84"/>
    </row>
    <row r="8" spans="2:18" x14ac:dyDescent="0.2">
      <c r="B8" s="39"/>
    </row>
    <row r="9" spans="2:18" x14ac:dyDescent="0.2">
      <c r="B9" s="41"/>
    </row>
  </sheetData>
  <sheetProtection algorithmName="SHA-512" hashValue="06Bfp7rFivdFqyreI6mE8JefgX0qRXnPJzcpRXk6xLQgx3SkrCBsvTZnBwtici08r7s04PlHXvbgueBF08sXsw==" saltValue="cQy/LQXRXRn5cIiP4usdBw==" spinCount="100000" sheet="1" objects="1" scenarios="1" selectLockedCells="1" selectUnlockedCells="1"/>
  <mergeCells count="6">
    <mergeCell ref="P3:R3"/>
    <mergeCell ref="E3:H3"/>
    <mergeCell ref="C3:D3"/>
    <mergeCell ref="E7:H7"/>
    <mergeCell ref="I3:L3"/>
    <mergeCell ref="N3:O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D6E74AB5-761B-EE49-A957-0B496A68E2FA}">
            <xm:f>(TODAY()-$C$5)&gt;=Settings!$C$2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0" id="{287D18D0-5683-4D4C-865A-A5D340BDABCD}">
            <xm:f>(TODAY()-$C$5)&gt;=Settings!$C$3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17" id="{615AE323-E445-9245-9263-EB77E1313581}">
            <xm:f>(TODAY()-$C$6)&gt;=Settings!$C$2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8" id="{5A53EB5C-8919-554B-BC6B-53212D3BF012}">
            <xm:f>(TODAY()-$C$6)&gt;=Settings!$C$3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3" id="{117D2421-6AD2-7F40-852C-FEEC712DC05F}">
            <xm:f>$D$7&gt;=Settings!$C$6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4" id="{4C32955B-15BE-274F-A7FC-AA029CFDAC17}">
            <xm:f>$D$7&gt;=Settings!$C$7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expression" priority="11" id="{AEF1F552-3BD3-5C4B-BEA9-7ED0589979AE}">
            <xm:f>$D$5&gt;=Settings!$C$4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2" id="{8A5ACD16-9CE6-1841-A421-829BC7A8330B}">
            <xm:f>$D$5&gt;=Settings!$C$5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9" id="{76D6C97B-A28C-C34F-8CC5-4C63474AA86C}">
            <xm:f>$D$6&gt;=Settings!$C$4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0" id="{2E392F2B-8497-B447-A5E8-1262FEA25B6D}">
            <xm:f>$D$6&gt;=Settings!$C$5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7" id="{E4C3E21B-DD04-BE44-85BF-1340898485FD}">
            <xm:f>(TODAY()-$N$5)&gt;=Settings!$C$8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8" id="{CD830DCA-7BD3-134A-9844-5A3625CE27D5}">
            <xm:f>(TODAY()-$N$5)&gt;=0.8*Settings!$C$8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N5</xm:sqref>
        </x14:conditionalFormatting>
        <x14:conditionalFormatting xmlns:xm="http://schemas.microsoft.com/office/excel/2006/main">
          <x14:cfRule type="expression" priority="5" id="{32BEC30A-B815-7945-B83A-1CE079F561EF}">
            <xm:f>(TODAY()-$N$6)&gt;=Settings!$C$8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6" id="{351C2079-5B24-9349-97F3-4C6E2FA8C022}">
            <xm:f>(TODAY()-$N$6)&gt;=0.8*Settings!$C$8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expression" priority="3" id="{6584F86E-A5D1-6844-9D7D-C6FDE6D97BB2}">
            <xm:f>$O$5&gt;=Settings!$C$9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4" id="{D6BA9EB2-F884-A943-8FB9-E9A3BC5B7F74}">
            <xm:f>$O$5&gt;=0.8*Settings!$C$9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expression" priority="1" id="{221D5919-8559-9346-9FFB-4F7BA9E3AEC8}">
            <xm:f>$O$6&gt;=Settings!$C$9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" id="{81BA67AA-9B38-4145-BAD2-D41C365B0717}">
            <xm:f>$O$6&gt;=0.8*Settings!$C$9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O6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2C4B-15EE-A64A-9A09-AE664922298B}">
  <dimension ref="B1:L9"/>
  <sheetViews>
    <sheetView zoomScale="125" zoomScaleNormal="125" workbookViewId="0">
      <selection activeCell="D11" sqref="D11"/>
    </sheetView>
  </sheetViews>
  <sheetFormatPr baseColWidth="10" defaultRowHeight="16" x14ac:dyDescent="0.2"/>
  <cols>
    <col min="1" max="1" width="4.5" customWidth="1"/>
    <col min="2" max="2" width="23.33203125" style="24" bestFit="1" customWidth="1"/>
    <col min="3" max="3" width="16.6640625" style="24" customWidth="1"/>
    <col min="4" max="4" width="20.1640625" style="11" bestFit="1" customWidth="1"/>
    <col min="5" max="6" width="7.5" style="11" bestFit="1" customWidth="1"/>
    <col min="7" max="8" width="20.1640625" style="11" customWidth="1"/>
    <col min="9" max="9" width="3.33203125" style="24" customWidth="1"/>
    <col min="10" max="10" width="14.33203125" style="24" customWidth="1"/>
    <col min="11" max="11" width="17.5" customWidth="1"/>
  </cols>
  <sheetData>
    <row r="1" spans="2:12" x14ac:dyDescent="0.2">
      <c r="B1" s="33" t="s">
        <v>22</v>
      </c>
      <c r="C1" s="34" t="str">
        <f>MAX('Change Logs'!A:A) &amp; " alpha release"</f>
        <v>3 alpha release</v>
      </c>
    </row>
    <row r="2" spans="2:12" ht="17" thickBot="1" x14ac:dyDescent="0.25"/>
    <row r="3" spans="2:12" ht="17" thickBot="1" x14ac:dyDescent="0.25">
      <c r="C3" s="79" t="s">
        <v>49</v>
      </c>
      <c r="D3" s="80"/>
      <c r="E3" s="80"/>
      <c r="F3" s="81"/>
      <c r="G3" s="79" t="s">
        <v>50</v>
      </c>
      <c r="H3" s="81"/>
    </row>
    <row r="4" spans="2:12" ht="17" thickBot="1" x14ac:dyDescent="0.25">
      <c r="C4" s="30" t="s">
        <v>36</v>
      </c>
      <c r="D4" s="38" t="s">
        <v>39</v>
      </c>
      <c r="E4" s="38" t="s">
        <v>30</v>
      </c>
      <c r="F4" s="27" t="s">
        <v>31</v>
      </c>
      <c r="G4" s="29" t="s">
        <v>8</v>
      </c>
      <c r="H4" s="28" t="s">
        <v>7</v>
      </c>
      <c r="J4" s="39"/>
      <c r="K4" s="40"/>
      <c r="L4" s="40"/>
    </row>
    <row r="5" spans="2:12" x14ac:dyDescent="0.2">
      <c r="B5" s="48" t="str" cm="1">
        <f t="array" aca="1" ref="B5:B6" ca="1">INDIRECT("Rackets[ID*]")</f>
        <v>Head Graphene Radical 1</v>
      </c>
      <c r="C5" s="29" t="str">
        <f ca="1">_xlfn.XLOOKUP('Dashboard - B'!B5,Strings[Racket],Strings[Type],"Not Found",0,-1)</f>
        <v>Multi</v>
      </c>
      <c r="D5" s="25" t="str">
        <f ca="1">_xlfn.XLOOKUP('Dashboard - B'!B5,Strings[Racket],Strings[Model],"Not Found",0,-1)</f>
        <v xml:space="preserve">Duramix </v>
      </c>
      <c r="E5" s="25" t="str" cm="1">
        <f t="array" aca="1" ref="E5" ca="1">_xlfn.XLOOKUP('Dashboard - B'!B5,Strings[Racket],Strings[Main Tension]&amp;"/"&amp;Strings[Cross Tension],"Not Found",0,-1)</f>
        <v>25/25</v>
      </c>
      <c r="F5" s="25">
        <f ca="1">_xlfn.XLOOKUP('Dashboard - B'!B5,Strings[Racket],Strings[Gauge],"Not Found",0,-1)</f>
        <v>130</v>
      </c>
      <c r="G5" s="31">
        <f ca="1">_xlfn.XLOOKUP(B5,Strings[Racket],Strings[Installation Date],"Not Found",0,-1)</f>
        <v>44927</v>
      </c>
      <c r="H5" s="35">
        <f ca="1">SUMIFS(Data[Duration
(hours)],Data[Date],"&lt;="&amp;TODAY(),Data[Date],"&gt;="&amp;G5,Data[Racket],B5)</f>
        <v>12</v>
      </c>
      <c r="J5" s="41"/>
    </row>
    <row r="6" spans="2:12" ht="17" thickBot="1" x14ac:dyDescent="0.25">
      <c r="B6" s="49" t="str">
        <f ca="1"/>
        <v>Babolat Pure Strike VS 2</v>
      </c>
      <c r="C6" s="37" t="str">
        <f ca="1">_xlfn.XLOOKUP('Dashboard - B'!B6,Strings[Racket],Strings[Type],"Not Found",0,-1)</f>
        <v>Multi</v>
      </c>
      <c r="D6" s="26" t="str">
        <f ca="1">_xlfn.XLOOKUP('Dashboard - B'!B6,Strings[Racket],Strings[Model],"Not Found",0,-1)</f>
        <v>Triax</v>
      </c>
      <c r="E6" s="26" t="str" cm="1">
        <f t="array" aca="1" ref="E6" ca="1">_xlfn.XLOOKUP('Dashboard - B'!B6,Strings[Racket],Strings[Main Tension]&amp;"/"&amp;Strings[Cross Tension],"Not Found",0,-1)</f>
        <v>24/24</v>
      </c>
      <c r="F6" s="26">
        <f ca="1">_xlfn.XLOOKUP('Dashboard - B'!B6,Strings[Racket],Strings[Gauge],"Not Found",0,-1)</f>
        <v>133</v>
      </c>
      <c r="G6" s="32">
        <f ca="1">_xlfn.XLOOKUP(B6,Strings[Racket],Strings[Installation Date],"Not Found",0,-1)</f>
        <v>44927</v>
      </c>
      <c r="H6" s="36">
        <f ca="1">SUMIFS(Data[Duration
(hours)],Data[Date],"&lt;="&amp;TODAY(),Data[Date],"&gt;="&amp;G6,Data[Racket],B6)</f>
        <v>9</v>
      </c>
    </row>
    <row r="7" spans="2:12" ht="17" thickBot="1" x14ac:dyDescent="0.25">
      <c r="B7" s="50" t="s">
        <v>45</v>
      </c>
      <c r="C7" s="83" cm="1">
        <f t="array" ref="C7">_xlfn.XLOOKUP(G7&amp;Events!A3,Data[Date]&amp;Data[Event],Data[Details],"Not Found",0,-1)</f>
        <v>0</v>
      </c>
      <c r="D7" s="83"/>
      <c r="E7" s="83"/>
      <c r="F7" s="84"/>
      <c r="G7" s="44">
        <f>_xlfn.XLOOKUP(Events!A3,Data[Event],Data[Date],"Not Found",0,-1)</f>
        <v>44932</v>
      </c>
      <c r="H7" s="45">
        <f>SUMIFS(Data[Duration
(hours)],Data[Date],"&gt;="&amp;G7,Data[Count for ball usage
(Y/N)],"="&amp;"Y")</f>
        <v>9</v>
      </c>
    </row>
    <row r="8" spans="2:12" x14ac:dyDescent="0.2">
      <c r="B8" s="39"/>
      <c r="C8" s="40"/>
      <c r="D8" s="40"/>
    </row>
    <row r="9" spans="2:12" x14ac:dyDescent="0.2">
      <c r="B9" s="41"/>
      <c r="C9" s="42"/>
      <c r="D9" s="43"/>
    </row>
  </sheetData>
  <mergeCells count="3">
    <mergeCell ref="C3:F3"/>
    <mergeCell ref="C7:F7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E20E-C674-2C40-B984-25B7036B3441}">
  <sheetPr>
    <tabColor rgb="FFFFC000"/>
  </sheetPr>
  <dimension ref="A1:F36"/>
  <sheetViews>
    <sheetView zoomScale="125" zoomScaleNormal="125" workbookViewId="0">
      <selection activeCell="A16" sqref="A16"/>
    </sheetView>
  </sheetViews>
  <sheetFormatPr baseColWidth="10" defaultRowHeight="16" x14ac:dyDescent="0.2"/>
  <cols>
    <col min="1" max="1" width="16.83203125" style="76" bestFit="1" customWidth="1"/>
    <col min="2" max="2" width="9.5" style="76" bestFit="1" customWidth="1"/>
    <col min="3" max="3" width="23.33203125" style="76" bestFit="1" customWidth="1"/>
    <col min="4" max="4" width="14.6640625" style="76" bestFit="1" customWidth="1"/>
    <col min="5" max="5" width="19.83203125" style="76" bestFit="1" customWidth="1"/>
    <col min="6" max="6" width="18.6640625" style="76" customWidth="1"/>
  </cols>
  <sheetData>
    <row r="1" spans="1:6" s="6" customFormat="1" ht="33" customHeight="1" x14ac:dyDescent="0.2">
      <c r="A1" s="75" t="s">
        <v>2</v>
      </c>
      <c r="B1" s="75" t="s">
        <v>0</v>
      </c>
      <c r="C1" s="75" t="s">
        <v>1</v>
      </c>
      <c r="D1" s="75" t="s">
        <v>24</v>
      </c>
      <c r="E1" s="75" t="s">
        <v>3</v>
      </c>
      <c r="F1" s="75" t="s">
        <v>25</v>
      </c>
    </row>
    <row r="2" spans="1:6" x14ac:dyDescent="0.2">
      <c r="A2" s="9">
        <v>44866</v>
      </c>
      <c r="B2" s="1" t="s">
        <v>19</v>
      </c>
      <c r="C2" s="11"/>
      <c r="D2" s="11"/>
      <c r="E2" s="11" t="s">
        <v>68</v>
      </c>
      <c r="F2" s="11"/>
    </row>
    <row r="3" spans="1:6" x14ac:dyDescent="0.2">
      <c r="A3" s="9">
        <v>44896</v>
      </c>
      <c r="B3" s="1" t="s">
        <v>4</v>
      </c>
      <c r="C3" s="11" t="s">
        <v>69</v>
      </c>
      <c r="D3" s="11">
        <v>10</v>
      </c>
      <c r="E3" s="11"/>
      <c r="F3" s="11" t="s">
        <v>70</v>
      </c>
    </row>
    <row r="4" spans="1:6" x14ac:dyDescent="0.2">
      <c r="A4" s="9">
        <v>44897</v>
      </c>
      <c r="B4" s="1" t="s">
        <v>4</v>
      </c>
      <c r="C4" s="11" t="s">
        <v>71</v>
      </c>
      <c r="D4" s="11">
        <v>12</v>
      </c>
      <c r="E4" s="11"/>
      <c r="F4" s="11" t="s">
        <v>70</v>
      </c>
    </row>
    <row r="5" spans="1:6" x14ac:dyDescent="0.2">
      <c r="A5" s="9">
        <v>44927</v>
      </c>
      <c r="B5" s="1" t="s">
        <v>19</v>
      </c>
      <c r="C5" s="11"/>
      <c r="D5" s="11"/>
      <c r="E5" s="11" t="s">
        <v>68</v>
      </c>
      <c r="F5" s="11"/>
    </row>
    <row r="6" spans="1:6" x14ac:dyDescent="0.2">
      <c r="A6" s="9">
        <v>44928</v>
      </c>
      <c r="B6" s="1" t="s">
        <v>4</v>
      </c>
      <c r="C6" s="11" t="s">
        <v>69</v>
      </c>
      <c r="D6" s="1">
        <v>4</v>
      </c>
      <c r="E6" s="11"/>
      <c r="F6" s="11" t="s">
        <v>70</v>
      </c>
    </row>
    <row r="7" spans="1:6" x14ac:dyDescent="0.2">
      <c r="A7" s="9">
        <v>44930</v>
      </c>
      <c r="B7" s="1" t="s">
        <v>4</v>
      </c>
      <c r="C7" s="11" t="s">
        <v>71</v>
      </c>
      <c r="D7" s="1">
        <v>3</v>
      </c>
      <c r="E7" s="11"/>
      <c r="F7" s="11" t="s">
        <v>70</v>
      </c>
    </row>
    <row r="8" spans="1:6" x14ac:dyDescent="0.2">
      <c r="A8" s="9">
        <v>44931</v>
      </c>
      <c r="B8" s="1" t="s">
        <v>4</v>
      </c>
      <c r="C8" s="11" t="s">
        <v>69</v>
      </c>
      <c r="D8" s="1">
        <v>2</v>
      </c>
      <c r="E8" s="11"/>
      <c r="F8" s="11" t="s">
        <v>72</v>
      </c>
    </row>
    <row r="9" spans="1:6" x14ac:dyDescent="0.2">
      <c r="A9" s="9">
        <v>44931</v>
      </c>
      <c r="B9" s="1" t="s">
        <v>4</v>
      </c>
      <c r="C9" s="11" t="s">
        <v>71</v>
      </c>
      <c r="D9" s="1">
        <v>2</v>
      </c>
      <c r="E9" s="11"/>
      <c r="F9" s="11" t="s">
        <v>70</v>
      </c>
    </row>
    <row r="10" spans="1:6" x14ac:dyDescent="0.2">
      <c r="A10" s="9">
        <v>44932</v>
      </c>
      <c r="B10" s="1" t="s">
        <v>19</v>
      </c>
      <c r="C10" s="11"/>
      <c r="D10" s="1"/>
      <c r="E10" s="11"/>
      <c r="F10" s="11"/>
    </row>
    <row r="11" spans="1:6" x14ac:dyDescent="0.2">
      <c r="A11" s="9">
        <v>44932</v>
      </c>
      <c r="B11" s="1" t="s">
        <v>4</v>
      </c>
      <c r="C11" s="11" t="s">
        <v>69</v>
      </c>
      <c r="D11" s="1">
        <v>3</v>
      </c>
      <c r="E11" s="11"/>
      <c r="F11" s="11" t="s">
        <v>70</v>
      </c>
    </row>
    <row r="12" spans="1:6" x14ac:dyDescent="0.2">
      <c r="A12" s="9">
        <v>44934</v>
      </c>
      <c r="B12" s="1" t="s">
        <v>4</v>
      </c>
      <c r="C12" s="11" t="s">
        <v>71</v>
      </c>
      <c r="D12" s="1">
        <v>2</v>
      </c>
      <c r="E12" s="11"/>
      <c r="F12" s="11" t="s">
        <v>70</v>
      </c>
    </row>
    <row r="13" spans="1:6" x14ac:dyDescent="0.2">
      <c r="A13" s="9">
        <v>44934</v>
      </c>
      <c r="B13" s="1" t="s">
        <v>4</v>
      </c>
      <c r="C13" s="11" t="s">
        <v>69</v>
      </c>
      <c r="D13" s="1">
        <v>2</v>
      </c>
      <c r="E13" s="11"/>
      <c r="F13" s="11" t="s">
        <v>70</v>
      </c>
    </row>
    <row r="14" spans="1:6" x14ac:dyDescent="0.2">
      <c r="A14" s="9">
        <v>44936</v>
      </c>
      <c r="B14" s="1" t="s">
        <v>4</v>
      </c>
      <c r="C14" s="11" t="s">
        <v>71</v>
      </c>
      <c r="D14" s="1">
        <v>2</v>
      </c>
      <c r="E14" s="11"/>
      <c r="F14" s="11" t="s">
        <v>70</v>
      </c>
    </row>
    <row r="15" spans="1:6" x14ac:dyDescent="0.2">
      <c r="A15" s="9">
        <v>44936</v>
      </c>
      <c r="B15" s="1" t="s">
        <v>4</v>
      </c>
      <c r="C15" s="11" t="s">
        <v>69</v>
      </c>
      <c r="D15" s="1">
        <v>1</v>
      </c>
      <c r="E15" s="11"/>
      <c r="F15" s="11" t="s">
        <v>72</v>
      </c>
    </row>
    <row r="16" spans="1:6" x14ac:dyDescent="0.2">
      <c r="A16" s="78"/>
    </row>
    <row r="17" spans="1:1" x14ac:dyDescent="0.2">
      <c r="A17" s="78"/>
    </row>
    <row r="18" spans="1:1" x14ac:dyDescent="0.2">
      <c r="A18" s="78"/>
    </row>
    <row r="19" spans="1:1" x14ac:dyDescent="0.2">
      <c r="A19" s="78"/>
    </row>
    <row r="20" spans="1:1" x14ac:dyDescent="0.2">
      <c r="A20" s="78"/>
    </row>
    <row r="21" spans="1:1" x14ac:dyDescent="0.2">
      <c r="A21" s="78"/>
    </row>
    <row r="22" spans="1:1" x14ac:dyDescent="0.2">
      <c r="A22" s="78"/>
    </row>
    <row r="23" spans="1:1" x14ac:dyDescent="0.2">
      <c r="A23" s="78"/>
    </row>
    <row r="24" spans="1:1" x14ac:dyDescent="0.2">
      <c r="A24" s="78"/>
    </row>
    <row r="25" spans="1:1" x14ac:dyDescent="0.2">
      <c r="A25" s="78"/>
    </row>
    <row r="26" spans="1:1" x14ac:dyDescent="0.2">
      <c r="A26" s="78"/>
    </row>
    <row r="27" spans="1:1" x14ac:dyDescent="0.2">
      <c r="A27" s="78"/>
    </row>
    <row r="28" spans="1:1" x14ac:dyDescent="0.2">
      <c r="A28" s="78"/>
    </row>
    <row r="29" spans="1:1" x14ac:dyDescent="0.2">
      <c r="A29" s="78"/>
    </row>
    <row r="30" spans="1:1" x14ac:dyDescent="0.2">
      <c r="A30" s="78"/>
    </row>
    <row r="31" spans="1:1" x14ac:dyDescent="0.2">
      <c r="A31" s="78"/>
    </row>
    <row r="32" spans="1:1" x14ac:dyDescent="0.2">
      <c r="A32" s="78"/>
    </row>
    <row r="33" spans="1:1" x14ac:dyDescent="0.2">
      <c r="A33" s="78"/>
    </row>
    <row r="34" spans="1:1" x14ac:dyDescent="0.2">
      <c r="A34" s="78"/>
    </row>
    <row r="35" spans="1:1" x14ac:dyDescent="0.2">
      <c r="A35" s="78"/>
    </row>
    <row r="36" spans="1:1" x14ac:dyDescent="0.2">
      <c r="A36" s="78"/>
    </row>
  </sheetData>
  <sheetProtection formatColumns="0" formatRows="0" selectLockedCells="1"/>
  <dataValidations count="1">
    <dataValidation type="list" allowBlank="1" showInputMessage="1" showErrorMessage="1" sqref="C2:C15" xr:uid="{419A86CC-6FE5-5F43-A972-B30E1CDAB893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AC41-23BF-514F-A19A-602B010A9277}">
  <sheetPr>
    <tabColor theme="0"/>
  </sheetPr>
  <dimension ref="A1:H3"/>
  <sheetViews>
    <sheetView zoomScale="125" zoomScaleNormal="125" workbookViewId="0">
      <selection activeCell="A4" sqref="A4"/>
    </sheetView>
  </sheetViews>
  <sheetFormatPr baseColWidth="10" defaultRowHeight="16" x14ac:dyDescent="0.2"/>
  <cols>
    <col min="1" max="1" width="11" style="73" bestFit="1" customWidth="1"/>
    <col min="2" max="2" width="14.6640625" style="73" bestFit="1" customWidth="1"/>
    <col min="3" max="3" width="23.33203125" style="87" bestFit="1" customWidth="1"/>
    <col min="4" max="4" width="12.1640625" style="73" bestFit="1" customWidth="1"/>
    <col min="5" max="5" width="10.33203125" style="73" bestFit="1" customWidth="1"/>
    <col min="6" max="6" width="16.83203125" style="73" bestFit="1" customWidth="1"/>
    <col min="7" max="7" width="16.83203125" style="1" customWidth="1"/>
    <col min="8" max="8" width="14.1640625" style="73" bestFit="1" customWidth="1"/>
  </cols>
  <sheetData>
    <row r="1" spans="1:8" x14ac:dyDescent="0.2">
      <c r="A1" s="73" t="s">
        <v>37</v>
      </c>
      <c r="B1" s="73" t="s">
        <v>39</v>
      </c>
      <c r="C1" s="87" t="s">
        <v>42</v>
      </c>
      <c r="D1" s="73" t="s">
        <v>33</v>
      </c>
      <c r="E1" s="73" t="s">
        <v>32</v>
      </c>
      <c r="F1" s="73" t="s">
        <v>2</v>
      </c>
      <c r="G1" s="1" t="s">
        <v>47</v>
      </c>
      <c r="H1" s="73" t="s">
        <v>29</v>
      </c>
    </row>
    <row r="2" spans="1:8" x14ac:dyDescent="0.2">
      <c r="A2" s="1" t="s">
        <v>73</v>
      </c>
      <c r="B2" s="1" t="s">
        <v>74</v>
      </c>
      <c r="C2" s="87" t="str">
        <f>Rackets[[#This Row],[Brand]]&amp;" "&amp;Rackets[[#This Row],[Model]]&amp;" "&amp;ROW()-1</f>
        <v>Head Graphene Radical 1</v>
      </c>
      <c r="D2" s="1">
        <v>280</v>
      </c>
      <c r="E2" s="1" t="s">
        <v>77</v>
      </c>
      <c r="F2" s="9">
        <v>44866</v>
      </c>
      <c r="G2" s="55">
        <f>SUMIFS(Data[Duration
(hours)],Data[Racket],Rackets[[#This Row],[ID*]])</f>
        <v>22</v>
      </c>
    </row>
    <row r="3" spans="1:8" x14ac:dyDescent="0.2">
      <c r="A3" s="1" t="s">
        <v>75</v>
      </c>
      <c r="B3" s="1" t="s">
        <v>76</v>
      </c>
      <c r="C3" s="87" t="str">
        <f>Rackets[[#This Row],[Brand]]&amp;" "&amp;Rackets[[#This Row],[Model]]&amp;" "&amp;ROW()-1</f>
        <v>Babolat Pure Strike VS 2</v>
      </c>
      <c r="D3" s="1">
        <v>310</v>
      </c>
      <c r="E3" s="1" t="s">
        <v>78</v>
      </c>
      <c r="F3" s="9">
        <v>44866</v>
      </c>
      <c r="G3" s="55">
        <f>SUMIFS(Data[Duration
(hours)],Data[Racket],Rackets[[#This Row],[ID*]])</f>
        <v>21</v>
      </c>
    </row>
  </sheetData>
  <sheetProtection selectLockedCells="1"/>
  <dataConsolidate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F01-1418-0B4C-80C8-2BFC31B818DF}">
  <sheetPr>
    <tabColor rgb="FF009193"/>
  </sheetPr>
  <dimension ref="A1:S8"/>
  <sheetViews>
    <sheetView zoomScale="125" zoomScaleNormal="125" workbookViewId="0">
      <selection activeCell="A6" sqref="A6"/>
    </sheetView>
  </sheetViews>
  <sheetFormatPr baseColWidth="10" defaultRowHeight="16" x14ac:dyDescent="0.2"/>
  <cols>
    <col min="1" max="1" width="11" style="77" customWidth="1"/>
    <col min="2" max="2" width="34.5" style="77" bestFit="1" customWidth="1"/>
    <col min="3" max="3" width="7.33203125" style="77" customWidth="1"/>
    <col min="4" max="4" width="19.83203125" style="77" bestFit="1" customWidth="1"/>
    <col min="5" max="5" width="23.33203125" style="77" bestFit="1" customWidth="1"/>
    <col min="6" max="6" width="18" bestFit="1" customWidth="1"/>
    <col min="7" max="7" width="8.5" style="77" customWidth="1"/>
    <col min="8" max="8" width="8" style="77" customWidth="1"/>
    <col min="9" max="9" width="9" style="77" bestFit="1" customWidth="1"/>
    <col min="10" max="10" width="10.1640625" style="77" customWidth="1"/>
    <col min="11" max="11" width="48.83203125" bestFit="1" customWidth="1"/>
    <col min="12" max="12" width="25.1640625" style="77" customWidth="1"/>
    <col min="13" max="13" width="11.33203125" customWidth="1"/>
    <col min="15" max="19" width="16.83203125" style="77" customWidth="1"/>
  </cols>
  <sheetData>
    <row r="1" spans="1:19" s="6" customFormat="1" ht="30" customHeight="1" x14ac:dyDescent="0.2">
      <c r="A1" s="75" t="s">
        <v>37</v>
      </c>
      <c r="B1" s="75" t="s">
        <v>39</v>
      </c>
      <c r="C1" s="75" t="s">
        <v>36</v>
      </c>
      <c r="D1" s="75" t="s">
        <v>40</v>
      </c>
      <c r="E1" s="75" t="s">
        <v>1</v>
      </c>
      <c r="F1" s="10" t="s">
        <v>41</v>
      </c>
      <c r="G1" s="75" t="s">
        <v>34</v>
      </c>
      <c r="H1" s="75" t="s">
        <v>35</v>
      </c>
      <c r="I1" s="75" t="s">
        <v>31</v>
      </c>
      <c r="J1" s="75" t="s">
        <v>32</v>
      </c>
      <c r="K1" s="10" t="s">
        <v>42</v>
      </c>
      <c r="L1" s="75" t="s">
        <v>38</v>
      </c>
      <c r="M1" s="10" t="s">
        <v>46</v>
      </c>
      <c r="N1" s="10" t="s">
        <v>47</v>
      </c>
      <c r="O1" s="75" t="s">
        <v>52</v>
      </c>
      <c r="P1" s="75" t="s">
        <v>53</v>
      </c>
      <c r="Q1" s="75" t="s">
        <v>54</v>
      </c>
      <c r="R1" s="75" t="s">
        <v>55</v>
      </c>
      <c r="S1" s="75" t="s">
        <v>56</v>
      </c>
    </row>
    <row r="2" spans="1:19" x14ac:dyDescent="0.2">
      <c r="A2" s="11" t="s">
        <v>79</v>
      </c>
      <c r="B2" s="11" t="s">
        <v>80</v>
      </c>
      <c r="C2" s="11" t="s">
        <v>81</v>
      </c>
      <c r="D2" s="12">
        <v>44866</v>
      </c>
      <c r="E2" s="11" t="s">
        <v>69</v>
      </c>
      <c r="F2" s="12" cm="1">
        <f t="array" aca="1" ref="F2" ca="1">_xlfn.XLOOKUP(1,(Strings[Racket]=Strings[[#This Row],[Racket]])*(Strings[Installation Date]&gt;Strings[[#This Row],[Installation Date]]),Strings[Installation Date],TODAY(),0,1)</f>
        <v>44927</v>
      </c>
      <c r="G2" s="11">
        <v>23</v>
      </c>
      <c r="H2" s="11">
        <v>21</v>
      </c>
      <c r="I2" s="11">
        <v>120</v>
      </c>
      <c r="J2" s="11" t="s">
        <v>86</v>
      </c>
      <c r="K2" s="11" t="str">
        <f>Strings[[#This Row],[Brand]]&amp;" "&amp;Strings[[#This Row],[Model]]&amp;" "&amp;Strings[[#This Row],[Main Tension]]&amp;"/"&amp;Strings[[#This Row],[Cross Tension]]&amp;"-"&amp;Strings[[#This Row],[Gauge]]&amp;"-"&amp;ROW()-1</f>
        <v>Tecnifibre Ice Code 23/21-120-1</v>
      </c>
      <c r="L2" s="76"/>
      <c r="M2" s="11">
        <f ca="1">Strings[[#This Row],[Removal Date*]]-Strings[[#This Row],[Installation Date]]</f>
        <v>61</v>
      </c>
      <c r="N2" s="11">
        <f ca="1">SUMIFS(Data[Duration
(hours)],Data[Date],"&lt;="&amp;Strings[[#This Row],[Removal Date*]],Data[Date],"&gt;="&amp;Strings[[#This Row],[Installation Date]],Data[Racket],Strings[[#This Row],[Racket]])</f>
        <v>10</v>
      </c>
      <c r="O2" s="76"/>
      <c r="P2" s="76"/>
      <c r="Q2" s="76"/>
      <c r="R2" s="76"/>
      <c r="S2" s="76"/>
    </row>
    <row r="3" spans="1:19" x14ac:dyDescent="0.2">
      <c r="A3" s="11" t="s">
        <v>79</v>
      </c>
      <c r="B3" s="11" t="s">
        <v>82</v>
      </c>
      <c r="C3" s="11" t="s">
        <v>81</v>
      </c>
      <c r="D3" s="12">
        <v>44866</v>
      </c>
      <c r="E3" s="11" t="s">
        <v>71</v>
      </c>
      <c r="F3" s="12" cm="1">
        <f t="array" aca="1" ref="F3" ca="1">_xlfn.XLOOKUP(1,(Strings[Racket]=Strings[[#This Row],[Racket]])*(Strings[Installation Date]&gt;Strings[[#This Row],[Installation Date]]),Strings[Installation Date],TODAY(),0,1)</f>
        <v>44927</v>
      </c>
      <c r="G3" s="11">
        <v>22</v>
      </c>
      <c r="H3" s="11">
        <v>20</v>
      </c>
      <c r="I3" s="11">
        <v>120</v>
      </c>
      <c r="J3" s="11" t="s">
        <v>77</v>
      </c>
      <c r="K3" s="11" t="str">
        <f>Strings[[#This Row],[Brand]]&amp;" "&amp;Strings[[#This Row],[Model]]&amp;" "&amp;Strings[[#This Row],[Main Tension]]&amp;"/"&amp;Strings[[#This Row],[Cross Tension]]&amp;"-"&amp;Strings[[#This Row],[Gauge]]&amp;"-"&amp;ROW()-1</f>
        <v>Tecnifibre Black Code 22/20-120-2</v>
      </c>
      <c r="L3" s="76"/>
      <c r="M3" s="11">
        <f ca="1">Strings[[#This Row],[Removal Date*]]-Strings[[#This Row],[Installation Date]]</f>
        <v>61</v>
      </c>
      <c r="N3" s="11">
        <f ca="1">SUMIFS(Data[Duration
(hours)],Data[Date],"&lt;="&amp;Strings[[#This Row],[Removal Date*]],Data[Date],"&gt;="&amp;Strings[[#This Row],[Installation Date]],Data[Racket],Strings[[#This Row],[Racket]])</f>
        <v>12</v>
      </c>
      <c r="O3" s="76"/>
      <c r="P3" s="76"/>
      <c r="Q3" s="76"/>
      <c r="R3" s="76"/>
      <c r="S3" s="76"/>
    </row>
    <row r="4" spans="1:19" x14ac:dyDescent="0.2">
      <c r="A4" s="11" t="s">
        <v>79</v>
      </c>
      <c r="B4" s="11" t="s">
        <v>83</v>
      </c>
      <c r="C4" s="11" t="s">
        <v>84</v>
      </c>
      <c r="D4" s="12">
        <v>44927</v>
      </c>
      <c r="E4" s="12" t="s">
        <v>69</v>
      </c>
      <c r="F4" s="12" cm="1">
        <f t="array" aca="1" ref="F4" ca="1">_xlfn.XLOOKUP(1,(Strings[Racket]=Strings[[#This Row],[Racket]])*(Strings[Installation Date]&gt;Strings[[#This Row],[Installation Date]]),Strings[Installation Date],TODAY(),0,1)</f>
        <v>44961</v>
      </c>
      <c r="G4" s="11">
        <v>25</v>
      </c>
      <c r="H4" s="11">
        <v>25</v>
      </c>
      <c r="I4" s="11">
        <v>130</v>
      </c>
      <c r="J4" s="11" t="s">
        <v>87</v>
      </c>
      <c r="K4" s="88" t="str">
        <f>Strings[[#This Row],[Brand]]&amp;" "&amp;Strings[[#This Row],[Model]]&amp;" "&amp;Strings[[#This Row],[Main Tension]]&amp;"/"&amp;Strings[[#This Row],[Cross Tension]]&amp;"-"&amp;Strings[[#This Row],[Gauge]]&amp;"-"&amp;ROW()-1</f>
        <v>Tecnifibre Duramix  25/25-130-3</v>
      </c>
      <c r="L4" s="76"/>
      <c r="M4" s="88">
        <f ca="1">Strings[[#This Row],[Removal Date*]]-Strings[[#This Row],[Installation Date]]</f>
        <v>34</v>
      </c>
      <c r="N4" s="88">
        <f ca="1">SUMIFS(Data[Duration
(hours)],Data[Date],"&lt;="&amp;Strings[[#This Row],[Removal Date*]],Data[Date],"&gt;="&amp;Strings[[#This Row],[Installation Date]],Data[Racket],Strings[[#This Row],[Racket]])</f>
        <v>12</v>
      </c>
      <c r="O4" s="89"/>
      <c r="P4" s="89"/>
      <c r="Q4" s="89"/>
      <c r="R4" s="89"/>
      <c r="S4" s="89"/>
    </row>
    <row r="5" spans="1:19" x14ac:dyDescent="0.2">
      <c r="A5" s="11" t="s">
        <v>79</v>
      </c>
      <c r="B5" s="11" t="s">
        <v>85</v>
      </c>
      <c r="C5" s="11" t="s">
        <v>84</v>
      </c>
      <c r="D5" s="12">
        <v>44927</v>
      </c>
      <c r="E5" s="12" t="s">
        <v>71</v>
      </c>
      <c r="F5" s="12" cm="1">
        <f t="array" aca="1" ref="F5" ca="1">_xlfn.XLOOKUP(1,(Strings[Racket]=Strings[[#This Row],[Racket]])*(Strings[Installation Date]&gt;Strings[[#This Row],[Installation Date]]),Strings[Installation Date],TODAY(),0,1)</f>
        <v>44961</v>
      </c>
      <c r="G5" s="11">
        <v>24</v>
      </c>
      <c r="H5" s="11">
        <v>24</v>
      </c>
      <c r="I5" s="11">
        <v>133</v>
      </c>
      <c r="J5" s="11" t="s">
        <v>87</v>
      </c>
      <c r="K5" s="88" t="str">
        <f>Strings[[#This Row],[Brand]]&amp;" "&amp;Strings[[#This Row],[Model]]&amp;" "&amp;Strings[[#This Row],[Main Tension]]&amp;"/"&amp;Strings[[#This Row],[Cross Tension]]&amp;"-"&amp;Strings[[#This Row],[Gauge]]&amp;"-"&amp;ROW()-1</f>
        <v>Tecnifibre Triax 24/24-133-4</v>
      </c>
      <c r="L5" s="76"/>
      <c r="M5" s="88">
        <f ca="1">Strings[[#This Row],[Removal Date*]]-Strings[[#This Row],[Installation Date]]</f>
        <v>34</v>
      </c>
      <c r="N5" s="88">
        <f ca="1">SUMIFS(Data[Duration
(hours)],Data[Date],"&lt;="&amp;Strings[[#This Row],[Removal Date*]],Data[Date],"&gt;="&amp;Strings[[#This Row],[Installation Date]],Data[Racket],Strings[[#This Row],[Racket]])</f>
        <v>9</v>
      </c>
      <c r="O5" s="89"/>
      <c r="P5" s="89"/>
      <c r="Q5" s="89"/>
      <c r="R5" s="89"/>
      <c r="S5" s="89"/>
    </row>
    <row r="6" spans="1:19" x14ac:dyDescent="0.2">
      <c r="A6" s="76"/>
      <c r="B6" s="76"/>
      <c r="C6" s="76"/>
      <c r="D6" s="78"/>
      <c r="E6" s="76"/>
      <c r="F6" s="12"/>
      <c r="G6" s="76"/>
      <c r="H6" s="76"/>
      <c r="I6" s="76"/>
      <c r="J6" s="76"/>
      <c r="K6" s="11"/>
      <c r="L6" s="76"/>
      <c r="M6" s="11"/>
      <c r="N6" s="11"/>
      <c r="O6" s="76"/>
      <c r="P6" s="76"/>
      <c r="Q6" s="76"/>
      <c r="R6" s="76"/>
      <c r="S6" s="76"/>
    </row>
    <row r="7" spans="1:19" x14ac:dyDescent="0.2">
      <c r="A7" s="76"/>
      <c r="B7" s="76"/>
      <c r="C7" s="76"/>
      <c r="D7" s="78"/>
      <c r="E7" s="78"/>
      <c r="F7" s="12"/>
      <c r="G7" s="76"/>
      <c r="H7" s="76"/>
      <c r="I7" s="76"/>
      <c r="J7" s="76"/>
      <c r="K7" s="11"/>
      <c r="L7" s="76"/>
      <c r="M7" s="11"/>
      <c r="N7" s="11"/>
      <c r="O7" s="76"/>
      <c r="P7" s="76"/>
      <c r="Q7" s="76"/>
      <c r="R7" s="76"/>
      <c r="S7" s="76"/>
    </row>
    <row r="8" spans="1:19" x14ac:dyDescent="0.2">
      <c r="A8" s="76"/>
      <c r="B8" s="76"/>
      <c r="C8" s="76"/>
      <c r="D8" s="78"/>
      <c r="E8" s="76"/>
      <c r="F8" s="12"/>
      <c r="G8" s="76"/>
      <c r="H8" s="76"/>
      <c r="I8" s="76"/>
      <c r="J8" s="76"/>
      <c r="K8" s="11"/>
      <c r="L8" s="76"/>
      <c r="M8" s="11"/>
      <c r="N8" s="11"/>
      <c r="O8" s="76"/>
      <c r="P8" s="76"/>
      <c r="Q8" s="76"/>
      <c r="R8" s="76"/>
      <c r="S8" s="76"/>
    </row>
  </sheetData>
  <sheetProtection selectLockedCells="1"/>
  <dataValidations disablePrompts="1" count="1">
    <dataValidation type="list" allowBlank="1" showInputMessage="1" showErrorMessage="1" sqref="E2:E5" xr:uid="{488E9C06-E117-5043-A021-6D98D1FDD0E1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0B29-BF74-A04A-8AE8-F33B2A8F8795}">
  <sheetPr>
    <tabColor rgb="FFC00000"/>
  </sheetPr>
  <dimension ref="A1:J7"/>
  <sheetViews>
    <sheetView zoomScale="125" zoomScaleNormal="125" workbookViewId="0">
      <selection activeCell="A7" sqref="A7"/>
    </sheetView>
  </sheetViews>
  <sheetFormatPr baseColWidth="10" defaultRowHeight="16" x14ac:dyDescent="0.2"/>
  <cols>
    <col min="1" max="4" width="20" style="73" customWidth="1"/>
    <col min="5" max="5" width="25.83203125" style="73" customWidth="1"/>
    <col min="6" max="6" width="20" style="1" customWidth="1"/>
    <col min="7" max="7" width="29.6640625" style="1" bestFit="1" customWidth="1"/>
    <col min="8" max="8" width="20" style="73" customWidth="1"/>
    <col min="9" max="10" width="20" style="1" customWidth="1"/>
  </cols>
  <sheetData>
    <row r="1" spans="1:10" x14ac:dyDescent="0.2">
      <c r="A1" s="73" t="s">
        <v>37</v>
      </c>
      <c r="B1" s="73" t="s">
        <v>39</v>
      </c>
      <c r="C1" s="73" t="s">
        <v>32</v>
      </c>
      <c r="D1" s="73" t="s">
        <v>40</v>
      </c>
      <c r="E1" s="73" t="s">
        <v>1</v>
      </c>
      <c r="F1" s="1" t="s">
        <v>41</v>
      </c>
      <c r="G1" s="1" t="s">
        <v>42</v>
      </c>
      <c r="H1" s="73" t="s">
        <v>38</v>
      </c>
      <c r="I1" s="1" t="s">
        <v>65</v>
      </c>
      <c r="J1" s="1" t="s">
        <v>66</v>
      </c>
    </row>
    <row r="2" spans="1:10" x14ac:dyDescent="0.2">
      <c r="A2" s="1" t="s">
        <v>88</v>
      </c>
      <c r="B2" s="1" t="s">
        <v>89</v>
      </c>
      <c r="C2" s="1" t="s">
        <v>86</v>
      </c>
      <c r="D2" s="9">
        <v>44866</v>
      </c>
      <c r="E2" s="1" t="s">
        <v>69</v>
      </c>
      <c r="F2" s="9" cm="1">
        <f t="array" aca="1" ref="F2" ca="1">_xlfn.XLOOKUP(1,(Grips[Racket]=Grips[[#This Row],[Racket]])*(Grips[Installation Date]&gt;Grips[[#This Row],[Installation Date]]),Grips[Installation Date],TODAY(),0,1)</f>
        <v>44896</v>
      </c>
      <c r="G2" s="1" t="str">
        <f>Grips[[#This Row],[Brand]]&amp;" "&amp;Grips[[#This Row],[Model]]&amp;" "&amp;Grips[[#This Row],[Color]]&amp;"-"&amp;ROW()-1</f>
        <v>Artengo Comfort White-1</v>
      </c>
      <c r="I2" s="1">
        <f ca="1">Grips[[#This Row],[Removal Date*]]-Grips[[#This Row],[Installation Date]]</f>
        <v>30</v>
      </c>
      <c r="J2" s="1">
        <f ca="1">SUMIFS(Data[Duration
(hours)],Data[Date],"&lt;="&amp;Grips[[#This Row],[Removal Date*]],Data[Date],"&gt;="&amp;Grips[[#This Row],[Installation Date]],Data[Racket],Grips[[#This Row],[Racket]])</f>
        <v>10</v>
      </c>
    </row>
    <row r="3" spans="1:10" x14ac:dyDescent="0.2">
      <c r="A3" s="1" t="s">
        <v>75</v>
      </c>
      <c r="B3" s="1" t="s">
        <v>90</v>
      </c>
      <c r="C3" s="1" t="s">
        <v>86</v>
      </c>
      <c r="D3" s="9">
        <v>44866</v>
      </c>
      <c r="E3" s="1" t="s">
        <v>71</v>
      </c>
      <c r="F3" s="9" cm="1">
        <f t="array" aca="1" ref="F3" ca="1">_xlfn.XLOOKUP(1,(Grips[Racket]=Grips[[#This Row],[Racket]])*(Grips[Installation Date]&gt;Grips[[#This Row],[Installation Date]]),Grips[Installation Date],TODAY(),0,1)</f>
        <v>44927</v>
      </c>
      <c r="G3" s="1" t="str">
        <f>Grips[[#This Row],[Brand]]&amp;" "&amp;Grips[[#This Row],[Model]]&amp;" "&amp;Grips[[#This Row],[Color]]&amp;"-"&amp;ROW()-1</f>
        <v>Babolat Pro Tour Comfort White-2</v>
      </c>
      <c r="I3" s="1">
        <f ca="1">Grips[[#This Row],[Removal Date*]]-Grips[[#This Row],[Installation Date]]</f>
        <v>61</v>
      </c>
      <c r="J3" s="1">
        <f ca="1">SUMIFS(Data[Duration
(hours)],Data[Date],"&lt;="&amp;Grips[[#This Row],[Removal Date*]],Data[Date],"&gt;="&amp;Grips[[#This Row],[Installation Date]],Data[Racket],Grips[[#This Row],[Racket]])</f>
        <v>12</v>
      </c>
    </row>
    <row r="4" spans="1:10" x14ac:dyDescent="0.2">
      <c r="A4" s="1" t="s">
        <v>75</v>
      </c>
      <c r="B4" s="1" t="s">
        <v>90</v>
      </c>
      <c r="C4" s="1" t="s">
        <v>86</v>
      </c>
      <c r="D4" s="9">
        <v>44896</v>
      </c>
      <c r="E4" s="1" t="s">
        <v>69</v>
      </c>
      <c r="F4" s="9" cm="1">
        <f t="array" aca="1" ref="F4" ca="1">_xlfn.XLOOKUP(1,(Grips[Racket]=Grips[[#This Row],[Racket]])*(Grips[Installation Date]&gt;Grips[[#This Row],[Installation Date]]),Grips[Installation Date],TODAY(),0,1)</f>
        <v>44927</v>
      </c>
      <c r="G4" s="90" t="str">
        <f>Grips[[#This Row],[Brand]]&amp;" "&amp;Grips[[#This Row],[Model]]&amp;" "&amp;Grips[[#This Row],[Color]]&amp;"-"&amp;ROW()-1</f>
        <v>Babolat Pro Tour Comfort White-3</v>
      </c>
      <c r="I4" s="90">
        <f ca="1">Grips[[#This Row],[Removal Date*]]-Grips[[#This Row],[Installation Date]]</f>
        <v>31</v>
      </c>
      <c r="J4" s="90">
        <f ca="1">SUMIFS(Data[Duration
(hours)],Data[Date],"&lt;="&amp;Grips[[#This Row],[Removal Date*]],Data[Date],"&gt;="&amp;Grips[[#This Row],[Installation Date]],Data[Racket],Grips[[#This Row],[Racket]])</f>
        <v>10</v>
      </c>
    </row>
    <row r="5" spans="1:10" x14ac:dyDescent="0.2">
      <c r="A5" s="1" t="s">
        <v>88</v>
      </c>
      <c r="B5" s="1" t="s">
        <v>91</v>
      </c>
      <c r="C5" s="1" t="s">
        <v>86</v>
      </c>
      <c r="D5" s="9">
        <v>44927</v>
      </c>
      <c r="E5" s="1" t="s">
        <v>69</v>
      </c>
      <c r="F5" s="9" cm="1">
        <f t="array" aca="1" ref="F5" ca="1">_xlfn.XLOOKUP(1,(Grips[Racket]=Grips[[#This Row],[Racket]])*(Grips[Installation Date]&gt;Grips[[#This Row],[Installation Date]]),Grips[Installation Date],TODAY(),0,1)</f>
        <v>44961</v>
      </c>
      <c r="G5" s="90" t="str">
        <f>Grips[[#This Row],[Brand]]&amp;" "&amp;Grips[[#This Row],[Model]]&amp;" "&amp;Grips[[#This Row],[Color]]&amp;"-"&amp;ROW()-1</f>
        <v>Artengo Tacky White-4</v>
      </c>
      <c r="I5" s="90">
        <f ca="1">Grips[[#This Row],[Removal Date*]]-Grips[[#This Row],[Installation Date]]</f>
        <v>34</v>
      </c>
      <c r="J5" s="90">
        <f ca="1">SUMIFS(Data[Duration
(hours)],Data[Date],"&lt;="&amp;Grips[[#This Row],[Removal Date*]],Data[Date],"&gt;="&amp;Grips[[#This Row],[Installation Date]],Data[Racket],Grips[[#This Row],[Racket]])</f>
        <v>12</v>
      </c>
    </row>
    <row r="6" spans="1:10" x14ac:dyDescent="0.2">
      <c r="A6" s="1" t="s">
        <v>88</v>
      </c>
      <c r="B6" s="1" t="s">
        <v>91</v>
      </c>
      <c r="C6" s="1" t="s">
        <v>86</v>
      </c>
      <c r="D6" s="9">
        <v>44927</v>
      </c>
      <c r="E6" s="1" t="s">
        <v>71</v>
      </c>
      <c r="F6" s="9" cm="1">
        <f t="array" aca="1" ref="F6" ca="1">_xlfn.XLOOKUP(1,(Grips[Racket]=Grips[[#This Row],[Racket]])*(Grips[Installation Date]&gt;Grips[[#This Row],[Installation Date]]),Grips[Installation Date],TODAY(),0,1)</f>
        <v>44961</v>
      </c>
      <c r="G6" s="90" t="str">
        <f>Grips[[#This Row],[Brand]]&amp;" "&amp;Grips[[#This Row],[Model]]&amp;" "&amp;Grips[[#This Row],[Color]]&amp;"-"&amp;ROW()-1</f>
        <v>Artengo Tacky White-5</v>
      </c>
      <c r="I6" s="90">
        <f ca="1">Grips[[#This Row],[Removal Date*]]-Grips[[#This Row],[Installation Date]]</f>
        <v>34</v>
      </c>
      <c r="J6" s="90">
        <f ca="1">SUMIFS(Data[Duration
(hours)],Data[Date],"&lt;="&amp;Grips[[#This Row],[Removal Date*]],Data[Date],"&gt;="&amp;Grips[[#This Row],[Installation Date]],Data[Racket],Grips[[#This Row],[Racket]])</f>
        <v>9</v>
      </c>
    </row>
    <row r="7" spans="1:10" x14ac:dyDescent="0.2">
      <c r="D7" s="74"/>
      <c r="F7" s="9"/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E2:E6" xr:uid="{7E05D6D0-18C4-EF4E-86C6-280D0EDAEB75}">
      <formula1>INDIRECT("Rackets[ID*]")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522D-5F69-2149-8741-016D97C78934}">
  <sheetPr>
    <tabColor theme="1" tint="0.249977111117893"/>
  </sheetPr>
  <dimension ref="A1:C12"/>
  <sheetViews>
    <sheetView zoomScale="125" zoomScaleNormal="125" workbookViewId="0">
      <selection activeCell="C2" sqref="C2"/>
    </sheetView>
  </sheetViews>
  <sheetFormatPr baseColWidth="10" defaultRowHeight="16" x14ac:dyDescent="0.2"/>
  <cols>
    <col min="2" max="2" width="51.6640625" style="2" bestFit="1" customWidth="1"/>
    <col min="3" max="3" width="10.6640625" style="1" customWidth="1"/>
  </cols>
  <sheetData>
    <row r="1" spans="1:3" ht="17" thickBot="1" x14ac:dyDescent="0.25">
      <c r="A1" s="1" t="s">
        <v>36</v>
      </c>
      <c r="B1" s="2" t="s">
        <v>43</v>
      </c>
      <c r="C1" s="1" t="s">
        <v>44</v>
      </c>
    </row>
    <row r="2" spans="1:3" x14ac:dyDescent="0.2">
      <c r="A2" s="20" t="s">
        <v>5</v>
      </c>
      <c r="B2" s="21" t="s">
        <v>15</v>
      </c>
      <c r="C2" s="67">
        <v>30</v>
      </c>
    </row>
    <row r="3" spans="1:3" x14ac:dyDescent="0.2">
      <c r="A3" s="22" t="s">
        <v>5</v>
      </c>
      <c r="B3" s="23" t="s">
        <v>26</v>
      </c>
      <c r="C3" s="68">
        <v>25</v>
      </c>
    </row>
    <row r="4" spans="1:3" x14ac:dyDescent="0.2">
      <c r="A4" s="22" t="s">
        <v>5</v>
      </c>
      <c r="B4" s="23" t="s">
        <v>9</v>
      </c>
      <c r="C4" s="68">
        <v>10</v>
      </c>
    </row>
    <row r="5" spans="1:3" ht="17" thickBot="1" x14ac:dyDescent="0.25">
      <c r="A5" s="22" t="s">
        <v>5</v>
      </c>
      <c r="B5" s="23" t="s">
        <v>27</v>
      </c>
      <c r="C5" s="68">
        <v>8</v>
      </c>
    </row>
    <row r="6" spans="1:3" ht="17" x14ac:dyDescent="0.2">
      <c r="A6" s="51" t="s">
        <v>45</v>
      </c>
      <c r="B6" s="52" t="s">
        <v>23</v>
      </c>
      <c r="C6" s="69">
        <v>10</v>
      </c>
    </row>
    <row r="7" spans="1:3" ht="17" thickBot="1" x14ac:dyDescent="0.25">
      <c r="A7" s="53" t="s">
        <v>45</v>
      </c>
      <c r="B7" s="54" t="s">
        <v>51</v>
      </c>
      <c r="C7" s="70">
        <v>8</v>
      </c>
    </row>
    <row r="8" spans="1:3" x14ac:dyDescent="0.2">
      <c r="A8" s="16" t="s">
        <v>6</v>
      </c>
      <c r="B8" s="17" t="s">
        <v>63</v>
      </c>
      <c r="C8" s="71">
        <v>30</v>
      </c>
    </row>
    <row r="9" spans="1:3" ht="17" thickBot="1" x14ac:dyDescent="0.25">
      <c r="A9" s="18" t="s">
        <v>6</v>
      </c>
      <c r="B9" s="19" t="s">
        <v>64</v>
      </c>
      <c r="C9" s="72">
        <v>10</v>
      </c>
    </row>
    <row r="10" spans="1:3" x14ac:dyDescent="0.2">
      <c r="A10" s="1"/>
      <c r="B10" s="15"/>
      <c r="C10" s="13"/>
    </row>
    <row r="12" spans="1:3" x14ac:dyDescent="0.2">
      <c r="B12" s="14"/>
      <c r="C12" s="13"/>
    </row>
  </sheetData>
  <sheetProtection algorithmName="SHA-512" hashValue="EZtdvEqqwAcl28LnGT0kdVVQyMZKBiXWgbk8fbrGkMf8bkOw2S/A45CdYShtpE61D1QLvEF+33zoRRe2f3SYxQ==" saltValue="d6keGLZ3ExRDTlO80kt9jw==" spinCount="100000" sheet="1" objects="1" scenarios="1" selectLockedCells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AD8-7032-E742-BEDD-7D47ED8E1FFB}">
  <sheetPr>
    <tabColor theme="1"/>
  </sheetPr>
  <dimension ref="A1:B10"/>
  <sheetViews>
    <sheetView zoomScale="125" zoomScaleNormal="125" workbookViewId="0">
      <selection activeCell="B11" sqref="B11"/>
    </sheetView>
  </sheetViews>
  <sheetFormatPr baseColWidth="10" defaultRowHeight="16" x14ac:dyDescent="0.2"/>
  <cols>
    <col min="1" max="1" width="14.83203125" style="1" customWidth="1"/>
    <col min="2" max="2" width="86.5" style="2" customWidth="1"/>
  </cols>
  <sheetData>
    <row r="1" spans="1:2" x14ac:dyDescent="0.2">
      <c r="A1" s="1" t="s">
        <v>10</v>
      </c>
      <c r="B1" s="2" t="s">
        <v>11</v>
      </c>
    </row>
    <row r="2" spans="1:2" x14ac:dyDescent="0.2">
      <c r="A2" s="7">
        <v>1</v>
      </c>
      <c r="B2" s="3" t="s">
        <v>12</v>
      </c>
    </row>
    <row r="3" spans="1:2" x14ac:dyDescent="0.2">
      <c r="A3" s="7">
        <v>1.1000000000000001</v>
      </c>
      <c r="B3" s="3" t="s">
        <v>13</v>
      </c>
    </row>
    <row r="4" spans="1:2" ht="115" customHeight="1" x14ac:dyDescent="0.2">
      <c r="A4" s="7">
        <v>1.2</v>
      </c>
      <c r="B4" s="4" t="s">
        <v>14</v>
      </c>
    </row>
    <row r="5" spans="1:2" x14ac:dyDescent="0.2">
      <c r="A5" s="7">
        <v>1.3</v>
      </c>
      <c r="B5" s="2" t="s">
        <v>16</v>
      </c>
    </row>
    <row r="6" spans="1:2" ht="34" x14ac:dyDescent="0.2">
      <c r="A6" s="7">
        <v>1.4</v>
      </c>
      <c r="B6" s="5" t="s">
        <v>17</v>
      </c>
    </row>
    <row r="7" spans="1:2" ht="68" x14ac:dyDescent="0.2">
      <c r="A7" s="8">
        <v>2</v>
      </c>
      <c r="B7" s="5" t="s">
        <v>18</v>
      </c>
    </row>
    <row r="8" spans="1:2" ht="34" x14ac:dyDescent="0.2">
      <c r="A8" s="7">
        <v>2.1</v>
      </c>
      <c r="B8" s="5" t="s">
        <v>21</v>
      </c>
    </row>
    <row r="9" spans="1:2" ht="136" x14ac:dyDescent="0.2">
      <c r="A9" s="7">
        <v>2.2000000000000002</v>
      </c>
      <c r="B9" s="4" t="s">
        <v>28</v>
      </c>
    </row>
    <row r="10" spans="1:2" x14ac:dyDescent="0.2">
      <c r="A10" s="7">
        <v>3</v>
      </c>
      <c r="B10" s="2" t="s">
        <v>67</v>
      </c>
    </row>
  </sheetData>
  <sheetProtection algorithmName="SHA-512" hashValue="m7pHhpk3kOzdrFPu3Wy/TK97QWkrCE9NlGwt1I4GvoYMGtcVOq5KKoNMRluU9NdiTkPmjsA1KZCMf7tBd6eu0Q==" saltValue="sL+9XKpx3elveV+2sWrRTw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5D44-40B8-F24B-9371-599702D36A6D}">
  <dimension ref="A1:A3"/>
  <sheetViews>
    <sheetView zoomScale="180" zoomScaleNormal="180" workbookViewId="0">
      <selection activeCell="E24" sqref="E24"/>
    </sheetView>
  </sheetViews>
  <sheetFormatPr baseColWidth="10" defaultRowHeight="16" x14ac:dyDescent="0.2"/>
  <cols>
    <col min="1" max="1" width="26.6640625" customWidth="1"/>
  </cols>
  <sheetData>
    <row r="1" spans="1:1" x14ac:dyDescent="0.2">
      <c r="A1" t="s">
        <v>20</v>
      </c>
    </row>
    <row r="2" spans="1:1" x14ac:dyDescent="0.2">
      <c r="A2" t="s">
        <v>4</v>
      </c>
    </row>
    <row r="3" spans="1:1" x14ac:dyDescent="0.2">
      <c r="A3" t="s">
        <v>19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Dashboard - B</vt:lpstr>
      <vt:lpstr>Data</vt:lpstr>
      <vt:lpstr>Rackets</vt:lpstr>
      <vt:lpstr>Strings</vt:lpstr>
      <vt:lpstr>Grips</vt:lpstr>
      <vt:lpstr>Settings</vt:lpstr>
      <vt:lpstr>Change Logs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Jean-Philippe</cp:lastModifiedBy>
  <dcterms:created xsi:type="dcterms:W3CDTF">2023-01-09T12:27:18Z</dcterms:created>
  <dcterms:modified xsi:type="dcterms:W3CDTF">2023-02-04T11:05:42Z</dcterms:modified>
</cp:coreProperties>
</file>