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drawings/drawing4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drawings/drawing5.xml" ContentType="application/vnd.openxmlformats-officedocument.drawing+xml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drawings/drawing6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rts\KPM\CIS LA\KPM LA\"/>
    </mc:Choice>
  </mc:AlternateContent>
  <bookViews>
    <workbookView xWindow="0" yWindow="0" windowWidth="20490" windowHeight="7065" tabRatio="862"/>
  </bookViews>
  <sheets>
    <sheet name="KPM-LA" sheetId="1" r:id="rId1"/>
    <sheet name="P10" sheetId="37" r:id="rId2"/>
    <sheet name="P9" sheetId="36" r:id="rId3"/>
    <sheet name="P8" sheetId="35" r:id="rId4"/>
    <sheet name="P7" sheetId="34" r:id="rId5"/>
    <sheet name="P6" sheetId="33" r:id="rId6"/>
    <sheet name="P5" sheetId="32" r:id="rId7"/>
    <sheet name="P4" sheetId="31" r:id="rId8"/>
    <sheet name="P3" sheetId="30" r:id="rId9"/>
    <sheet name="P2" sheetId="29" r:id="rId10"/>
    <sheet name="P1" sheetId="28" r:id="rId11"/>
    <sheet name="Jan 30 - Feb 26qb" sheetId="26" state="hidden" r:id="rId12"/>
    <sheet name="2Jan-29Jan-QB extract-16thMar " sheetId="27" state="hidden" r:id="rId13"/>
    <sheet name="Summary-LA" sheetId="2" state="hidden" r:id="rId14"/>
    <sheet name="P&amp;L'13 LA" sheetId="4" state="hidden" r:id="rId15"/>
    <sheet name="Appportionment Basis-Common cos" sheetId="23" state="hidden" r:id="rId16"/>
    <sheet name="Mail from Sam" sheetId="25" state="hidden" r:id="rId17"/>
  </sheets>
  <definedNames>
    <definedName name="_xlnm.Print_Titles" localSheetId="12">'2Jan-29Jan-QB extract-16thMar '!$A:$F,'2Jan-29Jan-QB extract-16thMar '!$2:$2</definedName>
    <definedName name="_xlnm.Print_Titles" localSheetId="11">'Jan 30 - Feb 26qb'!$A:$F,'Jan 30 - Feb 26qb'!$4:$4</definedName>
    <definedName name="_xlnm.Print_Titles" localSheetId="1">'P10'!$A:$F,'P10'!$1:$1</definedName>
    <definedName name="_xlnm.Print_Titles" localSheetId="6">'P5'!$A:$F,'P5'!$1:$1</definedName>
    <definedName name="_xlnm.Print_Titles" localSheetId="5">'P6'!$A:$F,'P6'!$1:$1</definedName>
    <definedName name="_xlnm.Print_Titles" localSheetId="4">'P7'!$A:$F,'P7'!$1:$1</definedName>
    <definedName name="_xlnm.Print_Titles" localSheetId="2">'P9'!$A:$F,'P9'!$1:$1</definedName>
    <definedName name="QB_COLUMN_1210" localSheetId="1" hidden="1">'P10'!$G$1</definedName>
    <definedName name="QB_COLUMN_1210" localSheetId="2" hidden="1">'P9'!$G$1</definedName>
    <definedName name="QB_COLUMN_29" localSheetId="12" hidden="1">'2Jan-29Jan-QB extract-16thMar '!$G$2</definedName>
    <definedName name="QB_COLUMN_29" localSheetId="11" hidden="1">'Jan 30 - Feb 26qb'!$G$4</definedName>
    <definedName name="QB_COLUMN_29" localSheetId="6" hidden="1">'P5'!$G$1</definedName>
    <definedName name="QB_COLUMN_29" localSheetId="5" hidden="1">'P6'!$G$1</definedName>
    <definedName name="QB_COLUMN_29" localSheetId="4" hidden="1">'P7'!$G$1</definedName>
    <definedName name="QB_COLUMN_42301" localSheetId="1" hidden="1">'P10'!$I$1</definedName>
    <definedName name="QB_COLUMN_42301" localSheetId="2" hidden="1">'P9'!$I$1</definedName>
    <definedName name="QB_COLUMN_45211" localSheetId="1" hidden="1">'P10'!$H$1</definedName>
    <definedName name="QB_COLUMN_45211" localSheetId="2" hidden="1">'P9'!$H$1</definedName>
    <definedName name="QB_DATA_0" localSheetId="12" hidden="1">'2Jan-29Jan-QB extract-16thMar '!$5:$5,'2Jan-29Jan-QB extract-16thMar '!$6:$6,'2Jan-29Jan-QB extract-16thMar '!$7:$7,'2Jan-29Jan-QB extract-16thMar '!$8:$8,'2Jan-29Jan-QB extract-16thMar '!$9:$9,'2Jan-29Jan-QB extract-16thMar '!$12:$12,'2Jan-29Jan-QB extract-16thMar '!$13:$13,'2Jan-29Jan-QB extract-16thMar '!$15:$15,'2Jan-29Jan-QB extract-16thMar '!$16:$16,'2Jan-29Jan-QB extract-16thMar '!$17:$17,'2Jan-29Jan-QB extract-16thMar '!$20:$20,'2Jan-29Jan-QB extract-16thMar '!$21:$21,'2Jan-29Jan-QB extract-16thMar '!$22:$22,'2Jan-29Jan-QB extract-16thMar '!$23:$23,'2Jan-29Jan-QB extract-16thMar '!$26:$26,'2Jan-29Jan-QB extract-16thMar '!$27:$27</definedName>
    <definedName name="QB_DATA_0" localSheetId="11" hidden="1">'Jan 30 - Feb 26qb'!$7:$7,'Jan 30 - Feb 26qb'!$8:$8,'Jan 30 - Feb 26qb'!$9:$9,'Jan 30 - Feb 26qb'!$10:$10,'Jan 30 - Feb 26qb'!$11:$11,'Jan 30 - Feb 26qb'!$14:$14,'Jan 30 - Feb 26qb'!$15:$15,'Jan 30 - Feb 26qb'!$17:$17,'Jan 30 - Feb 26qb'!$18:$18,'Jan 30 - Feb 26qb'!$19:$19,'Jan 30 - Feb 26qb'!$22:$22,'Jan 30 - Feb 26qb'!$23:$23,'Jan 30 - Feb 26qb'!$24:$24,'Jan 30 - Feb 26qb'!$25:$25,'Jan 30 - Feb 26qb'!$26:$26,'Jan 30 - Feb 26qb'!$29:$29</definedName>
    <definedName name="QB_DATA_0" localSheetId="1" hidden="1">'P10'!$4:$4,'P10'!$5:$5,'P10'!$6:$6,'P10'!$7:$7,'P10'!$8:$8,'P10'!$11:$11,'P10'!$13:$13,'P10'!$14:$14,'P10'!$15:$15,'P10'!$16:$16,'P10'!$19:$19,'P10'!$20:$20,'P10'!$21:$21,'P10'!$22:$22,'P10'!$25:$25,'P10'!$28:$28</definedName>
    <definedName name="QB_DATA_0" localSheetId="6" hidden="1">'P5'!$4:$4,'P5'!$5:$5,'P5'!$6:$6,'P5'!$7:$7,'P5'!$8:$8,'P5'!$11:$11,'P5'!$12:$12,'P5'!$14:$14,'P5'!$15:$15,'P5'!$16:$16,'P5'!$17:$17,'P5'!$20:$20,'P5'!$21:$21,'P5'!$22:$22,'P5'!$23:$23,'P5'!$26:$26</definedName>
    <definedName name="QB_DATA_0" localSheetId="5" hidden="1">'P6'!$4:$4,'P6'!$5:$5,'P6'!$6:$6,'P6'!$7:$7,'P6'!$8:$8,'P6'!$11:$11,'P6'!$13:$13,'P6'!$14:$14,'P6'!$15:$15,'P6'!$16:$16,'P6'!$19:$19,'P6'!$20:$20,'P6'!$21:$21,'P6'!$22:$22,'P6'!$25:$25,'P6'!$26:$26</definedName>
    <definedName name="QB_DATA_0" localSheetId="4" hidden="1">'P7'!$4:$4,'P7'!$5:$5,'P7'!$6:$6,'P7'!$7:$7,'P7'!$8:$8,'P7'!$11:$11,'P7'!$12:$12,'P7'!$14:$14,'P7'!$15:$15,'P7'!$16:$16,'P7'!$17:$17,'P7'!$20:$20,'P7'!$21:$21,'P7'!$22:$22,'P7'!$23:$23,'P7'!$26:$26</definedName>
    <definedName name="QB_DATA_0" localSheetId="2" hidden="1">'P9'!$4:$4,'P9'!$5:$5,'P9'!$6:$6,'P9'!$7:$7,'P9'!$10:$10,'P9'!$12:$12,'P9'!$13:$13,'P9'!$14:$14,'P9'!$15:$15,'P9'!$18:$18,'P9'!$19:$19,'P9'!$20:$20,'P9'!$21:$21,'P9'!$24:$24,'P9'!$25:$25,'P9'!$28:$28</definedName>
    <definedName name="QB_DATA_1" localSheetId="12" hidden="1">'2Jan-29Jan-QB extract-16thMar '!$30:$30,'2Jan-29Jan-QB extract-16thMar '!$31:$31,'2Jan-29Jan-QB extract-16thMar '!$36:$36,'2Jan-29Jan-QB extract-16thMar '!$37:$37,'2Jan-29Jan-QB extract-16thMar '!$38:$38,'2Jan-29Jan-QB extract-16thMar '!$39:$39,'2Jan-29Jan-QB extract-16thMar '!$40:$40,'2Jan-29Jan-QB extract-16thMar '!$41:$41,'2Jan-29Jan-QB extract-16thMar '!$43:$43,'2Jan-29Jan-QB extract-16thMar '!$45:$45,'2Jan-29Jan-QB extract-16thMar '!$46:$46,'2Jan-29Jan-QB extract-16thMar '!$47:$47,'2Jan-29Jan-QB extract-16thMar '!$48:$48,'2Jan-29Jan-QB extract-16thMar '!$49:$49,'2Jan-29Jan-QB extract-16thMar '!$50:$50,'2Jan-29Jan-QB extract-16thMar '!$51:$51</definedName>
    <definedName name="QB_DATA_1" localSheetId="11" hidden="1">'Jan 30 - Feb 26qb'!$30:$30,'Jan 30 - Feb 26qb'!$33:$33,'Jan 30 - Feb 26qb'!$34:$34,'Jan 30 - Feb 26qb'!$39:$39,'Jan 30 - Feb 26qb'!$40:$40,'Jan 30 - Feb 26qb'!$41:$41,'Jan 30 - Feb 26qb'!$42:$42,'Jan 30 - Feb 26qb'!$44:$44,'Jan 30 - Feb 26qb'!$45:$45,'Jan 30 - Feb 26qb'!$46:$46,'Jan 30 - Feb 26qb'!$48:$48,'Jan 30 - Feb 26qb'!$49:$49,'Jan 30 - Feb 26qb'!$50:$50,'Jan 30 - Feb 26qb'!$51:$51,'Jan 30 - Feb 26qb'!$52:$52,'Jan 30 - Feb 26qb'!$53:$53</definedName>
    <definedName name="QB_DATA_1" localSheetId="1" hidden="1">'P10'!$29:$29,'P10'!$30:$30,'P10'!$31:$31,'P10'!$36:$36,'P10'!$37:$37,'P10'!$38:$38,'P10'!$39:$39,'P10'!$40:$40,'P10'!$41:$41,'P10'!$43:$43,'P10'!$44:$44,'P10'!$45:$45,'P10'!$46:$46,'P10'!$48:$48,'P10'!$49:$49,'P10'!$50:$50</definedName>
    <definedName name="QB_DATA_1" localSheetId="6" hidden="1">'P5'!$27:$27,'P5'!$30:$30,'P5'!$31:$31,'P5'!$32:$32,'P5'!$33:$33,'P5'!$38:$38,'P5'!$39:$39,'P5'!$40:$40,'P5'!$41:$41,'P5'!$42:$42,'P5'!$43:$43,'P5'!$45:$45,'P5'!$46:$46,'P5'!$47:$47,'P5'!$49:$49,'P5'!$50:$50</definedName>
    <definedName name="QB_DATA_1" localSheetId="5" hidden="1">'P6'!$29:$29,'P6'!$30:$30,'P6'!$31:$31,'P6'!$32:$32,'P6'!$37:$37,'P6'!$38:$38,'P6'!$39:$39,'P6'!$40:$40,'P6'!$41:$41,'P6'!$42:$42,'P6'!$43:$43,'P6'!$45:$45,'P6'!$46:$46,'P6'!$47:$47,'P6'!$48:$48,'P6'!$50:$50</definedName>
    <definedName name="QB_DATA_1" localSheetId="4" hidden="1">'P7'!$27:$27,'P7'!$30:$30,'P7'!$31:$31,'P7'!$32:$32,'P7'!$33:$33,'P7'!$38:$38,'P7'!$39:$39,'P7'!$40:$40,'P7'!$41:$41,'P7'!$42:$42,'P7'!$44:$44,'P7'!$45:$45,'P7'!$46:$46,'P7'!$47:$47,'P7'!$49:$49,'P7'!$50:$50</definedName>
    <definedName name="QB_DATA_1" localSheetId="2" hidden="1">'P9'!$29:$29,'P9'!$30:$30,'P9'!$31:$31,'P9'!$36:$36,'P9'!$37:$37,'P9'!$38:$38,'P9'!$39:$39,'P9'!$40:$40,'P9'!$41:$41,'P9'!$42:$42,'P9'!$44:$44,'P9'!$45:$45,'P9'!$46:$46,'P9'!$48:$48,'P9'!$49:$49,'P9'!$50:$50</definedName>
    <definedName name="QB_DATA_2" localSheetId="12" hidden="1">'2Jan-29Jan-QB extract-16thMar '!$52:$52,'2Jan-29Jan-QB extract-16thMar '!$53:$53,'2Jan-29Jan-QB extract-16thMar '!$54:$54,'2Jan-29Jan-QB extract-16thMar '!$55:$55,'2Jan-29Jan-QB extract-16thMar '!$56:$56,'2Jan-29Jan-QB extract-16thMar '!$57:$57,'2Jan-29Jan-QB extract-16thMar '!$62:$62,'2Jan-29Jan-QB extract-16thMar '!$63:$63</definedName>
    <definedName name="QB_DATA_2" localSheetId="11" hidden="1">'Jan 30 - Feb 26qb'!$54:$54,'Jan 30 - Feb 26qb'!$55:$55,'Jan 30 - Feb 26qb'!$56:$56,'Jan 30 - Feb 26qb'!$57:$57,'Jan 30 - Feb 26qb'!$58:$58,'Jan 30 - Feb 26qb'!$59:$59,'Jan 30 - Feb 26qb'!$60:$60,'Jan 30 - Feb 26qb'!$61:$61,'Jan 30 - Feb 26qb'!$66:$66,'Jan 30 - Feb 26qb'!$67:$67</definedName>
    <definedName name="QB_DATA_2" localSheetId="1" hidden="1">'P10'!$51:$51,'P10'!$52:$52,'P10'!$54:$54,'P10'!$55:$55,'P10'!$57:$57,'P10'!$58:$58,'P10'!$59:$59,'P10'!$60:$60,'P10'!$61:$61,'P10'!$66:$66,'P10'!$69:$69</definedName>
    <definedName name="QB_DATA_2" localSheetId="6" hidden="1">'P5'!$51:$51,'P5'!$52:$52,'P5'!$53:$53,'P5'!$54:$54,'P5'!$56:$56,'P5'!$57:$57,'P5'!$59:$59,'P5'!$60:$60,'P5'!$61:$61,'P5'!$62:$62,'P5'!$63:$63,'P5'!$68:$68,'P5'!$69:$69</definedName>
    <definedName name="QB_DATA_2" localSheetId="5" hidden="1">'P6'!$51:$51,'P6'!$52:$52,'P6'!$53:$53,'P6'!$54:$54,'P6'!$57:$57,'P6'!$58:$58,'P6'!$60:$60,'P6'!$61:$61,'P6'!$62:$62,'P6'!$63:$63,'P6'!$64:$64,'P6'!$65:$65,'P6'!$66:$66,'P6'!$71:$71</definedName>
    <definedName name="QB_DATA_2" localSheetId="4" hidden="1">'P7'!$51:$51,'P7'!$52:$52,'P7'!$53:$53,'P7'!$54:$54,'P7'!$55:$55,'P7'!$57:$57,'P7'!$58:$58,'P7'!$60:$60,'P7'!$61:$61,'P7'!$62:$62,'P7'!$63:$63,'P7'!$64:$64,'P7'!$65:$65,'P7'!$66:$66,'P7'!$71:$71</definedName>
    <definedName name="QB_DATA_2" localSheetId="2" hidden="1">'P9'!$51:$51,'P9'!$53:$53,'P9'!$54:$54,'P9'!$56:$56,'P9'!$57:$57,'P9'!$58:$58,'P9'!$59:$59,'P9'!$60:$60,'P9'!$61:$61,'P9'!$62:$62,'P9'!$67:$67</definedName>
    <definedName name="QB_FORMULA_0" localSheetId="12" hidden="1">'2Jan-29Jan-QB extract-16thMar '!$G$10,'2Jan-29Jan-QB extract-16thMar '!$G$18,'2Jan-29Jan-QB extract-16thMar '!$G$24,'2Jan-29Jan-QB extract-16thMar '!$G$28,'2Jan-29Jan-QB extract-16thMar '!$G$32,'2Jan-29Jan-QB extract-16thMar '!$G$33,'2Jan-29Jan-QB extract-16thMar '!$G$34,'2Jan-29Jan-QB extract-16thMar '!$G$44,'2Jan-29Jan-QB extract-16thMar '!$G$58,'2Jan-29Jan-QB extract-16thMar '!$G$59,'2Jan-29Jan-QB extract-16thMar '!$G$64,'2Jan-29Jan-QB extract-16thMar '!$G$65,'2Jan-29Jan-QB extract-16thMar '!$G$66</definedName>
    <definedName name="QB_FORMULA_0" localSheetId="11" hidden="1">'Jan 30 - Feb 26qb'!$G$12,'Jan 30 - Feb 26qb'!$G$20,'Jan 30 - Feb 26qb'!$G$27,'Jan 30 - Feb 26qb'!$G$31,'Jan 30 - Feb 26qb'!$G$35,'Jan 30 - Feb 26qb'!$G$36,'Jan 30 - Feb 26qb'!$G$37,'Jan 30 - Feb 26qb'!$G$47,'Jan 30 - Feb 26qb'!$G$62,'Jan 30 - Feb 26qb'!$G$63,'Jan 30 - Feb 26qb'!$G$68,'Jan 30 - Feb 26qb'!$G$69,'Jan 30 - Feb 26qb'!$G$70</definedName>
    <definedName name="QB_FORMULA_0" localSheetId="1" hidden="1">'P10'!$I$4,'P10'!$I$5,'P10'!$I$6,'P10'!$I$7,'P10'!$I$8,'P10'!$G$9,'P10'!$H$9,'P10'!$I$9,'P10'!$I$11,'P10'!$I$13,'P10'!$I$14,'P10'!$I$15,'P10'!$I$16,'P10'!$G$17,'P10'!$H$17,'P10'!$I$17</definedName>
    <definedName name="QB_FORMULA_0" localSheetId="6" hidden="1">'P5'!$G$9,'P5'!$G$18,'P5'!$G$24,'P5'!$G$28,'P5'!$G$34,'P5'!$G$35,'P5'!$G$36,'P5'!$G$48,'P5'!$G$58,'P5'!$G$64,'P5'!$G$65,'P5'!$G$70,'P5'!$G$71,'P5'!$G$72</definedName>
    <definedName name="QB_FORMULA_0" localSheetId="5" hidden="1">'P6'!$G$9,'P6'!$G$17,'P6'!$G$23,'P6'!$G$27,'P6'!$G$33,'P6'!$G$34,'P6'!$G$35,'P6'!$G$49,'P6'!$G$59,'P6'!$G$67,'P6'!$G$68,'P6'!$G$72,'P6'!$G$73,'P6'!$G$74</definedName>
    <definedName name="QB_FORMULA_0" localSheetId="4" hidden="1">'P7'!$G$9,'P7'!$G$18,'P7'!$G$24,'P7'!$G$28,'P7'!$G$34,'P7'!$G$35,'P7'!$G$36,'P7'!$G$48,'P7'!$G$59,'P7'!$G$67,'P7'!$G$68,'P7'!$G$72,'P7'!$G$73,'P7'!$G$74</definedName>
    <definedName name="QB_FORMULA_0" localSheetId="2" hidden="1">'P9'!$I$4,'P9'!$I$5,'P9'!$I$6,'P9'!$I$7,'P9'!$G$8,'P9'!$H$8,'P9'!$I$8,'P9'!$I$10,'P9'!$I$12,'P9'!$I$13,'P9'!$I$14,'P9'!$I$15,'P9'!$G$16,'P9'!$H$16,'P9'!$I$16,'P9'!$I$18</definedName>
    <definedName name="QB_FORMULA_1" localSheetId="1" hidden="1">'P10'!$I$19,'P10'!$I$20,'P10'!$I$21,'P10'!$I$22,'P10'!$G$23,'P10'!$H$23,'P10'!$I$23,'P10'!$I$25,'P10'!$G$26,'P10'!$H$26,'P10'!$I$26,'P10'!$I$28,'P10'!$I$29,'P10'!$I$30,'P10'!$I$31,'P10'!$G$32</definedName>
    <definedName name="QB_FORMULA_1" localSheetId="2" hidden="1">'P9'!$I$19,'P9'!$I$20,'P9'!$I$21,'P9'!$G$22,'P9'!$H$22,'P9'!$I$22,'P9'!$I$24,'P9'!$I$25,'P9'!$G$26,'P9'!$H$26,'P9'!$I$26,'P9'!$I$28,'P9'!$I$29,'P9'!$I$30,'P9'!$I$31,'P9'!$G$32</definedName>
    <definedName name="QB_FORMULA_2" localSheetId="1" hidden="1">'P10'!$H$32,'P10'!$I$32,'P10'!$G$33,'P10'!$H$33,'P10'!$I$33,'P10'!$G$34,'P10'!$H$34,'P10'!$I$34,'P10'!$I$36,'P10'!$I$37,'P10'!$I$38,'P10'!$I$39,'P10'!$I$40,'P10'!$I$41,'P10'!$I$43,'P10'!$I$44</definedName>
    <definedName name="QB_FORMULA_2" localSheetId="2" hidden="1">'P9'!$H$32,'P9'!$I$32,'P9'!$G$33,'P9'!$H$33,'P9'!$I$33,'P9'!$G$34,'P9'!$H$34,'P9'!$I$34,'P9'!$I$36,'P9'!$I$37,'P9'!$I$38,'P9'!$I$39,'P9'!$I$40,'P9'!$I$41,'P9'!$I$42,'P9'!$I$44</definedName>
    <definedName name="QB_FORMULA_3" localSheetId="1" hidden="1">'P10'!$I$45,'P10'!$I$46,'P10'!$G$47,'P10'!$H$47,'P10'!$I$47,'P10'!$I$48,'P10'!$I$49,'P10'!$I$50,'P10'!$I$51,'P10'!$I$52,'P10'!$I$54,'P10'!$I$55,'P10'!$G$56,'P10'!$H$56,'P10'!$I$56,'P10'!$I$57</definedName>
    <definedName name="QB_FORMULA_3" localSheetId="2" hidden="1">'P9'!$I$45,'P9'!$I$46,'P9'!$G$47,'P9'!$H$47,'P9'!$I$47,'P9'!$I$48,'P9'!$I$49,'P9'!$I$50,'P9'!$I$51,'P9'!$I$53,'P9'!$I$54,'P9'!$G$55,'P9'!$H$55,'P9'!$I$55,'P9'!$I$56,'P9'!$I$57</definedName>
    <definedName name="QB_FORMULA_4" localSheetId="1" hidden="1">'P10'!$I$58,'P10'!$I$59,'P10'!$I$60,'P10'!$I$61,'P10'!$G$62,'P10'!$H$62,'P10'!$I$62,'P10'!$G$63,'P10'!$H$63,'P10'!$I$63,'P10'!$I$66,'P10'!$G$67,'P10'!$H$67,'P10'!$I$67,'P10'!$I$69,'P10'!$G$70</definedName>
    <definedName name="QB_FORMULA_4" localSheetId="2" hidden="1">'P9'!$I$58,'P9'!$I$59,'P9'!$I$60,'P9'!$I$61,'P9'!$I$62,'P9'!$G$63,'P9'!$H$63,'P9'!$I$63,'P9'!$G$64,'P9'!$H$64,'P9'!$I$64,'P9'!$I$67,'P9'!$G$68,'P9'!$H$68,'P9'!$I$68,'P9'!$G$69</definedName>
    <definedName name="QB_FORMULA_5" localSheetId="1" hidden="1">'P10'!$H$70,'P10'!$I$70,'P10'!$G$71,'P10'!$H$71,'P10'!$I$71,'P10'!$G$72,'P10'!$H$72,'P10'!$I$72</definedName>
    <definedName name="QB_FORMULA_5" localSheetId="2" hidden="1">'P9'!$H$69,'P9'!$I$69,'P9'!$G$70,'P9'!$H$70,'P9'!$I$70</definedName>
    <definedName name="QB_ROW_103250" localSheetId="12" hidden="1">'2Jan-29Jan-QB extract-16thMar '!$F$30</definedName>
    <definedName name="QB_ROW_103250" localSheetId="11" hidden="1">'Jan 30 - Feb 26qb'!$F$33</definedName>
    <definedName name="QB_ROW_103250" localSheetId="1" hidden="1">'P10'!$F$30</definedName>
    <definedName name="QB_ROW_103250" localSheetId="6" hidden="1">'P5'!$F$32</definedName>
    <definedName name="QB_ROW_103250" localSheetId="5" hidden="1">'P6'!$F$31</definedName>
    <definedName name="QB_ROW_103250" localSheetId="4" hidden="1">'P7'!$F$32</definedName>
    <definedName name="QB_ROW_103250" localSheetId="2" hidden="1">'P9'!$F$30</definedName>
    <definedName name="QB_ROW_1040" localSheetId="1" hidden="1">'P10'!$E$53</definedName>
    <definedName name="QB_ROW_1040" localSheetId="6" hidden="1">'P5'!$E$55</definedName>
    <definedName name="QB_ROW_1040" localSheetId="5" hidden="1">'P6'!$E$56</definedName>
    <definedName name="QB_ROW_1040" localSheetId="4" hidden="1">'P7'!$E$56</definedName>
    <definedName name="QB_ROW_1040" localSheetId="2" hidden="1">'P9'!$E$52</definedName>
    <definedName name="QB_ROW_105250" localSheetId="12" hidden="1">'2Jan-29Jan-QB extract-16thMar '!$F$23</definedName>
    <definedName name="QB_ROW_105250" localSheetId="11" hidden="1">'Jan 30 - Feb 26qb'!$F$25</definedName>
    <definedName name="QB_ROW_105250" localSheetId="1" hidden="1">'P10'!$F$22</definedName>
    <definedName name="QB_ROW_105250" localSheetId="6" hidden="1">'P5'!$F$23</definedName>
    <definedName name="QB_ROW_105250" localSheetId="5" hidden="1">'P6'!$F$22</definedName>
    <definedName name="QB_ROW_105250" localSheetId="4" hidden="1">'P7'!$F$23</definedName>
    <definedName name="QB_ROW_105250" localSheetId="2" hidden="1">'P9'!$F$21</definedName>
    <definedName name="QB_ROW_106250" localSheetId="12" hidden="1">'2Jan-29Jan-QB extract-16thMar '!$F$15</definedName>
    <definedName name="QB_ROW_106250" localSheetId="11" hidden="1">'Jan 30 - Feb 26qb'!$F$17</definedName>
    <definedName name="QB_ROW_106250" localSheetId="1" hidden="1">'P10'!$F$14</definedName>
    <definedName name="QB_ROW_106250" localSheetId="6" hidden="1">'P5'!$F$15</definedName>
    <definedName name="QB_ROW_106250" localSheetId="5" hidden="1">'P6'!$F$14</definedName>
    <definedName name="QB_ROW_106250" localSheetId="4" hidden="1">'P7'!$F$15</definedName>
    <definedName name="QB_ROW_106250" localSheetId="2" hidden="1">'P9'!$F$13</definedName>
    <definedName name="QB_ROW_11240" localSheetId="12" hidden="1">'2Jan-29Jan-QB extract-16thMar '!$E$12</definedName>
    <definedName name="QB_ROW_11240" localSheetId="11" hidden="1">'Jan 30 - Feb 26qb'!$E$14</definedName>
    <definedName name="QB_ROW_11240" localSheetId="1" hidden="1">'P10'!$E$11</definedName>
    <definedName name="QB_ROW_11240" localSheetId="6" hidden="1">'P5'!$E$11</definedName>
    <definedName name="QB_ROW_11240" localSheetId="5" hidden="1">'P6'!$E$11</definedName>
    <definedName name="QB_ROW_11240" localSheetId="4" hidden="1">'P7'!$E$11</definedName>
    <definedName name="QB_ROW_11240" localSheetId="2" hidden="1">'P9'!$E$10</definedName>
    <definedName name="QB_ROW_1250" localSheetId="1" hidden="1">'P10'!$F$55</definedName>
    <definedName name="QB_ROW_1250" localSheetId="6" hidden="1">'P5'!$F$57</definedName>
    <definedName name="QB_ROW_1250" localSheetId="5" hidden="1">'P6'!$F$58</definedName>
    <definedName name="QB_ROW_1250" localSheetId="4" hidden="1">'P7'!$F$58</definedName>
    <definedName name="QB_ROW_1250" localSheetId="2" hidden="1">'P9'!$F$54</definedName>
    <definedName name="QB_ROW_133240" localSheetId="2" hidden="1">'P9'!$E$39</definedName>
    <definedName name="QB_ROW_1340" localSheetId="12" hidden="1">'2Jan-29Jan-QB extract-16thMar '!$E$52</definedName>
    <definedName name="QB_ROW_1340" localSheetId="11" hidden="1">'Jan 30 - Feb 26qb'!$E$56</definedName>
    <definedName name="QB_ROW_1340" localSheetId="1" hidden="1">'P10'!$E$56</definedName>
    <definedName name="QB_ROW_1340" localSheetId="6" hidden="1">'P5'!$E$58</definedName>
    <definedName name="QB_ROW_1340" localSheetId="5" hidden="1">'P6'!$E$59</definedName>
    <definedName name="QB_ROW_1340" localSheetId="4" hidden="1">'P7'!$E$59</definedName>
    <definedName name="QB_ROW_1340" localSheetId="2" hidden="1">'P9'!$E$55</definedName>
    <definedName name="QB_ROW_14240" localSheetId="12" hidden="1">'2Jan-29Jan-QB extract-16thMar '!$E$41</definedName>
    <definedName name="QB_ROW_14240" localSheetId="1" hidden="1">'P10'!$E$41</definedName>
    <definedName name="QB_ROW_14240" localSheetId="6" hidden="1">'P5'!$E$43</definedName>
    <definedName name="QB_ROW_14240" localSheetId="5" hidden="1">'P6'!$E$43</definedName>
    <definedName name="QB_ROW_14240" localSheetId="4" hidden="1">'P7'!$E$42</definedName>
    <definedName name="QB_ROW_14240" localSheetId="2" hidden="1">'P9'!$E$42</definedName>
    <definedName name="QB_ROW_156250" localSheetId="1" hidden="1">'P10'!$F$29</definedName>
    <definedName name="QB_ROW_156250" localSheetId="6" hidden="1">'P5'!$F$31</definedName>
    <definedName name="QB_ROW_156250" localSheetId="5" hidden="1">'P6'!$F$30</definedName>
    <definedName name="QB_ROW_156250" localSheetId="4" hidden="1">'P7'!$F$31</definedName>
    <definedName name="QB_ROW_156250" localSheetId="2" hidden="1">'P9'!$F$29</definedName>
    <definedName name="QB_ROW_157250" localSheetId="1" hidden="1">'P10'!$F$28</definedName>
    <definedName name="QB_ROW_157250" localSheetId="6" hidden="1">'P5'!$F$30</definedName>
    <definedName name="QB_ROW_157250" localSheetId="5" hidden="1">'P6'!$F$29</definedName>
    <definedName name="QB_ROW_157250" localSheetId="4" hidden="1">'P7'!$F$30</definedName>
    <definedName name="QB_ROW_157250" localSheetId="2" hidden="1">'P9'!$F$28</definedName>
    <definedName name="QB_ROW_16040" localSheetId="12" hidden="1">'2Jan-29Jan-QB extract-16thMar '!$E$42</definedName>
    <definedName name="QB_ROW_16040" localSheetId="11" hidden="1">'Jan 30 - Feb 26qb'!$E$43</definedName>
    <definedName name="QB_ROW_16040" localSheetId="1" hidden="1">'P10'!$E$42</definedName>
    <definedName name="QB_ROW_16040" localSheetId="6" hidden="1">'P5'!$E$44</definedName>
    <definedName name="QB_ROW_16040" localSheetId="5" hidden="1">'P6'!$E$44</definedName>
    <definedName name="QB_ROW_16040" localSheetId="4" hidden="1">'P7'!$E$43</definedName>
    <definedName name="QB_ROW_16040" localSheetId="2" hidden="1">'P9'!$E$43</definedName>
    <definedName name="QB_ROW_16250" localSheetId="11" hidden="1">'Jan 30 - Feb 26qb'!$F$46</definedName>
    <definedName name="QB_ROW_16250" localSheetId="1" hidden="1">'P10'!$F$46</definedName>
    <definedName name="QB_ROW_16250" localSheetId="6" hidden="1">'P5'!$F$47</definedName>
    <definedName name="QB_ROW_16250" localSheetId="5" hidden="1">'P6'!$F$48</definedName>
    <definedName name="QB_ROW_16250" localSheetId="4" hidden="1">'P7'!$F$47</definedName>
    <definedName name="QB_ROW_16340" localSheetId="12" hidden="1">'2Jan-29Jan-QB extract-16thMar '!$E$44</definedName>
    <definedName name="QB_ROW_16340" localSheetId="11" hidden="1">'Jan 30 - Feb 26qb'!$E$47</definedName>
    <definedName name="QB_ROW_16340" localSheetId="1" hidden="1">'P10'!$E$47</definedName>
    <definedName name="QB_ROW_16340" localSheetId="6" hidden="1">'P5'!$E$48</definedName>
    <definedName name="QB_ROW_16340" localSheetId="5" hidden="1">'P6'!$E$49</definedName>
    <definedName name="QB_ROW_16340" localSheetId="4" hidden="1">'P7'!$E$48</definedName>
    <definedName name="QB_ROW_16340" localSheetId="2" hidden="1">'P9'!$E$47</definedName>
    <definedName name="QB_ROW_169340" localSheetId="12" hidden="1">'2Jan-29Jan-QB extract-16thMar '!$E$8</definedName>
    <definedName name="QB_ROW_169340" localSheetId="11" hidden="1">'Jan 30 - Feb 26qb'!$E$10</definedName>
    <definedName name="QB_ROW_17250" localSheetId="12" hidden="1">'2Jan-29Jan-QB extract-16thMar '!$F$43</definedName>
    <definedName name="QB_ROW_17250" localSheetId="11" hidden="1">'Jan 30 - Feb 26qb'!$F$44</definedName>
    <definedName name="QB_ROW_17250" localSheetId="1" hidden="1">'P10'!$F$43</definedName>
    <definedName name="QB_ROW_17250" localSheetId="6" hidden="1">'P5'!$F$45</definedName>
    <definedName name="QB_ROW_17250" localSheetId="5" hidden="1">'P6'!$F$45</definedName>
    <definedName name="QB_ROW_17250" localSheetId="4" hidden="1">'P7'!$F$44</definedName>
    <definedName name="QB_ROW_17250" localSheetId="2" hidden="1">'P9'!$F$44</definedName>
    <definedName name="QB_ROW_177040" localSheetId="12" hidden="1">'2Jan-29Jan-QB extract-16thMar '!$E$19</definedName>
    <definedName name="QB_ROW_177040" localSheetId="11" hidden="1">'Jan 30 - Feb 26qb'!$E$21</definedName>
    <definedName name="QB_ROW_177040" localSheetId="1" hidden="1">'P10'!$E$18</definedName>
    <definedName name="QB_ROW_177040" localSheetId="6" hidden="1">'P5'!$E$19</definedName>
    <definedName name="QB_ROW_177040" localSheetId="5" hidden="1">'P6'!$E$18</definedName>
    <definedName name="QB_ROW_177040" localSheetId="4" hidden="1">'P7'!$E$19</definedName>
    <definedName name="QB_ROW_177040" localSheetId="2" hidden="1">'P9'!$E$17</definedName>
    <definedName name="QB_ROW_177250" localSheetId="11" hidden="1">'Jan 30 - Feb 26qb'!$F$26</definedName>
    <definedName name="QB_ROW_177340" localSheetId="12" hidden="1">'2Jan-29Jan-QB extract-16thMar '!$E$24</definedName>
    <definedName name="QB_ROW_177340" localSheetId="11" hidden="1">'Jan 30 - Feb 26qb'!$E$27</definedName>
    <definedName name="QB_ROW_177340" localSheetId="1" hidden="1">'P10'!$E$23</definedName>
    <definedName name="QB_ROW_177340" localSheetId="6" hidden="1">'P5'!$E$24</definedName>
    <definedName name="QB_ROW_177340" localSheetId="5" hidden="1">'P6'!$E$23</definedName>
    <definedName name="QB_ROW_177340" localSheetId="4" hidden="1">'P7'!$E$24</definedName>
    <definedName name="QB_ROW_177340" localSheetId="2" hidden="1">'P9'!$E$22</definedName>
    <definedName name="QB_ROW_181340" localSheetId="12" hidden="1">'2Jan-29Jan-QB extract-16thMar '!$E$5</definedName>
    <definedName name="QB_ROW_181340" localSheetId="11" hidden="1">'Jan 30 - Feb 26qb'!$E$7</definedName>
    <definedName name="QB_ROW_181340" localSheetId="1" hidden="1">'P10'!$E$5</definedName>
    <definedName name="QB_ROW_181340" localSheetId="6" hidden="1">'P5'!$E$5</definedName>
    <definedName name="QB_ROW_181340" localSheetId="5" hidden="1">'P6'!$E$5</definedName>
    <definedName name="QB_ROW_181340" localSheetId="4" hidden="1">'P7'!$E$5</definedName>
    <definedName name="QB_ROW_181340" localSheetId="2" hidden="1">'P9'!$E$4</definedName>
    <definedName name="QB_ROW_18240" localSheetId="12" hidden="1">'2Jan-29Jan-QB extract-16thMar '!$E$47</definedName>
    <definedName name="QB_ROW_18240" localSheetId="11" hidden="1">'Jan 30 - Feb 26qb'!$E$50</definedName>
    <definedName name="QB_ROW_18240" localSheetId="4" hidden="1">'P7'!$E$50</definedName>
    <definedName name="QB_ROW_18301" localSheetId="12" hidden="1">'2Jan-29Jan-QB extract-16thMar '!$A$66</definedName>
    <definedName name="QB_ROW_18301" localSheetId="11" hidden="1">'Jan 30 - Feb 26qb'!$A$70</definedName>
    <definedName name="QB_ROW_18301" localSheetId="1" hidden="1">'P10'!$A$72</definedName>
    <definedName name="QB_ROW_18301" localSheetId="6" hidden="1">'P5'!$A$72</definedName>
    <definedName name="QB_ROW_18301" localSheetId="5" hidden="1">'P6'!$A$74</definedName>
    <definedName name="QB_ROW_18301" localSheetId="4" hidden="1">'P7'!$A$74</definedName>
    <definedName name="QB_ROW_18301" localSheetId="2" hidden="1">'P9'!$A$70</definedName>
    <definedName name="QB_ROW_189240" localSheetId="11" hidden="1">'Jan 30 - Feb 26qb'!$E$59</definedName>
    <definedName name="QB_ROW_189240" localSheetId="1" hidden="1">'P10'!$E$59</definedName>
    <definedName name="QB_ROW_189240" localSheetId="6" hidden="1">'P5'!$E$61</definedName>
    <definedName name="QB_ROW_189240" localSheetId="5" hidden="1">'P6'!$E$64</definedName>
    <definedName name="QB_ROW_189240" localSheetId="4" hidden="1">'P7'!$E$64</definedName>
    <definedName name="QB_ROW_189240" localSheetId="2" hidden="1">'P9'!$E$60</definedName>
    <definedName name="QB_ROW_19011" localSheetId="12" hidden="1">'2Jan-29Jan-QB extract-16thMar '!$B$3</definedName>
    <definedName name="QB_ROW_19011" localSheetId="11" hidden="1">'Jan 30 - Feb 26qb'!$B$5</definedName>
    <definedName name="QB_ROW_19011" localSheetId="1" hidden="1">'P10'!$B$2</definedName>
    <definedName name="QB_ROW_19011" localSheetId="6" hidden="1">'P5'!$B$2</definedName>
    <definedName name="QB_ROW_19011" localSheetId="5" hidden="1">'P6'!$B$2</definedName>
    <definedName name="QB_ROW_19011" localSheetId="4" hidden="1">'P7'!$B$2</definedName>
    <definedName name="QB_ROW_19011" localSheetId="2" hidden="1">'P9'!$B$2</definedName>
    <definedName name="QB_ROW_19240" localSheetId="12" hidden="1">'2Jan-29Jan-QB extract-16thMar '!$E$55</definedName>
    <definedName name="QB_ROW_19240" localSheetId="11" hidden="1">'Jan 30 - Feb 26qb'!$E$57</definedName>
    <definedName name="QB_ROW_19240" localSheetId="1" hidden="1">'P10'!$E$57</definedName>
    <definedName name="QB_ROW_19240" localSheetId="6" hidden="1">'P5'!$E$59</definedName>
    <definedName name="QB_ROW_19240" localSheetId="5" hidden="1">'P6'!$E$62</definedName>
    <definedName name="QB_ROW_19240" localSheetId="4" hidden="1">'P7'!$E$62</definedName>
    <definedName name="QB_ROW_19240" localSheetId="2" hidden="1">'P9'!$E$58</definedName>
    <definedName name="QB_ROW_19311" localSheetId="12" hidden="1">'2Jan-29Jan-QB extract-16thMar '!$B$59</definedName>
    <definedName name="QB_ROW_19311" localSheetId="11" hidden="1">'Jan 30 - Feb 26qb'!$B$63</definedName>
    <definedName name="QB_ROW_19311" localSheetId="1" hidden="1">'P10'!$B$63</definedName>
    <definedName name="QB_ROW_19311" localSheetId="6" hidden="1">'P5'!$B$65</definedName>
    <definedName name="QB_ROW_19311" localSheetId="5" hidden="1">'P6'!$B$68</definedName>
    <definedName name="QB_ROW_19311" localSheetId="4" hidden="1">'P7'!$B$68</definedName>
    <definedName name="QB_ROW_19311" localSheetId="2" hidden="1">'P9'!$B$64</definedName>
    <definedName name="QB_ROW_20031" localSheetId="12" hidden="1">'2Jan-29Jan-QB extract-16thMar '!$D$4</definedName>
    <definedName name="QB_ROW_20031" localSheetId="11" hidden="1">'Jan 30 - Feb 26qb'!$D$6</definedName>
    <definedName name="QB_ROW_20031" localSheetId="1" hidden="1">'P10'!$D$3</definedName>
    <definedName name="QB_ROW_20031" localSheetId="6" hidden="1">'P5'!$D$3</definedName>
    <definedName name="QB_ROW_20031" localSheetId="5" hidden="1">'P6'!$D$3</definedName>
    <definedName name="QB_ROW_20031" localSheetId="4" hidden="1">'P7'!$D$3</definedName>
    <definedName name="QB_ROW_20031" localSheetId="2" hidden="1">'P9'!$D$3</definedName>
    <definedName name="QB_ROW_20331" localSheetId="12" hidden="1">'2Jan-29Jan-QB extract-16thMar '!$D$10</definedName>
    <definedName name="QB_ROW_20331" localSheetId="11" hidden="1">'Jan 30 - Feb 26qb'!$D$12</definedName>
    <definedName name="QB_ROW_20331" localSheetId="1" hidden="1">'P10'!$D$9</definedName>
    <definedName name="QB_ROW_20331" localSheetId="6" hidden="1">'P5'!$D$9</definedName>
    <definedName name="QB_ROW_20331" localSheetId="5" hidden="1">'P6'!$D$9</definedName>
    <definedName name="QB_ROW_20331" localSheetId="4" hidden="1">'P7'!$D$9</definedName>
    <definedName name="QB_ROW_20331" localSheetId="2" hidden="1">'P9'!$D$8</definedName>
    <definedName name="QB_ROW_203340" localSheetId="12" hidden="1">'2Jan-29Jan-QB extract-16thMar '!$E$48</definedName>
    <definedName name="QB_ROW_203340" localSheetId="11" hidden="1">'Jan 30 - Feb 26qb'!$E$51</definedName>
    <definedName name="QB_ROW_203340" localSheetId="6" hidden="1">'P5'!$E$50</definedName>
    <definedName name="QB_ROW_203340" localSheetId="5" hidden="1">'P6'!$E$52</definedName>
    <definedName name="QB_ROW_203340" localSheetId="4" hidden="1">'P7'!$E$51</definedName>
    <definedName name="QB_ROW_203340" localSheetId="2" hidden="1">'P9'!$E$49</definedName>
    <definedName name="QB_ROW_210240" localSheetId="12" hidden="1">'2Jan-29Jan-QB extract-16thMar '!$E$7</definedName>
    <definedName name="QB_ROW_210240" localSheetId="11" hidden="1">'Jan 30 - Feb 26qb'!$E$9</definedName>
    <definedName name="QB_ROW_210240" localSheetId="1" hidden="1">'P10'!$E$7</definedName>
    <definedName name="QB_ROW_210240" localSheetId="6" hidden="1">'P5'!$E$7</definedName>
    <definedName name="QB_ROW_210240" localSheetId="5" hidden="1">'P6'!$E$7</definedName>
    <definedName name="QB_ROW_210240" localSheetId="4" hidden="1">'P7'!$E$7</definedName>
    <definedName name="QB_ROW_210240" localSheetId="2" hidden="1">'P9'!$E$6</definedName>
    <definedName name="QB_ROW_21031" localSheetId="12" hidden="1">'2Jan-29Jan-QB extract-16thMar '!$D$35</definedName>
    <definedName name="QB_ROW_21031" localSheetId="11" hidden="1">'Jan 30 - Feb 26qb'!$D$38</definedName>
    <definedName name="QB_ROW_21031" localSheetId="1" hidden="1">'P10'!$D$35</definedName>
    <definedName name="QB_ROW_21031" localSheetId="6" hidden="1">'P5'!$D$37</definedName>
    <definedName name="QB_ROW_21031" localSheetId="5" hidden="1">'P6'!$D$36</definedName>
    <definedName name="QB_ROW_21031" localSheetId="4" hidden="1">'P7'!$D$37</definedName>
    <definedName name="QB_ROW_21031" localSheetId="2" hidden="1">'P9'!$D$35</definedName>
    <definedName name="QB_ROW_21331" localSheetId="12" hidden="1">'2Jan-29Jan-QB extract-16thMar '!$D$58</definedName>
    <definedName name="QB_ROW_21331" localSheetId="11" hidden="1">'Jan 30 - Feb 26qb'!$D$62</definedName>
    <definedName name="QB_ROW_21331" localSheetId="1" hidden="1">'P10'!$D$62</definedName>
    <definedName name="QB_ROW_21331" localSheetId="6" hidden="1">'P5'!$D$64</definedName>
    <definedName name="QB_ROW_21331" localSheetId="5" hidden="1">'P6'!$D$67</definedName>
    <definedName name="QB_ROW_21331" localSheetId="4" hidden="1">'P7'!$D$67</definedName>
    <definedName name="QB_ROW_21331" localSheetId="2" hidden="1">'P9'!$D$63</definedName>
    <definedName name="QB_ROW_22011" localSheetId="12" hidden="1">'2Jan-29Jan-QB extract-16thMar '!$B$60</definedName>
    <definedName name="QB_ROW_22011" localSheetId="11" hidden="1">'Jan 30 - Feb 26qb'!$B$64</definedName>
    <definedName name="QB_ROW_22011" localSheetId="1" hidden="1">'P10'!$B$64</definedName>
    <definedName name="QB_ROW_22011" localSheetId="6" hidden="1">'P5'!$B$66</definedName>
    <definedName name="QB_ROW_22011" localSheetId="5" hidden="1">'P6'!$B$69</definedName>
    <definedName name="QB_ROW_22011" localSheetId="4" hidden="1">'P7'!$B$69</definedName>
    <definedName name="QB_ROW_22011" localSheetId="2" hidden="1">'P9'!$B$65</definedName>
    <definedName name="QB_ROW_22311" localSheetId="12" hidden="1">'2Jan-29Jan-QB extract-16thMar '!$B$65</definedName>
    <definedName name="QB_ROW_22311" localSheetId="11" hidden="1">'Jan 30 - Feb 26qb'!$B$69</definedName>
    <definedName name="QB_ROW_22311" localSheetId="1" hidden="1">'P10'!$B$71</definedName>
    <definedName name="QB_ROW_22311" localSheetId="6" hidden="1">'P5'!$B$71</definedName>
    <definedName name="QB_ROW_22311" localSheetId="5" hidden="1">'P6'!$B$73</definedName>
    <definedName name="QB_ROW_22311" localSheetId="4" hidden="1">'P7'!$B$73</definedName>
    <definedName name="QB_ROW_22311" localSheetId="2" hidden="1">'P9'!$B$69</definedName>
    <definedName name="QB_ROW_223240" localSheetId="12" hidden="1">'2Jan-29Jan-QB extract-16thMar '!$E$49</definedName>
    <definedName name="QB_ROW_223240" localSheetId="11" hidden="1">'Jan 30 - Feb 26qb'!$E$52</definedName>
    <definedName name="QB_ROW_223240" localSheetId="1" hidden="1">'P10'!$E$49</definedName>
    <definedName name="QB_ROW_223240" localSheetId="6" hidden="1">'P5'!$E$51</definedName>
    <definedName name="QB_ROW_223240" localSheetId="5" hidden="1">'P6'!$E$53</definedName>
    <definedName name="QB_ROW_223240" localSheetId="4" hidden="1">'P7'!$E$52</definedName>
    <definedName name="QB_ROW_22340" localSheetId="12" hidden="1">'2Jan-29Jan-QB extract-16thMar '!$E$56</definedName>
    <definedName name="QB_ROW_22340" localSheetId="11" hidden="1">'Jan 30 - Feb 26qb'!$E$58</definedName>
    <definedName name="QB_ROW_22340" localSheetId="1" hidden="1">'P10'!$E$58</definedName>
    <definedName name="QB_ROW_22340" localSheetId="6" hidden="1">'P5'!$E$60</definedName>
    <definedName name="QB_ROW_22340" localSheetId="5" hidden="1">'P6'!$E$63</definedName>
    <definedName name="QB_ROW_22340" localSheetId="4" hidden="1">'P7'!$E$63</definedName>
    <definedName name="QB_ROW_22340" localSheetId="2" hidden="1">'P9'!$E$59</definedName>
    <definedName name="QB_ROW_224240" localSheetId="12" hidden="1">'2Jan-29Jan-QB extract-16thMar '!$E$13</definedName>
    <definedName name="QB_ROW_224240" localSheetId="11" hidden="1">'Jan 30 - Feb 26qb'!$E$15</definedName>
    <definedName name="QB_ROW_23021" localSheetId="1" hidden="1">'P10'!$C$65</definedName>
    <definedName name="QB_ROW_23321" localSheetId="1" hidden="1">'P10'!$C$67</definedName>
    <definedName name="QB_ROW_235240" localSheetId="12" hidden="1">'2Jan-29Jan-QB extract-16thMar '!$E$40</definedName>
    <definedName name="QB_ROW_235240" localSheetId="11" hidden="1">'Jan 30 - Feb 26qb'!$E$42</definedName>
    <definedName name="QB_ROW_235240" localSheetId="5" hidden="1">'P6'!$E$42</definedName>
    <definedName name="QB_ROW_24021" localSheetId="12" hidden="1">'2Jan-29Jan-QB extract-16thMar '!$C$61</definedName>
    <definedName name="QB_ROW_24021" localSheetId="11" hidden="1">'Jan 30 - Feb 26qb'!$C$65</definedName>
    <definedName name="QB_ROW_24021" localSheetId="1" hidden="1">'P10'!$C$68</definedName>
    <definedName name="QB_ROW_24021" localSheetId="6" hidden="1">'P5'!$C$67</definedName>
    <definedName name="QB_ROW_24021" localSheetId="5" hidden="1">'P6'!$C$70</definedName>
    <definedName name="QB_ROW_24021" localSheetId="4" hidden="1">'P7'!$C$70</definedName>
    <definedName name="QB_ROW_24021" localSheetId="2" hidden="1">'P9'!$C$66</definedName>
    <definedName name="QB_ROW_24321" localSheetId="12" hidden="1">'2Jan-29Jan-QB extract-16thMar '!$C$64</definedName>
    <definedName name="QB_ROW_24321" localSheetId="11" hidden="1">'Jan 30 - Feb 26qb'!$C$68</definedName>
    <definedName name="QB_ROW_24321" localSheetId="1" hidden="1">'P10'!$C$70</definedName>
    <definedName name="QB_ROW_24321" localSheetId="6" hidden="1">'P5'!$C$70</definedName>
    <definedName name="QB_ROW_24321" localSheetId="5" hidden="1">'P6'!$C$72</definedName>
    <definedName name="QB_ROW_24321" localSheetId="4" hidden="1">'P7'!$C$72</definedName>
    <definedName name="QB_ROW_24321" localSheetId="2" hidden="1">'P9'!$C$68</definedName>
    <definedName name="QB_ROW_244240" localSheetId="1" hidden="1">'P10'!$E$37</definedName>
    <definedName name="QB_ROW_244240" localSheetId="5" hidden="1">'P6'!$E$38</definedName>
    <definedName name="QB_ROW_244240" localSheetId="2" hidden="1">'P9'!$E$37</definedName>
    <definedName name="QB_ROW_25240" localSheetId="12" hidden="1">'2Jan-29Jan-QB extract-16thMar '!$E$45</definedName>
    <definedName name="QB_ROW_25240" localSheetId="11" hidden="1">'Jan 30 - Feb 26qb'!$E$49</definedName>
    <definedName name="QB_ROW_25240" localSheetId="1" hidden="1">'P10'!$E$48</definedName>
    <definedName name="QB_ROW_25240" localSheetId="6" hidden="1">'P5'!$E$49</definedName>
    <definedName name="QB_ROW_25240" localSheetId="5" hidden="1">'P6'!$E$50</definedName>
    <definedName name="QB_ROW_25240" localSheetId="4" hidden="1">'P7'!$E$49</definedName>
    <definedName name="QB_ROW_25240" localSheetId="2" hidden="1">'P9'!$E$48</definedName>
    <definedName name="QB_ROW_256040" localSheetId="12" hidden="1">'2Jan-29Jan-QB extract-16thMar '!$E$25</definedName>
    <definedName name="QB_ROW_256040" localSheetId="11" hidden="1">'Jan 30 - Feb 26qb'!$E$28</definedName>
    <definedName name="QB_ROW_256040" localSheetId="1" hidden="1">'P10'!$E$24</definedName>
    <definedName name="QB_ROW_256040" localSheetId="6" hidden="1">'P5'!$E$25</definedName>
    <definedName name="QB_ROW_256040" localSheetId="5" hidden="1">'P6'!$E$24</definedName>
    <definedName name="QB_ROW_256040" localSheetId="4" hidden="1">'P7'!$E$25</definedName>
    <definedName name="QB_ROW_256040" localSheetId="2" hidden="1">'P9'!$E$23</definedName>
    <definedName name="QB_ROW_256250" localSheetId="12" hidden="1">'2Jan-29Jan-QB extract-16thMar '!$F$27</definedName>
    <definedName name="QB_ROW_256250" localSheetId="11" hidden="1">'Jan 30 - Feb 26qb'!$F$30</definedName>
    <definedName name="QB_ROW_256250" localSheetId="6" hidden="1">'P5'!$F$27</definedName>
    <definedName name="QB_ROW_256250" localSheetId="5" hidden="1">'P6'!$F$26</definedName>
    <definedName name="QB_ROW_256250" localSheetId="4" hidden="1">'P7'!$F$27</definedName>
    <definedName name="QB_ROW_256250" localSheetId="2" hidden="1">'P9'!$F$25</definedName>
    <definedName name="QB_ROW_256340" localSheetId="12" hidden="1">'2Jan-29Jan-QB extract-16thMar '!$E$28</definedName>
    <definedName name="QB_ROW_256340" localSheetId="11" hidden="1">'Jan 30 - Feb 26qb'!$E$31</definedName>
    <definedName name="QB_ROW_256340" localSheetId="1" hidden="1">'P10'!$E$26</definedName>
    <definedName name="QB_ROW_256340" localSheetId="6" hidden="1">'P5'!$E$28</definedName>
    <definedName name="QB_ROW_256340" localSheetId="5" hidden="1">'P6'!$E$27</definedName>
    <definedName name="QB_ROW_256340" localSheetId="4" hidden="1">'P7'!$E$28</definedName>
    <definedName name="QB_ROW_256340" localSheetId="2" hidden="1">'P9'!$E$26</definedName>
    <definedName name="QB_ROW_27230" localSheetId="12" hidden="1">'2Jan-29Jan-QB extract-16thMar '!$D$63</definedName>
    <definedName name="QB_ROW_27230" localSheetId="11" hidden="1">'Jan 30 - Feb 26qb'!$D$67</definedName>
    <definedName name="QB_ROW_27330" localSheetId="6" hidden="1">'P5'!$D$69</definedName>
    <definedName name="QB_ROW_29330" localSheetId="1" hidden="1">'P10'!$D$66</definedName>
    <definedName name="QB_ROW_299240" localSheetId="12" hidden="1">'2Jan-29Jan-QB extract-16thMar '!$E$54</definedName>
    <definedName name="QB_ROW_299240" localSheetId="5" hidden="1">'P6'!$E$61</definedName>
    <definedName name="QB_ROW_299240" localSheetId="4" hidden="1">'P7'!$E$61</definedName>
    <definedName name="QB_ROW_299240" localSheetId="2" hidden="1">'P9'!$E$57</definedName>
    <definedName name="QB_ROW_30340" localSheetId="12" hidden="1">'2Jan-29Jan-QB extract-16thMar '!$E$37</definedName>
    <definedName name="QB_ROW_30340" localSheetId="11" hidden="1">'Jan 30 - Feb 26qb'!$E$39</definedName>
    <definedName name="QB_ROW_30340" localSheetId="1" hidden="1">'P10'!$E$38</definedName>
    <definedName name="QB_ROW_30340" localSheetId="6" hidden="1">'P5'!$E$40</definedName>
    <definedName name="QB_ROW_30340" localSheetId="5" hidden="1">'P6'!$E$39</definedName>
    <definedName name="QB_ROW_30340" localSheetId="4" hidden="1">'P7'!$E$39</definedName>
    <definedName name="QB_ROW_30340" localSheetId="2" hidden="1">'P9'!$E$38</definedName>
    <definedName name="QB_ROW_315230" localSheetId="12" hidden="1">'2Jan-29Jan-QB extract-16thMar '!$D$62</definedName>
    <definedName name="QB_ROW_315230" localSheetId="11" hidden="1">'Jan 30 - Feb 26qb'!$D$66</definedName>
    <definedName name="QB_ROW_315230" localSheetId="1" hidden="1">'P10'!$D$69</definedName>
    <definedName name="QB_ROW_315230" localSheetId="6" hidden="1">'P5'!$D$68</definedName>
    <definedName name="QB_ROW_315230" localSheetId="5" hidden="1">'P6'!$D$71</definedName>
    <definedName name="QB_ROW_315230" localSheetId="4" hidden="1">'P7'!$D$71</definedName>
    <definedName name="QB_ROW_315230" localSheetId="2" hidden="1">'P9'!$D$67</definedName>
    <definedName name="QB_ROW_316250" localSheetId="12" hidden="1">'2Jan-29Jan-QB extract-16thMar '!$F$16</definedName>
    <definedName name="QB_ROW_316250" localSheetId="11" hidden="1">'Jan 30 - Feb 26qb'!$F$18</definedName>
    <definedName name="QB_ROW_316250" localSheetId="1" hidden="1">'P10'!$F$15</definedName>
    <definedName name="QB_ROW_316250" localSheetId="6" hidden="1">'P5'!$F$16</definedName>
    <definedName name="QB_ROW_316250" localSheetId="5" hidden="1">'P6'!$F$15</definedName>
    <definedName name="QB_ROW_316250" localSheetId="4" hidden="1">'P7'!$F$16</definedName>
    <definedName name="QB_ROW_316250" localSheetId="2" hidden="1">'P9'!$F$14</definedName>
    <definedName name="QB_ROW_319240" localSheetId="12" hidden="1">'2Jan-29Jan-QB extract-16thMar '!$E$53</definedName>
    <definedName name="QB_ROW_319240" localSheetId="5" hidden="1">'P6'!$E$60</definedName>
    <definedName name="QB_ROW_319240" localSheetId="4" hidden="1">'P7'!$E$60</definedName>
    <definedName name="QB_ROW_319240" localSheetId="2" hidden="1">'P9'!$E$56</definedName>
    <definedName name="QB_ROW_341240" localSheetId="11" hidden="1">'Jan 30 - Feb 26qb'!$E$53</definedName>
    <definedName name="QB_ROW_341240" localSheetId="1" hidden="1">'P10'!$E$50</definedName>
    <definedName name="QB_ROW_341240" localSheetId="6" hidden="1">'P5'!$E$52</definedName>
    <definedName name="QB_ROW_341240" localSheetId="5" hidden="1">'P6'!$E$54</definedName>
    <definedName name="QB_ROW_341240" localSheetId="4" hidden="1">'P7'!$E$53</definedName>
    <definedName name="QB_ROW_341240" localSheetId="2" hidden="1">'P9'!$E$50</definedName>
    <definedName name="QB_ROW_344240" localSheetId="12" hidden="1">'2Jan-29Jan-QB extract-16thMar '!$E$36</definedName>
    <definedName name="QB_ROW_344240" localSheetId="1" hidden="1">'P10'!$E$36</definedName>
    <definedName name="QB_ROW_344240" localSheetId="6" hidden="1">'P5'!$E$39</definedName>
    <definedName name="QB_ROW_344240" localSheetId="5" hidden="1">'P6'!$E$37</definedName>
    <definedName name="QB_ROW_344240" localSheetId="4" hidden="1">'P7'!$E$38</definedName>
    <definedName name="QB_ROW_344240" localSheetId="2" hidden="1">'P9'!$E$36</definedName>
    <definedName name="QB_ROW_358250" localSheetId="12" hidden="1">'2Jan-29Jan-QB extract-16thMar '!$F$26</definedName>
    <definedName name="QB_ROW_358250" localSheetId="11" hidden="1">'Jan 30 - Feb 26qb'!$F$29</definedName>
    <definedName name="QB_ROW_358250" localSheetId="1" hidden="1">'P10'!$F$25</definedName>
    <definedName name="QB_ROW_358250" localSheetId="6" hidden="1">'P5'!$F$26</definedName>
    <definedName name="QB_ROW_358250" localSheetId="5" hidden="1">'P6'!$F$25</definedName>
    <definedName name="QB_ROW_358250" localSheetId="4" hidden="1">'P7'!$F$26</definedName>
    <definedName name="QB_ROW_358250" localSheetId="2" hidden="1">'P9'!$F$24</definedName>
    <definedName name="QB_ROW_374240" localSheetId="6" hidden="1">'P5'!$E$12</definedName>
    <definedName name="QB_ROW_376240" localSheetId="6" hidden="1">'P5'!$E$38</definedName>
    <definedName name="QB_ROW_42240" localSheetId="11" hidden="1">'Jan 30 - Feb 26qb'!$E$48</definedName>
    <definedName name="QB_ROW_423250" localSheetId="1" hidden="1">'P10'!$F$13</definedName>
    <definedName name="QB_ROW_423250" localSheetId="6" hidden="1">'P5'!$F$14</definedName>
    <definedName name="QB_ROW_423250" localSheetId="5" hidden="1">'P6'!$F$13</definedName>
    <definedName name="QB_ROW_423250" localSheetId="4" hidden="1">'P7'!$F$14</definedName>
    <definedName name="QB_ROW_423250" localSheetId="2" hidden="1">'P9'!$F$12</definedName>
    <definedName name="QB_ROW_43240" localSheetId="12" hidden="1">'2Jan-29Jan-QB extract-16thMar '!$E$46</definedName>
    <definedName name="QB_ROW_43240" localSheetId="5" hidden="1">'P6'!$E$51</definedName>
    <definedName name="QB_ROW_435240" localSheetId="1" hidden="1">'P10'!$E$4</definedName>
    <definedName name="QB_ROW_435240" localSheetId="6" hidden="1">'P5'!$E$4</definedName>
    <definedName name="QB_ROW_435240" localSheetId="5" hidden="1">'P6'!$E$4</definedName>
    <definedName name="QB_ROW_435240" localSheetId="4" hidden="1">'P7'!$E$4</definedName>
    <definedName name="QB_ROW_46250" localSheetId="11" hidden="1">'Jan 30 - Feb 26qb'!$F$45</definedName>
    <definedName name="QB_ROW_46250" localSheetId="1" hidden="1">'P10'!$F$44</definedName>
    <definedName name="QB_ROW_46250" localSheetId="6" hidden="1">'P5'!$F$46</definedName>
    <definedName name="QB_ROW_46250" localSheetId="5" hidden="1">'P6'!$F$46</definedName>
    <definedName name="QB_ROW_46250" localSheetId="4" hidden="1">'P7'!$F$45</definedName>
    <definedName name="QB_ROW_46250" localSheetId="2" hidden="1">'P9'!$F$45</definedName>
    <definedName name="QB_ROW_47240" localSheetId="12" hidden="1">'2Jan-29Jan-QB extract-16thMar '!$E$50</definedName>
    <definedName name="QB_ROW_47240" localSheetId="11" hidden="1">'Jan 30 - Feb 26qb'!$E$54</definedName>
    <definedName name="QB_ROW_47240" localSheetId="1" hidden="1">'P10'!$E$51</definedName>
    <definedName name="QB_ROW_47240" localSheetId="6" hidden="1">'P5'!$E$53</definedName>
    <definedName name="QB_ROW_47240" localSheetId="4" hidden="1">'P7'!$E$54</definedName>
    <definedName name="QB_ROW_48240" localSheetId="12" hidden="1">'2Jan-29Jan-QB extract-16thMar '!$E$51</definedName>
    <definedName name="QB_ROW_48240" localSheetId="11" hidden="1">'Jan 30 - Feb 26qb'!$E$55</definedName>
    <definedName name="QB_ROW_48240" localSheetId="1" hidden="1">'P10'!$E$52</definedName>
    <definedName name="QB_ROW_48240" localSheetId="6" hidden="1">'P5'!$E$54</definedName>
    <definedName name="QB_ROW_48240" localSheetId="4" hidden="1">'P7'!$E$55</definedName>
    <definedName name="QB_ROW_48240" localSheetId="2" hidden="1">'P9'!$E$51</definedName>
    <definedName name="QB_ROW_5240" localSheetId="12" hidden="1">'2Jan-29Jan-QB extract-16thMar '!$E$9</definedName>
    <definedName name="QB_ROW_5240" localSheetId="11" hidden="1">'Jan 30 - Feb 26qb'!$E$11</definedName>
    <definedName name="QB_ROW_5240" localSheetId="1" hidden="1">'P10'!$E$8</definedName>
    <definedName name="QB_ROW_5240" localSheetId="6" hidden="1">'P5'!$E$8</definedName>
    <definedName name="QB_ROW_5240" localSheetId="5" hidden="1">'P6'!$E$8</definedName>
    <definedName name="QB_ROW_5240" localSheetId="4" hidden="1">'P7'!$E$8</definedName>
    <definedName name="QB_ROW_5240" localSheetId="2" hidden="1">'P9'!$E$7</definedName>
    <definedName name="QB_ROW_53240" localSheetId="11" hidden="1">'Jan 30 - Feb 26qb'!$E$60</definedName>
    <definedName name="QB_ROW_53240" localSheetId="1" hidden="1">'P10'!$E$60</definedName>
    <definedName name="QB_ROW_53240" localSheetId="6" hidden="1">'P5'!$E$62</definedName>
    <definedName name="QB_ROW_53240" localSheetId="5" hidden="1">'P6'!$E$65</definedName>
    <definedName name="QB_ROW_53240" localSheetId="4" hidden="1">'P7'!$E$65</definedName>
    <definedName name="QB_ROW_53240" localSheetId="2" hidden="1">'P9'!$E$61</definedName>
    <definedName name="QB_ROW_56250" localSheetId="1" hidden="1">'P10'!$F$54</definedName>
    <definedName name="QB_ROW_56250" localSheetId="6" hidden="1">'P5'!$F$56</definedName>
    <definedName name="QB_ROW_56250" localSheetId="5" hidden="1">'P6'!$F$57</definedName>
    <definedName name="QB_ROW_56250" localSheetId="4" hidden="1">'P7'!$F$57</definedName>
    <definedName name="QB_ROW_56250" localSheetId="2" hidden="1">'P9'!$F$53</definedName>
    <definedName name="QB_ROW_57240" localSheetId="12" hidden="1">'2Jan-29Jan-QB extract-16thMar '!$E$57</definedName>
    <definedName name="QB_ROW_57240" localSheetId="11" hidden="1">'Jan 30 - Feb 26qb'!$E$61</definedName>
    <definedName name="QB_ROW_57240" localSheetId="1" hidden="1">'P10'!$E$61</definedName>
    <definedName name="QB_ROW_57240" localSheetId="6" hidden="1">'P5'!$E$63</definedName>
    <definedName name="QB_ROW_57240" localSheetId="5" hidden="1">'P6'!$E$66</definedName>
    <definedName name="QB_ROW_57240" localSheetId="4" hidden="1">'P7'!$E$66</definedName>
    <definedName name="QB_ROW_57240" localSheetId="2" hidden="1">'P9'!$E$62</definedName>
    <definedName name="QB_ROW_63240" localSheetId="12" hidden="1">'2Jan-29Jan-QB extract-16thMar '!$E$39</definedName>
    <definedName name="QB_ROW_63240" localSheetId="11" hidden="1">'Jan 30 - Feb 26qb'!$E$41</definedName>
    <definedName name="QB_ROW_63240" localSheetId="1" hidden="1">'P10'!$E$40</definedName>
    <definedName name="QB_ROW_63240" localSheetId="6" hidden="1">'P5'!$E$42</definedName>
    <definedName name="QB_ROW_63240" localSheetId="5" hidden="1">'P6'!$E$41</definedName>
    <definedName name="QB_ROW_63240" localSheetId="4" hidden="1">'P7'!$E$41</definedName>
    <definedName name="QB_ROW_63240" localSheetId="2" hidden="1">'P9'!$E$41</definedName>
    <definedName name="QB_ROW_64250" localSheetId="12" hidden="1">'2Jan-29Jan-QB extract-16thMar '!$F$17</definedName>
    <definedName name="QB_ROW_64250" localSheetId="11" hidden="1">'Jan 30 - Feb 26qb'!$F$19</definedName>
    <definedName name="QB_ROW_64250" localSheetId="1" hidden="1">'P10'!$F$16</definedName>
    <definedName name="QB_ROW_64250" localSheetId="6" hidden="1">'P5'!$F$17</definedName>
    <definedName name="QB_ROW_64250" localSheetId="5" hidden="1">'P6'!$F$16</definedName>
    <definedName name="QB_ROW_64250" localSheetId="4" hidden="1">'P7'!$F$17</definedName>
    <definedName name="QB_ROW_64250" localSheetId="2" hidden="1">'P9'!$F$15</definedName>
    <definedName name="QB_ROW_67250" localSheetId="12" hidden="1">'2Jan-29Jan-QB extract-16thMar '!$F$22</definedName>
    <definedName name="QB_ROW_67250" localSheetId="11" hidden="1">'Jan 30 - Feb 26qb'!$F$24</definedName>
    <definedName name="QB_ROW_67250" localSheetId="1" hidden="1">'P10'!$F$21</definedName>
    <definedName name="QB_ROW_67250" localSheetId="6" hidden="1">'P5'!$F$22</definedName>
    <definedName name="QB_ROW_67250" localSheetId="5" hidden="1">'P6'!$F$21</definedName>
    <definedName name="QB_ROW_67250" localSheetId="4" hidden="1">'P7'!$F$22</definedName>
    <definedName name="QB_ROW_67250" localSheetId="2" hidden="1">'P9'!$F$20</definedName>
    <definedName name="QB_ROW_68250" localSheetId="12" hidden="1">'2Jan-29Jan-QB extract-16thMar '!$F$21</definedName>
    <definedName name="QB_ROW_68250" localSheetId="11" hidden="1">'Jan 30 - Feb 26qb'!$F$23</definedName>
    <definedName name="QB_ROW_68250" localSheetId="1" hidden="1">'P10'!$F$20</definedName>
    <definedName name="QB_ROW_68250" localSheetId="6" hidden="1">'P5'!$F$21</definedName>
    <definedName name="QB_ROW_68250" localSheetId="5" hidden="1">'P6'!$F$20</definedName>
    <definedName name="QB_ROW_68250" localSheetId="4" hidden="1">'P7'!$F$21</definedName>
    <definedName name="QB_ROW_68250" localSheetId="2" hidden="1">'P9'!$F$19</definedName>
    <definedName name="QB_ROW_69250" localSheetId="12" hidden="1">'2Jan-29Jan-QB extract-16thMar '!$F$20</definedName>
    <definedName name="QB_ROW_69250" localSheetId="11" hidden="1">'Jan 30 - Feb 26qb'!$F$22</definedName>
    <definedName name="QB_ROW_69250" localSheetId="1" hidden="1">'P10'!$F$19</definedName>
    <definedName name="QB_ROW_69250" localSheetId="6" hidden="1">'P5'!$F$20</definedName>
    <definedName name="QB_ROW_69250" localSheetId="5" hidden="1">'P6'!$F$19</definedName>
    <definedName name="QB_ROW_69250" localSheetId="4" hidden="1">'P7'!$F$20</definedName>
    <definedName name="QB_ROW_69250" localSheetId="2" hidden="1">'P9'!$F$18</definedName>
    <definedName name="QB_ROW_71240" localSheetId="4" hidden="1">'P7'!$E$12</definedName>
    <definedName name="QB_ROW_7240" localSheetId="12" hidden="1">'2Jan-29Jan-QB extract-16thMar '!$E$6</definedName>
    <definedName name="QB_ROW_7240" localSheetId="11" hidden="1">'Jan 30 - Feb 26qb'!$E$8</definedName>
    <definedName name="QB_ROW_7240" localSheetId="1" hidden="1">'P10'!$E$6</definedName>
    <definedName name="QB_ROW_7240" localSheetId="6" hidden="1">'P5'!$E$6</definedName>
    <definedName name="QB_ROW_7240" localSheetId="5" hidden="1">'P6'!$E$6</definedName>
    <definedName name="QB_ROW_7240" localSheetId="4" hidden="1">'P7'!$E$6</definedName>
    <definedName name="QB_ROW_7240" localSheetId="2" hidden="1">'P9'!$E$5</definedName>
    <definedName name="QB_ROW_73250" localSheetId="1" hidden="1">'P10'!$F$45</definedName>
    <definedName name="QB_ROW_73250" localSheetId="5" hidden="1">'P6'!$F$47</definedName>
    <definedName name="QB_ROW_73250" localSheetId="4" hidden="1">'P7'!$F$46</definedName>
    <definedName name="QB_ROW_73250" localSheetId="2" hidden="1">'P9'!$F$46</definedName>
    <definedName name="QB_ROW_80240" localSheetId="12" hidden="1">'2Jan-29Jan-QB extract-16thMar '!$E$38</definedName>
    <definedName name="QB_ROW_80240" localSheetId="11" hidden="1">'Jan 30 - Feb 26qb'!$E$40</definedName>
    <definedName name="QB_ROW_80240" localSheetId="1" hidden="1">'P10'!$E$39</definedName>
    <definedName name="QB_ROW_80240" localSheetId="6" hidden="1">'P5'!$E$41</definedName>
    <definedName name="QB_ROW_80240" localSheetId="5" hidden="1">'P6'!$E$40</definedName>
    <definedName name="QB_ROW_80240" localSheetId="4" hidden="1">'P7'!$E$40</definedName>
    <definedName name="QB_ROW_80240" localSheetId="2" hidden="1">'P9'!$E$40</definedName>
    <definedName name="QB_ROW_82040" localSheetId="12" hidden="1">'2Jan-29Jan-QB extract-16thMar '!$E$29</definedName>
    <definedName name="QB_ROW_82040" localSheetId="11" hidden="1">'Jan 30 - Feb 26qb'!$E$32</definedName>
    <definedName name="QB_ROW_82040" localSheetId="1" hidden="1">'P10'!$E$27</definedName>
    <definedName name="QB_ROW_82040" localSheetId="6" hidden="1">'P5'!$E$29</definedName>
    <definedName name="QB_ROW_82040" localSheetId="5" hidden="1">'P6'!$E$28</definedName>
    <definedName name="QB_ROW_82040" localSheetId="4" hidden="1">'P7'!$E$29</definedName>
    <definedName name="QB_ROW_82040" localSheetId="2" hidden="1">'P9'!$E$27</definedName>
    <definedName name="QB_ROW_82250" localSheetId="12" hidden="1">'2Jan-29Jan-QB extract-16thMar '!$F$31</definedName>
    <definedName name="QB_ROW_82250" localSheetId="11" hidden="1">'Jan 30 - Feb 26qb'!$F$34</definedName>
    <definedName name="QB_ROW_82250" localSheetId="1" hidden="1">'P10'!$F$31</definedName>
    <definedName name="QB_ROW_82250" localSheetId="6" hidden="1">'P5'!$F$33</definedName>
    <definedName name="QB_ROW_82250" localSheetId="5" hidden="1">'P6'!$F$32</definedName>
    <definedName name="QB_ROW_82250" localSheetId="4" hidden="1">'P7'!$F$33</definedName>
    <definedName name="QB_ROW_82250" localSheetId="2" hidden="1">'P9'!$F$31</definedName>
    <definedName name="QB_ROW_82340" localSheetId="12" hidden="1">'2Jan-29Jan-QB extract-16thMar '!$E$32</definedName>
    <definedName name="QB_ROW_82340" localSheetId="11" hidden="1">'Jan 30 - Feb 26qb'!$E$35</definedName>
    <definedName name="QB_ROW_82340" localSheetId="1" hidden="1">'P10'!$E$32</definedName>
    <definedName name="QB_ROW_82340" localSheetId="6" hidden="1">'P5'!$E$34</definedName>
    <definedName name="QB_ROW_82340" localSheetId="5" hidden="1">'P6'!$E$33</definedName>
    <definedName name="QB_ROW_82340" localSheetId="4" hidden="1">'P7'!$E$34</definedName>
    <definedName name="QB_ROW_82340" localSheetId="2" hidden="1">'P9'!$E$32</definedName>
    <definedName name="QB_ROW_86321" localSheetId="12" hidden="1">'2Jan-29Jan-QB extract-16thMar '!$C$34</definedName>
    <definedName name="QB_ROW_86321" localSheetId="11" hidden="1">'Jan 30 - Feb 26qb'!$C$37</definedName>
    <definedName name="QB_ROW_86321" localSheetId="1" hidden="1">'P10'!$C$34</definedName>
    <definedName name="QB_ROW_86321" localSheetId="6" hidden="1">'P5'!$C$36</definedName>
    <definedName name="QB_ROW_86321" localSheetId="5" hidden="1">'P6'!$C$35</definedName>
    <definedName name="QB_ROW_86321" localSheetId="4" hidden="1">'P7'!$C$36</definedName>
    <definedName name="QB_ROW_86321" localSheetId="2" hidden="1">'P9'!$C$34</definedName>
    <definedName name="QB_ROW_87031" localSheetId="12" hidden="1">'2Jan-29Jan-QB extract-16thMar '!$D$11</definedName>
    <definedName name="QB_ROW_87031" localSheetId="11" hidden="1">'Jan 30 - Feb 26qb'!$D$13</definedName>
    <definedName name="QB_ROW_87031" localSheetId="1" hidden="1">'P10'!$D$10</definedName>
    <definedName name="QB_ROW_87031" localSheetId="6" hidden="1">'P5'!$D$10</definedName>
    <definedName name="QB_ROW_87031" localSheetId="5" hidden="1">'P6'!$D$10</definedName>
    <definedName name="QB_ROW_87031" localSheetId="4" hidden="1">'P7'!$D$10</definedName>
    <definedName name="QB_ROW_87031" localSheetId="2" hidden="1">'P9'!$D$9</definedName>
    <definedName name="QB_ROW_87331" localSheetId="12" hidden="1">'2Jan-29Jan-QB extract-16thMar '!$D$33</definedName>
    <definedName name="QB_ROW_87331" localSheetId="11" hidden="1">'Jan 30 - Feb 26qb'!$D$36</definedName>
    <definedName name="QB_ROW_87331" localSheetId="1" hidden="1">'P10'!$D$33</definedName>
    <definedName name="QB_ROW_87331" localSheetId="6" hidden="1">'P5'!$D$35</definedName>
    <definedName name="QB_ROW_87331" localSheetId="5" hidden="1">'P6'!$D$34</definedName>
    <definedName name="QB_ROW_87331" localSheetId="4" hidden="1">'P7'!$D$35</definedName>
    <definedName name="QB_ROW_87331" localSheetId="2" hidden="1">'P9'!$D$33</definedName>
    <definedName name="QB_ROW_89040" localSheetId="12" hidden="1">'2Jan-29Jan-QB extract-16thMar '!$E$14</definedName>
    <definedName name="QB_ROW_89040" localSheetId="11" hidden="1">'Jan 30 - Feb 26qb'!$E$16</definedName>
    <definedName name="QB_ROW_89040" localSheetId="1" hidden="1">'P10'!$E$12</definedName>
    <definedName name="QB_ROW_89040" localSheetId="6" hidden="1">'P5'!$E$13</definedName>
    <definedName name="QB_ROW_89040" localSheetId="5" hidden="1">'P6'!$E$12</definedName>
    <definedName name="QB_ROW_89040" localSheetId="4" hidden="1">'P7'!$E$13</definedName>
    <definedName name="QB_ROW_89040" localSheetId="2" hidden="1">'P9'!$E$11</definedName>
    <definedName name="QB_ROW_89340" localSheetId="12" hidden="1">'2Jan-29Jan-QB extract-16thMar '!$E$18</definedName>
    <definedName name="QB_ROW_89340" localSheetId="11" hidden="1">'Jan 30 - Feb 26qb'!$E$20</definedName>
    <definedName name="QB_ROW_89340" localSheetId="1" hidden="1">'P10'!$E$17</definedName>
    <definedName name="QB_ROW_89340" localSheetId="6" hidden="1">'P5'!$E$18</definedName>
    <definedName name="QB_ROW_89340" localSheetId="5" hidden="1">'P6'!$E$17</definedName>
    <definedName name="QB_ROW_89340" localSheetId="4" hidden="1">'P7'!$E$18</definedName>
    <definedName name="QB_ROW_89340" localSheetId="2" hidden="1">'P9'!$E$16</definedName>
    <definedName name="QBCANSUPPORTUPDATE" localSheetId="12">TRUE</definedName>
    <definedName name="QBCANSUPPORTUPDATE" localSheetId="11">TRUE</definedName>
    <definedName name="QBCANSUPPORTUPDATE" localSheetId="1">TRUE</definedName>
    <definedName name="QBCANSUPPORTUPDATE" localSheetId="6">TRUE</definedName>
    <definedName name="QBCANSUPPORTUPDATE" localSheetId="5">TRUE</definedName>
    <definedName name="QBCANSUPPORTUPDATE" localSheetId="4">TRUE</definedName>
    <definedName name="QBCANSUPPORTUPDATE" localSheetId="2">TRUE</definedName>
    <definedName name="QBCOMPANYFILENAME" localSheetId="12">"\\SRV-QBWOX-001\QuickBooks\QB-CIS-US\CIS-USA.QBW"</definedName>
    <definedName name="QBCOMPANYFILENAME" localSheetId="11">"\\SRV-QBWOX-001\QuickBooks\QB-CIS-US\CIS-USA.QBW"</definedName>
    <definedName name="QBCOMPANYFILENAME" localSheetId="1">"\\SRV-QBWOX-001\QuickBooks\QB-CIS-US\CIS-USA.QBW"</definedName>
    <definedName name="QBCOMPANYFILENAME" localSheetId="6">"\\SRV-QBWOX-001\QuickBooks\QB-CIS-US\CIS-USA.QBW"</definedName>
    <definedName name="QBCOMPANYFILENAME" localSheetId="5">"\\SRV-QBWOX-001\QuickBooks\QB-CIS-US\CIS-USA.QBW"</definedName>
    <definedName name="QBCOMPANYFILENAME" localSheetId="4">"\\SRV-QBWOX-001\QuickBooks\QB-CIS-US\CIS-USA.QBW"</definedName>
    <definedName name="QBCOMPANYFILENAME" localSheetId="2">"\\SRV-QBWOX-001\QuickBooks\QB-CIS-US\CIS-USA.QBW"</definedName>
    <definedName name="QBENDDATE" localSheetId="12">20150129</definedName>
    <definedName name="QBENDDATE" localSheetId="11">20150226</definedName>
    <definedName name="QBENDDATE" localSheetId="1">20161027</definedName>
    <definedName name="QBENDDATE" localSheetId="6">20160526</definedName>
    <definedName name="QBENDDATE" localSheetId="5">20160630</definedName>
    <definedName name="QBENDDATE" localSheetId="4">20160728</definedName>
    <definedName name="QBENDDATE" localSheetId="2">20160929</definedName>
    <definedName name="QBHEADERSONSCREEN" localSheetId="12">FALSE</definedName>
    <definedName name="QBHEADERSONSCREEN" localSheetId="11">FALSE</definedName>
    <definedName name="QBHEADERSONSCREEN" localSheetId="1">FALSE</definedName>
    <definedName name="QBHEADERSONSCREEN" localSheetId="6">FALSE</definedName>
    <definedName name="QBHEADERSONSCREEN" localSheetId="5">FALSE</definedName>
    <definedName name="QBHEADERSONSCREEN" localSheetId="4">FALSE</definedName>
    <definedName name="QBHEADERSONSCREEN" localSheetId="2">FALSE</definedName>
    <definedName name="QBMETADATASIZE" localSheetId="12">5785</definedName>
    <definedName name="QBMETADATASIZE" localSheetId="11">5785</definedName>
    <definedName name="QBMETADATASIZE" localSheetId="1">5785</definedName>
    <definedName name="QBMETADATASIZE" localSheetId="6">5785</definedName>
    <definedName name="QBMETADATASIZE" localSheetId="5">5785</definedName>
    <definedName name="QBMETADATASIZE" localSheetId="4">5785</definedName>
    <definedName name="QBMETADATASIZE" localSheetId="2">5785</definedName>
    <definedName name="QBPRESERVECOLOR" localSheetId="12">TRUE</definedName>
    <definedName name="QBPRESERVECOLOR" localSheetId="11">TRUE</definedName>
    <definedName name="QBPRESERVECOLOR" localSheetId="1">TRUE</definedName>
    <definedName name="QBPRESERVECOLOR" localSheetId="6">TRUE</definedName>
    <definedName name="QBPRESERVECOLOR" localSheetId="5">TRUE</definedName>
    <definedName name="QBPRESERVECOLOR" localSheetId="4">TRUE</definedName>
    <definedName name="QBPRESERVECOLOR" localSheetId="2">TRUE</definedName>
    <definedName name="QBPRESERVEFONT" localSheetId="12">TRUE</definedName>
    <definedName name="QBPRESERVEFONT" localSheetId="11">TRUE</definedName>
    <definedName name="QBPRESERVEFONT" localSheetId="1">TRUE</definedName>
    <definedName name="QBPRESERVEFONT" localSheetId="6">TRUE</definedName>
    <definedName name="QBPRESERVEFONT" localSheetId="5">TRUE</definedName>
    <definedName name="QBPRESERVEFONT" localSheetId="4">TRUE</definedName>
    <definedName name="QBPRESERVEFONT" localSheetId="2">TRUE</definedName>
    <definedName name="QBPRESERVEROWHEIGHT" localSheetId="12">TRUE</definedName>
    <definedName name="QBPRESERVEROWHEIGHT" localSheetId="11">TRUE</definedName>
    <definedName name="QBPRESERVEROWHEIGHT" localSheetId="1">TRUE</definedName>
    <definedName name="QBPRESERVEROWHEIGHT" localSheetId="6">TRUE</definedName>
    <definedName name="QBPRESERVEROWHEIGHT" localSheetId="5">TRUE</definedName>
    <definedName name="QBPRESERVEROWHEIGHT" localSheetId="4">TRUE</definedName>
    <definedName name="QBPRESERVEROWHEIGHT" localSheetId="2">TRUE</definedName>
    <definedName name="QBPRESERVESPACE" localSheetId="12">FALSE</definedName>
    <definedName name="QBPRESERVESPACE" localSheetId="11">FALSE</definedName>
    <definedName name="QBPRESERVESPACE" localSheetId="1">FALSE</definedName>
    <definedName name="QBPRESERVESPACE" localSheetId="6">FALSE</definedName>
    <definedName name="QBPRESERVESPACE" localSheetId="5">FALSE</definedName>
    <definedName name="QBPRESERVESPACE" localSheetId="4">FALSE</definedName>
    <definedName name="QBPRESERVESPACE" localSheetId="2">FALSE</definedName>
    <definedName name="QBREPORTCOLAXIS" localSheetId="12">0</definedName>
    <definedName name="QBREPORTCOLAXIS" localSheetId="11">0</definedName>
    <definedName name="QBREPORTCOLAXIS" localSheetId="1">19</definedName>
    <definedName name="QBREPORTCOLAXIS" localSheetId="6">0</definedName>
    <definedName name="QBREPORTCOLAXIS" localSheetId="5">0</definedName>
    <definedName name="QBREPORTCOLAXIS" localSheetId="4">0</definedName>
    <definedName name="QBREPORTCOLAXIS" localSheetId="2">19</definedName>
    <definedName name="QBREPORTCOMPANYID" localSheetId="12">"da05fde419ab4e99ba38d96a6fb20697"</definedName>
    <definedName name="QBREPORTCOMPANYID" localSheetId="11">"da05fde419ab4e99ba38d96a6fb20697"</definedName>
    <definedName name="QBREPORTCOMPANYID" localSheetId="1">"da05fde419ab4e99ba38d96a6fb20697"</definedName>
    <definedName name="QBREPORTCOMPANYID" localSheetId="6">"da05fde419ab4e99ba38d96a6fb20697"</definedName>
    <definedName name="QBREPORTCOMPANYID" localSheetId="5">"da05fde419ab4e99ba38d96a6fb20697"</definedName>
    <definedName name="QBREPORTCOMPANYID" localSheetId="4">"da05fde419ab4e99ba38d96a6fb20697"</definedName>
    <definedName name="QBREPORTCOMPANYID" localSheetId="2">"da05fde419ab4e99ba38d96a6fb20697"</definedName>
    <definedName name="QBREPORTCOMPARECOL_ANNUALBUDGET" localSheetId="12">FALSE</definedName>
    <definedName name="QBREPORTCOMPARECOL_ANNUALBUDGET" localSheetId="11">FALSE</definedName>
    <definedName name="QBREPORTCOMPARECOL_ANNUALBUDGET" localSheetId="1">FALSE</definedName>
    <definedName name="QBREPORTCOMPARECOL_ANNUALBUDGET" localSheetId="6">FALSE</definedName>
    <definedName name="QBREPORTCOMPARECOL_ANNUALBUDGET" localSheetId="5">FALSE</definedName>
    <definedName name="QBREPORTCOMPARECOL_ANNUALBUDGET" localSheetId="4">FALSE</definedName>
    <definedName name="QBREPORTCOMPARECOL_ANNUALBUDGET" localSheetId="2">FALSE</definedName>
    <definedName name="QBREPORTCOMPARECOL_AVGCOGS" localSheetId="12">FALSE</definedName>
    <definedName name="QBREPORTCOMPARECOL_AVGCOGS" localSheetId="11">FALSE</definedName>
    <definedName name="QBREPORTCOMPARECOL_AVGCOGS" localSheetId="1">FALSE</definedName>
    <definedName name="QBREPORTCOMPARECOL_AVGCOGS" localSheetId="6">FALSE</definedName>
    <definedName name="QBREPORTCOMPARECOL_AVGCOGS" localSheetId="5">FALSE</definedName>
    <definedName name="QBREPORTCOMPARECOL_AVGCOGS" localSheetId="4">FALSE</definedName>
    <definedName name="QBREPORTCOMPARECOL_AVGCOGS" localSheetId="2">FALSE</definedName>
    <definedName name="QBREPORTCOMPARECOL_AVGPRICE" localSheetId="12">FALSE</definedName>
    <definedName name="QBREPORTCOMPARECOL_AVGPRICE" localSheetId="11">FALSE</definedName>
    <definedName name="QBREPORTCOMPARECOL_AVGPRICE" localSheetId="1">FALSE</definedName>
    <definedName name="QBREPORTCOMPARECOL_AVGPRICE" localSheetId="6">FALSE</definedName>
    <definedName name="QBREPORTCOMPARECOL_AVGPRICE" localSheetId="5">FALSE</definedName>
    <definedName name="QBREPORTCOMPARECOL_AVGPRICE" localSheetId="4">FALSE</definedName>
    <definedName name="QBREPORTCOMPARECOL_AVGPRICE" localSheetId="2">FALSE</definedName>
    <definedName name="QBREPORTCOMPARECOL_BUDDIFF" localSheetId="12">FALSE</definedName>
    <definedName name="QBREPORTCOMPARECOL_BUDDIFF" localSheetId="11">FALSE</definedName>
    <definedName name="QBREPORTCOMPARECOL_BUDDIFF" localSheetId="1">FALSE</definedName>
    <definedName name="QBREPORTCOMPARECOL_BUDDIFF" localSheetId="6">FALSE</definedName>
    <definedName name="QBREPORTCOMPARECOL_BUDDIFF" localSheetId="5">FALSE</definedName>
    <definedName name="QBREPORTCOMPARECOL_BUDDIFF" localSheetId="4">FALSE</definedName>
    <definedName name="QBREPORTCOMPARECOL_BUDDIFF" localSheetId="2">FALSE</definedName>
    <definedName name="QBREPORTCOMPARECOL_BUDGET" localSheetId="12">FALSE</definedName>
    <definedName name="QBREPORTCOMPARECOL_BUDGET" localSheetId="11">FALSE</definedName>
    <definedName name="QBREPORTCOMPARECOL_BUDGET" localSheetId="1">FALSE</definedName>
    <definedName name="QBREPORTCOMPARECOL_BUDGET" localSheetId="6">FALSE</definedName>
    <definedName name="QBREPORTCOMPARECOL_BUDGET" localSheetId="5">FALSE</definedName>
    <definedName name="QBREPORTCOMPARECOL_BUDGET" localSheetId="4">FALSE</definedName>
    <definedName name="QBREPORTCOMPARECOL_BUDGET" localSheetId="2">FALSE</definedName>
    <definedName name="QBREPORTCOMPARECOL_BUDPCT" localSheetId="12">FALSE</definedName>
    <definedName name="QBREPORTCOMPARECOL_BUDPCT" localSheetId="11">FALSE</definedName>
    <definedName name="QBREPORTCOMPARECOL_BUDPCT" localSheetId="1">FALSE</definedName>
    <definedName name="QBREPORTCOMPARECOL_BUDPCT" localSheetId="6">FALSE</definedName>
    <definedName name="QBREPORTCOMPARECOL_BUDPCT" localSheetId="5">FALSE</definedName>
    <definedName name="QBREPORTCOMPARECOL_BUDPCT" localSheetId="4">FALSE</definedName>
    <definedName name="QBREPORTCOMPARECOL_BUDPCT" localSheetId="2">FALSE</definedName>
    <definedName name="QBREPORTCOMPARECOL_COGS" localSheetId="12">FALSE</definedName>
    <definedName name="QBREPORTCOMPARECOL_COGS" localSheetId="11">FALSE</definedName>
    <definedName name="QBREPORTCOMPARECOL_COGS" localSheetId="1">FALSE</definedName>
    <definedName name="QBREPORTCOMPARECOL_COGS" localSheetId="6">FALSE</definedName>
    <definedName name="QBREPORTCOMPARECOL_COGS" localSheetId="5">FALSE</definedName>
    <definedName name="QBREPORTCOMPARECOL_COGS" localSheetId="4">FALSE</definedName>
    <definedName name="QBREPORTCOMPARECOL_COGS" localSheetId="2">FALSE</definedName>
    <definedName name="QBREPORTCOMPARECOL_EXCLUDEAMOUNT" localSheetId="12">FALSE</definedName>
    <definedName name="QBREPORTCOMPARECOL_EXCLUDEAMOUNT" localSheetId="11">FALSE</definedName>
    <definedName name="QBREPORTCOMPARECOL_EXCLUDEAMOUNT" localSheetId="1">FALSE</definedName>
    <definedName name="QBREPORTCOMPARECOL_EXCLUDEAMOUNT" localSheetId="6">FALSE</definedName>
    <definedName name="QBREPORTCOMPARECOL_EXCLUDEAMOUNT" localSheetId="5">FALSE</definedName>
    <definedName name="QBREPORTCOMPARECOL_EXCLUDEAMOUNT" localSheetId="4">FALSE</definedName>
    <definedName name="QBREPORTCOMPARECOL_EXCLUDEAMOUNT" localSheetId="2">FALSE</definedName>
    <definedName name="QBREPORTCOMPARECOL_EXCLUDECURPERIOD" localSheetId="12">FALSE</definedName>
    <definedName name="QBREPORTCOMPARECOL_EXCLUDECURPERIOD" localSheetId="11">FALSE</definedName>
    <definedName name="QBREPORTCOMPARECOL_EXCLUDECURPERIOD" localSheetId="1">FALSE</definedName>
    <definedName name="QBREPORTCOMPARECOL_EXCLUDECURPERIOD" localSheetId="6">FALSE</definedName>
    <definedName name="QBREPORTCOMPARECOL_EXCLUDECURPERIOD" localSheetId="5">FALSE</definedName>
    <definedName name="QBREPORTCOMPARECOL_EXCLUDECURPERIOD" localSheetId="4">FALSE</definedName>
    <definedName name="QBREPORTCOMPARECOL_EXCLUDECURPERIOD" localSheetId="2">FALSE</definedName>
    <definedName name="QBREPORTCOMPARECOL_FORECAST" localSheetId="12">FALSE</definedName>
    <definedName name="QBREPORTCOMPARECOL_FORECAST" localSheetId="11">FALSE</definedName>
    <definedName name="QBREPORTCOMPARECOL_FORECAST" localSheetId="1">FALSE</definedName>
    <definedName name="QBREPORTCOMPARECOL_FORECAST" localSheetId="6">FALSE</definedName>
    <definedName name="QBREPORTCOMPARECOL_FORECAST" localSheetId="5">FALSE</definedName>
    <definedName name="QBREPORTCOMPARECOL_FORECAST" localSheetId="4">FALSE</definedName>
    <definedName name="QBREPORTCOMPARECOL_FORECAST" localSheetId="2">FALSE</definedName>
    <definedName name="QBREPORTCOMPARECOL_GROSSMARGIN" localSheetId="12">FALSE</definedName>
    <definedName name="QBREPORTCOMPARECOL_GROSSMARGIN" localSheetId="11">FALSE</definedName>
    <definedName name="QBREPORTCOMPARECOL_GROSSMARGIN" localSheetId="1">FALSE</definedName>
    <definedName name="QBREPORTCOMPARECOL_GROSSMARGIN" localSheetId="6">FALSE</definedName>
    <definedName name="QBREPORTCOMPARECOL_GROSSMARGIN" localSheetId="5">FALSE</definedName>
    <definedName name="QBREPORTCOMPARECOL_GROSSMARGIN" localSheetId="4">FALSE</definedName>
    <definedName name="QBREPORTCOMPARECOL_GROSSMARGIN" localSheetId="2">FALSE</definedName>
    <definedName name="QBREPORTCOMPARECOL_GROSSMARGINPCT" localSheetId="12">FALSE</definedName>
    <definedName name="QBREPORTCOMPARECOL_GROSSMARGINPCT" localSheetId="11">FALSE</definedName>
    <definedName name="QBREPORTCOMPARECOL_GROSSMARGINPCT" localSheetId="1">FALSE</definedName>
    <definedName name="QBREPORTCOMPARECOL_GROSSMARGINPCT" localSheetId="6">FALSE</definedName>
    <definedName name="QBREPORTCOMPARECOL_GROSSMARGINPCT" localSheetId="5">FALSE</definedName>
    <definedName name="QBREPORTCOMPARECOL_GROSSMARGINPCT" localSheetId="4">FALSE</definedName>
    <definedName name="QBREPORTCOMPARECOL_GROSSMARGINPCT" localSheetId="2">FALSE</definedName>
    <definedName name="QBREPORTCOMPARECOL_HOURS" localSheetId="12">FALSE</definedName>
    <definedName name="QBREPORTCOMPARECOL_HOURS" localSheetId="11">FALSE</definedName>
    <definedName name="QBREPORTCOMPARECOL_HOURS" localSheetId="1">FALSE</definedName>
    <definedName name="QBREPORTCOMPARECOL_HOURS" localSheetId="6">FALSE</definedName>
    <definedName name="QBREPORTCOMPARECOL_HOURS" localSheetId="5">FALSE</definedName>
    <definedName name="QBREPORTCOMPARECOL_HOURS" localSheetId="4">FALSE</definedName>
    <definedName name="QBREPORTCOMPARECOL_HOURS" localSheetId="2">FALSE</definedName>
    <definedName name="QBREPORTCOMPARECOL_PCTCOL" localSheetId="12">FALSE</definedName>
    <definedName name="QBREPORTCOMPARECOL_PCTCOL" localSheetId="11">FALSE</definedName>
    <definedName name="QBREPORTCOMPARECOL_PCTCOL" localSheetId="1">FALSE</definedName>
    <definedName name="QBREPORTCOMPARECOL_PCTCOL" localSheetId="6">FALSE</definedName>
    <definedName name="QBREPORTCOMPARECOL_PCTCOL" localSheetId="5">FALSE</definedName>
    <definedName name="QBREPORTCOMPARECOL_PCTCOL" localSheetId="4">FALSE</definedName>
    <definedName name="QBREPORTCOMPARECOL_PCTCOL" localSheetId="2">FALSE</definedName>
    <definedName name="QBREPORTCOMPARECOL_PCTEXPENSE" localSheetId="12">FALSE</definedName>
    <definedName name="QBREPORTCOMPARECOL_PCTEXPENSE" localSheetId="11">FALSE</definedName>
    <definedName name="QBREPORTCOMPARECOL_PCTEXPENSE" localSheetId="1">FALSE</definedName>
    <definedName name="QBREPORTCOMPARECOL_PCTEXPENSE" localSheetId="6">FALSE</definedName>
    <definedName name="QBREPORTCOMPARECOL_PCTEXPENSE" localSheetId="5">FALSE</definedName>
    <definedName name="QBREPORTCOMPARECOL_PCTEXPENSE" localSheetId="4">FALSE</definedName>
    <definedName name="QBREPORTCOMPARECOL_PCTEXPENSE" localSheetId="2">FALSE</definedName>
    <definedName name="QBREPORTCOMPARECOL_PCTINCOME" localSheetId="12">FALSE</definedName>
    <definedName name="QBREPORTCOMPARECOL_PCTINCOME" localSheetId="11">FALSE</definedName>
    <definedName name="QBREPORTCOMPARECOL_PCTINCOME" localSheetId="1">FALSE</definedName>
    <definedName name="QBREPORTCOMPARECOL_PCTINCOME" localSheetId="6">FALSE</definedName>
    <definedName name="QBREPORTCOMPARECOL_PCTINCOME" localSheetId="5">FALSE</definedName>
    <definedName name="QBREPORTCOMPARECOL_PCTINCOME" localSheetId="4">FALSE</definedName>
    <definedName name="QBREPORTCOMPARECOL_PCTINCOME" localSheetId="2">FALSE</definedName>
    <definedName name="QBREPORTCOMPARECOL_PCTOFSALES" localSheetId="12">FALSE</definedName>
    <definedName name="QBREPORTCOMPARECOL_PCTOFSALES" localSheetId="11">FALSE</definedName>
    <definedName name="QBREPORTCOMPARECOL_PCTOFSALES" localSheetId="1">FALSE</definedName>
    <definedName name="QBREPORTCOMPARECOL_PCTOFSALES" localSheetId="6">FALSE</definedName>
    <definedName name="QBREPORTCOMPARECOL_PCTOFSALES" localSheetId="5">FALSE</definedName>
    <definedName name="QBREPORTCOMPARECOL_PCTOFSALES" localSheetId="4">FALSE</definedName>
    <definedName name="QBREPORTCOMPARECOL_PCTOFSALES" localSheetId="2">FALSE</definedName>
    <definedName name="QBREPORTCOMPARECOL_PCTROW" localSheetId="12">FALSE</definedName>
    <definedName name="QBREPORTCOMPARECOL_PCTROW" localSheetId="11">FALSE</definedName>
    <definedName name="QBREPORTCOMPARECOL_PCTROW" localSheetId="1">FALSE</definedName>
    <definedName name="QBREPORTCOMPARECOL_PCTROW" localSheetId="6">FALSE</definedName>
    <definedName name="QBREPORTCOMPARECOL_PCTROW" localSheetId="5">FALSE</definedName>
    <definedName name="QBREPORTCOMPARECOL_PCTROW" localSheetId="4">FALSE</definedName>
    <definedName name="QBREPORTCOMPARECOL_PCTROW" localSheetId="2">FALSE</definedName>
    <definedName name="QBREPORTCOMPARECOL_PPDIFF" localSheetId="12">FALSE</definedName>
    <definedName name="QBREPORTCOMPARECOL_PPDIFF" localSheetId="11">FALSE</definedName>
    <definedName name="QBREPORTCOMPARECOL_PPDIFF" localSheetId="1">FALSE</definedName>
    <definedName name="QBREPORTCOMPARECOL_PPDIFF" localSheetId="6">FALSE</definedName>
    <definedName name="QBREPORTCOMPARECOL_PPDIFF" localSheetId="5">FALSE</definedName>
    <definedName name="QBREPORTCOMPARECOL_PPDIFF" localSheetId="4">FALSE</definedName>
    <definedName name="QBREPORTCOMPARECOL_PPDIFF" localSheetId="2">FALSE</definedName>
    <definedName name="QBREPORTCOMPARECOL_PPPCT" localSheetId="12">FALSE</definedName>
    <definedName name="QBREPORTCOMPARECOL_PPPCT" localSheetId="11">FALSE</definedName>
    <definedName name="QBREPORTCOMPARECOL_PPPCT" localSheetId="1">FALSE</definedName>
    <definedName name="QBREPORTCOMPARECOL_PPPCT" localSheetId="6">FALSE</definedName>
    <definedName name="QBREPORTCOMPARECOL_PPPCT" localSheetId="5">FALSE</definedName>
    <definedName name="QBREPORTCOMPARECOL_PPPCT" localSheetId="4">FALSE</definedName>
    <definedName name="QBREPORTCOMPARECOL_PPPCT" localSheetId="2">FALSE</definedName>
    <definedName name="QBREPORTCOMPARECOL_PREVPERIOD" localSheetId="12">FALSE</definedName>
    <definedName name="QBREPORTCOMPARECOL_PREVPERIOD" localSheetId="11">FALSE</definedName>
    <definedName name="QBREPORTCOMPARECOL_PREVPERIOD" localSheetId="1">FALSE</definedName>
    <definedName name="QBREPORTCOMPARECOL_PREVPERIOD" localSheetId="6">FALSE</definedName>
    <definedName name="QBREPORTCOMPARECOL_PREVPERIOD" localSheetId="5">FALSE</definedName>
    <definedName name="QBREPORTCOMPARECOL_PREVPERIOD" localSheetId="4">FALSE</definedName>
    <definedName name="QBREPORTCOMPARECOL_PREVPERIOD" localSheetId="2">FALSE</definedName>
    <definedName name="QBREPORTCOMPARECOL_PREVYEAR" localSheetId="12">FALSE</definedName>
    <definedName name="QBREPORTCOMPARECOL_PREVYEAR" localSheetId="11">FALSE</definedName>
    <definedName name="QBREPORTCOMPARECOL_PREVYEAR" localSheetId="1">FALSE</definedName>
    <definedName name="QBREPORTCOMPARECOL_PREVYEAR" localSheetId="6">FALSE</definedName>
    <definedName name="QBREPORTCOMPARECOL_PREVYEAR" localSheetId="5">FALSE</definedName>
    <definedName name="QBREPORTCOMPARECOL_PREVYEAR" localSheetId="4">FALSE</definedName>
    <definedName name="QBREPORTCOMPARECOL_PREVYEAR" localSheetId="2">FALSE</definedName>
    <definedName name="QBREPORTCOMPARECOL_PYDIFF" localSheetId="12">FALSE</definedName>
    <definedName name="QBREPORTCOMPARECOL_PYDIFF" localSheetId="11">FALSE</definedName>
    <definedName name="QBREPORTCOMPARECOL_PYDIFF" localSheetId="1">FALSE</definedName>
    <definedName name="QBREPORTCOMPARECOL_PYDIFF" localSheetId="6">FALSE</definedName>
    <definedName name="QBREPORTCOMPARECOL_PYDIFF" localSheetId="5">FALSE</definedName>
    <definedName name="QBREPORTCOMPARECOL_PYDIFF" localSheetId="4">FALSE</definedName>
    <definedName name="QBREPORTCOMPARECOL_PYDIFF" localSheetId="2">FALSE</definedName>
    <definedName name="QBREPORTCOMPARECOL_PYPCT" localSheetId="12">FALSE</definedName>
    <definedName name="QBREPORTCOMPARECOL_PYPCT" localSheetId="11">FALSE</definedName>
    <definedName name="QBREPORTCOMPARECOL_PYPCT" localSheetId="1">FALSE</definedName>
    <definedName name="QBREPORTCOMPARECOL_PYPCT" localSheetId="6">FALSE</definedName>
    <definedName name="QBREPORTCOMPARECOL_PYPCT" localSheetId="5">FALSE</definedName>
    <definedName name="QBREPORTCOMPARECOL_PYPCT" localSheetId="4">FALSE</definedName>
    <definedName name="QBREPORTCOMPARECOL_PYPCT" localSheetId="2">FALSE</definedName>
    <definedName name="QBREPORTCOMPARECOL_QTY" localSheetId="12">FALSE</definedName>
    <definedName name="QBREPORTCOMPARECOL_QTY" localSheetId="11">FALSE</definedName>
    <definedName name="QBREPORTCOMPARECOL_QTY" localSheetId="1">FALSE</definedName>
    <definedName name="QBREPORTCOMPARECOL_QTY" localSheetId="6">FALSE</definedName>
    <definedName name="QBREPORTCOMPARECOL_QTY" localSheetId="5">FALSE</definedName>
    <definedName name="QBREPORTCOMPARECOL_QTY" localSheetId="4">FALSE</definedName>
    <definedName name="QBREPORTCOMPARECOL_QTY" localSheetId="2">FALSE</definedName>
    <definedName name="QBREPORTCOMPARECOL_RATE" localSheetId="12">FALSE</definedName>
    <definedName name="QBREPORTCOMPARECOL_RATE" localSheetId="11">FALSE</definedName>
    <definedName name="QBREPORTCOMPARECOL_RATE" localSheetId="1">FALSE</definedName>
    <definedName name="QBREPORTCOMPARECOL_RATE" localSheetId="6">FALSE</definedName>
    <definedName name="QBREPORTCOMPARECOL_RATE" localSheetId="5">FALSE</definedName>
    <definedName name="QBREPORTCOMPARECOL_RATE" localSheetId="4">FALSE</definedName>
    <definedName name="QBREPORTCOMPARECOL_RATE" localSheetId="2">FALSE</definedName>
    <definedName name="QBREPORTCOMPARECOL_TRIPBILLEDMILES" localSheetId="12">FALSE</definedName>
    <definedName name="QBREPORTCOMPARECOL_TRIPBILLEDMILES" localSheetId="11">FALSE</definedName>
    <definedName name="QBREPORTCOMPARECOL_TRIPBILLEDMILES" localSheetId="1">FALSE</definedName>
    <definedName name="QBREPORTCOMPARECOL_TRIPBILLEDMILES" localSheetId="6">FALSE</definedName>
    <definedName name="QBREPORTCOMPARECOL_TRIPBILLEDMILES" localSheetId="5">FALSE</definedName>
    <definedName name="QBREPORTCOMPARECOL_TRIPBILLEDMILES" localSheetId="4">FALSE</definedName>
    <definedName name="QBREPORTCOMPARECOL_TRIPBILLEDMILES" localSheetId="2">FALSE</definedName>
    <definedName name="QBREPORTCOMPARECOL_TRIPBILLINGAMOUNT" localSheetId="12">FALSE</definedName>
    <definedName name="QBREPORTCOMPARECOL_TRIPBILLINGAMOUNT" localSheetId="11">FALSE</definedName>
    <definedName name="QBREPORTCOMPARECOL_TRIPBILLINGAMOUNT" localSheetId="1">FALSE</definedName>
    <definedName name="QBREPORTCOMPARECOL_TRIPBILLINGAMOUNT" localSheetId="6">FALSE</definedName>
    <definedName name="QBREPORTCOMPARECOL_TRIPBILLINGAMOUNT" localSheetId="5">FALSE</definedName>
    <definedName name="QBREPORTCOMPARECOL_TRIPBILLINGAMOUNT" localSheetId="4">FALSE</definedName>
    <definedName name="QBREPORTCOMPARECOL_TRIPBILLINGAMOUNT" localSheetId="2">FALSE</definedName>
    <definedName name="QBREPORTCOMPARECOL_TRIPMILES" localSheetId="12">FALSE</definedName>
    <definedName name="QBREPORTCOMPARECOL_TRIPMILES" localSheetId="11">FALSE</definedName>
    <definedName name="QBREPORTCOMPARECOL_TRIPMILES" localSheetId="1">FALSE</definedName>
    <definedName name="QBREPORTCOMPARECOL_TRIPMILES" localSheetId="6">FALSE</definedName>
    <definedName name="QBREPORTCOMPARECOL_TRIPMILES" localSheetId="5">FALSE</definedName>
    <definedName name="QBREPORTCOMPARECOL_TRIPMILES" localSheetId="4">FALSE</definedName>
    <definedName name="QBREPORTCOMPARECOL_TRIPMILES" localSheetId="2">FALSE</definedName>
    <definedName name="QBREPORTCOMPARECOL_TRIPNOTBILLABLEMILES" localSheetId="12">FALSE</definedName>
    <definedName name="QBREPORTCOMPARECOL_TRIPNOTBILLABLEMILES" localSheetId="11">FALSE</definedName>
    <definedName name="QBREPORTCOMPARECOL_TRIPNOTBILLABLEMILES" localSheetId="1">FALSE</definedName>
    <definedName name="QBREPORTCOMPARECOL_TRIPNOTBILLABLEMILES" localSheetId="6">FALSE</definedName>
    <definedName name="QBREPORTCOMPARECOL_TRIPNOTBILLABLEMILES" localSheetId="5">FALSE</definedName>
    <definedName name="QBREPORTCOMPARECOL_TRIPNOTBILLABLEMILES" localSheetId="4">FALSE</definedName>
    <definedName name="QBREPORTCOMPARECOL_TRIPNOTBILLABLEMILES" localSheetId="2">FALSE</definedName>
    <definedName name="QBREPORTCOMPARECOL_TRIPTAXDEDUCTIBLEAMOUNT" localSheetId="12">FALSE</definedName>
    <definedName name="QBREPORTCOMPARECOL_TRIPTAXDEDUCTIBLEAMOUNT" localSheetId="11">FALSE</definedName>
    <definedName name="QBREPORTCOMPARECOL_TRIPTAXDEDUCTIBLEAMOUNT" localSheetId="1">FALSE</definedName>
    <definedName name="QBREPORTCOMPARECOL_TRIPTAXDEDUCTIBLEAMOUNT" localSheetId="6">FALSE</definedName>
    <definedName name="QBREPORTCOMPARECOL_TRIPTAXDEDUCTIBLEAMOUNT" localSheetId="5">FALSE</definedName>
    <definedName name="QBREPORTCOMPARECOL_TRIPTAXDEDUCTIBLEAMOUNT" localSheetId="4">FALSE</definedName>
    <definedName name="QBREPORTCOMPARECOL_TRIPTAXDEDUCTIBLEAMOUNT" localSheetId="2">FALSE</definedName>
    <definedName name="QBREPORTCOMPARECOL_TRIPUNBILLEDMILES" localSheetId="12">FALSE</definedName>
    <definedName name="QBREPORTCOMPARECOL_TRIPUNBILLEDMILES" localSheetId="11">FALSE</definedName>
    <definedName name="QBREPORTCOMPARECOL_TRIPUNBILLEDMILES" localSheetId="1">FALSE</definedName>
    <definedName name="QBREPORTCOMPARECOL_TRIPUNBILLEDMILES" localSheetId="6">FALSE</definedName>
    <definedName name="QBREPORTCOMPARECOL_TRIPUNBILLEDMILES" localSheetId="5">FALSE</definedName>
    <definedName name="QBREPORTCOMPARECOL_TRIPUNBILLEDMILES" localSheetId="4">FALSE</definedName>
    <definedName name="QBREPORTCOMPARECOL_TRIPUNBILLEDMILES" localSheetId="2">FALSE</definedName>
    <definedName name="QBREPORTCOMPARECOL_YTD" localSheetId="12">FALSE</definedName>
    <definedName name="QBREPORTCOMPARECOL_YTD" localSheetId="11">FALSE</definedName>
    <definedName name="QBREPORTCOMPARECOL_YTD" localSheetId="1">FALSE</definedName>
    <definedName name="QBREPORTCOMPARECOL_YTD" localSheetId="6">FALSE</definedName>
    <definedName name="QBREPORTCOMPARECOL_YTD" localSheetId="5">FALSE</definedName>
    <definedName name="QBREPORTCOMPARECOL_YTD" localSheetId="4">FALSE</definedName>
    <definedName name="QBREPORTCOMPARECOL_YTD" localSheetId="2">FALSE</definedName>
    <definedName name="QBREPORTCOMPARECOL_YTDBUDGET" localSheetId="12">FALSE</definedName>
    <definedName name="QBREPORTCOMPARECOL_YTDBUDGET" localSheetId="11">FALSE</definedName>
    <definedName name="QBREPORTCOMPARECOL_YTDBUDGET" localSheetId="1">FALSE</definedName>
    <definedName name="QBREPORTCOMPARECOL_YTDBUDGET" localSheetId="6">FALSE</definedName>
    <definedName name="QBREPORTCOMPARECOL_YTDBUDGET" localSheetId="5">FALSE</definedName>
    <definedName name="QBREPORTCOMPARECOL_YTDBUDGET" localSheetId="4">FALSE</definedName>
    <definedName name="QBREPORTCOMPARECOL_YTDBUDGET" localSheetId="2">FALSE</definedName>
    <definedName name="QBREPORTCOMPARECOL_YTDPCT" localSheetId="12">FALSE</definedName>
    <definedName name="QBREPORTCOMPARECOL_YTDPCT" localSheetId="11">FALSE</definedName>
    <definedName name="QBREPORTCOMPARECOL_YTDPCT" localSheetId="1">FALSE</definedName>
    <definedName name="QBREPORTCOMPARECOL_YTDPCT" localSheetId="6">FALSE</definedName>
    <definedName name="QBREPORTCOMPARECOL_YTDPCT" localSheetId="5">FALSE</definedName>
    <definedName name="QBREPORTCOMPARECOL_YTDPCT" localSheetId="4">FALSE</definedName>
    <definedName name="QBREPORTCOMPARECOL_YTDPCT" localSheetId="2">FALSE</definedName>
    <definedName name="QBREPORTROWAXIS" localSheetId="12">11</definedName>
    <definedName name="QBREPORTROWAXIS" localSheetId="11">11</definedName>
    <definedName name="QBREPORTROWAXIS" localSheetId="1">11</definedName>
    <definedName name="QBREPORTROWAXIS" localSheetId="6">11</definedName>
    <definedName name="QBREPORTROWAXIS" localSheetId="5">11</definedName>
    <definedName name="QBREPORTROWAXIS" localSheetId="4">11</definedName>
    <definedName name="QBREPORTROWAXIS" localSheetId="2">11</definedName>
    <definedName name="QBREPORTSUBCOLAXIS" localSheetId="12">0</definedName>
    <definedName name="QBREPORTSUBCOLAXIS" localSheetId="11">0</definedName>
    <definedName name="QBREPORTSUBCOLAXIS" localSheetId="1">0</definedName>
    <definedName name="QBREPORTSUBCOLAXIS" localSheetId="6">0</definedName>
    <definedName name="QBREPORTSUBCOLAXIS" localSheetId="5">0</definedName>
    <definedName name="QBREPORTSUBCOLAXIS" localSheetId="4">0</definedName>
    <definedName name="QBREPORTSUBCOLAXIS" localSheetId="2">0</definedName>
    <definedName name="QBREPORTTYPE" localSheetId="12">0</definedName>
    <definedName name="QBREPORTTYPE" localSheetId="11">0</definedName>
    <definedName name="QBREPORTTYPE" localSheetId="1">3</definedName>
    <definedName name="QBREPORTTYPE" localSheetId="6">0</definedName>
    <definedName name="QBREPORTTYPE" localSheetId="5">0</definedName>
    <definedName name="QBREPORTTYPE" localSheetId="4">0</definedName>
    <definedName name="QBREPORTTYPE" localSheetId="2">3</definedName>
    <definedName name="QBROWHEADERS" localSheetId="12">6</definedName>
    <definedName name="QBROWHEADERS" localSheetId="11">6</definedName>
    <definedName name="QBROWHEADERS" localSheetId="1">6</definedName>
    <definedName name="QBROWHEADERS" localSheetId="6">6</definedName>
    <definedName name="QBROWHEADERS" localSheetId="5">6</definedName>
    <definedName name="QBROWHEADERS" localSheetId="4">6</definedName>
    <definedName name="QBROWHEADERS" localSheetId="2">6</definedName>
    <definedName name="QBSTARTDATE" localSheetId="12">20150102</definedName>
    <definedName name="QBSTARTDATE" localSheetId="11">20150130</definedName>
    <definedName name="QBSTARTDATE" localSheetId="1">20160930</definedName>
    <definedName name="QBSTARTDATE" localSheetId="6">20160429</definedName>
    <definedName name="QBSTARTDATE" localSheetId="5">20160527</definedName>
    <definedName name="QBSTARTDATE" localSheetId="4">20160701</definedName>
    <definedName name="QBSTARTDATE" localSheetId="2">20160826</definedName>
  </definedNames>
  <calcPr calcId="152511"/>
</workbook>
</file>

<file path=xl/calcChain.xml><?xml version="1.0" encoding="utf-8"?>
<calcChain xmlns="http://schemas.openxmlformats.org/spreadsheetml/2006/main">
  <c r="P6" i="1" l="1"/>
  <c r="P8" i="1"/>
  <c r="P12" i="1" s="1"/>
  <c r="P22" i="1"/>
  <c r="P17" i="1"/>
  <c r="P15" i="1"/>
  <c r="P10" i="1"/>
  <c r="P25" i="1" l="1"/>
  <c r="O22" i="1"/>
  <c r="O17" i="1"/>
  <c r="M7" i="37"/>
  <c r="M3" i="37"/>
  <c r="O15" i="1"/>
  <c r="O10" i="1"/>
  <c r="O8" i="1"/>
  <c r="O12" i="1" s="1"/>
  <c r="O6" i="1"/>
  <c r="I70" i="37"/>
  <c r="H70" i="37"/>
  <c r="G70" i="37"/>
  <c r="I69" i="37"/>
  <c r="I67" i="37"/>
  <c r="H67" i="37"/>
  <c r="H71" i="37" s="1"/>
  <c r="G67" i="37"/>
  <c r="G71" i="37" s="1"/>
  <c r="I71" i="37" s="1"/>
  <c r="I66" i="37"/>
  <c r="I61" i="37"/>
  <c r="I60" i="37"/>
  <c r="I59" i="37"/>
  <c r="I58" i="37"/>
  <c r="I57" i="37"/>
  <c r="H56" i="37"/>
  <c r="H62" i="37" s="1"/>
  <c r="G56" i="37"/>
  <c r="I56" i="37" s="1"/>
  <c r="I55" i="37"/>
  <c r="I54" i="37"/>
  <c r="I52" i="37"/>
  <c r="I51" i="37"/>
  <c r="I50" i="37"/>
  <c r="I49" i="37"/>
  <c r="I48" i="37"/>
  <c r="I47" i="37"/>
  <c r="H47" i="37"/>
  <c r="G47" i="37"/>
  <c r="G62" i="37" s="1"/>
  <c r="I46" i="37"/>
  <c r="I45" i="37"/>
  <c r="I44" i="37"/>
  <c r="I43" i="37"/>
  <c r="I41" i="37"/>
  <c r="I40" i="37"/>
  <c r="I39" i="37"/>
  <c r="I38" i="37"/>
  <c r="I37" i="37"/>
  <c r="I36" i="37"/>
  <c r="I32" i="37"/>
  <c r="H32" i="37"/>
  <c r="G32" i="37"/>
  <c r="I31" i="37"/>
  <c r="I30" i="37"/>
  <c r="I29" i="37"/>
  <c r="I28" i="37"/>
  <c r="H26" i="37"/>
  <c r="G26" i="37"/>
  <c r="I26" i="37" s="1"/>
  <c r="I25" i="37"/>
  <c r="H23" i="37"/>
  <c r="G23" i="37"/>
  <c r="I23" i="37" s="1"/>
  <c r="I22" i="37"/>
  <c r="I21" i="37"/>
  <c r="I20" i="37"/>
  <c r="I19" i="37"/>
  <c r="H17" i="37"/>
  <c r="H33" i="37" s="1"/>
  <c r="G17" i="37"/>
  <c r="I17" i="37" s="1"/>
  <c r="I16" i="37"/>
  <c r="I15" i="37"/>
  <c r="I14" i="37"/>
  <c r="I13" i="37"/>
  <c r="I11" i="37"/>
  <c r="H9" i="37"/>
  <c r="H34" i="37" s="1"/>
  <c r="H63" i="37" s="1"/>
  <c r="H72" i="37" s="1"/>
  <c r="G9" i="37"/>
  <c r="I9" i="37" s="1"/>
  <c r="I8" i="37"/>
  <c r="I7" i="37"/>
  <c r="I6" i="37"/>
  <c r="I5" i="37"/>
  <c r="I4" i="37"/>
  <c r="O19" i="1"/>
  <c r="O20" i="1" s="1"/>
  <c r="O13" i="1" l="1"/>
  <c r="I62" i="37"/>
  <c r="G33" i="37"/>
  <c r="I33" i="37" s="1"/>
  <c r="G34" i="37"/>
  <c r="O25" i="1"/>
  <c r="O26" i="1" s="1"/>
  <c r="O16" i="1"/>
  <c r="O11" i="1"/>
  <c r="O9" i="1"/>
  <c r="O18" i="1"/>
  <c r="O23" i="1"/>
  <c r="G63" i="37" l="1"/>
  <c r="I34" i="37"/>
  <c r="G72" i="37" l="1"/>
  <c r="I72" i="37" s="1"/>
  <c r="I63" i="37"/>
  <c r="N9" i="36" l="1"/>
  <c r="N8" i="35"/>
  <c r="H33" i="36"/>
  <c r="N22" i="1"/>
  <c r="N13" i="36"/>
  <c r="N17" i="1"/>
  <c r="N15" i="1"/>
  <c r="N10" i="1"/>
  <c r="N11" i="1" s="1"/>
  <c r="I49" i="36"/>
  <c r="H55" i="36"/>
  <c r="I55" i="36" s="1"/>
  <c r="N6" i="1"/>
  <c r="G69" i="36"/>
  <c r="H68" i="36"/>
  <c r="H69" i="36" s="1"/>
  <c r="G68" i="36"/>
  <c r="I68" i="36" s="1"/>
  <c r="I67" i="36"/>
  <c r="I62" i="36"/>
  <c r="I61" i="36"/>
  <c r="I60" i="36"/>
  <c r="I59" i="36"/>
  <c r="I58" i="36"/>
  <c r="I57" i="36"/>
  <c r="I56" i="36"/>
  <c r="G55" i="36"/>
  <c r="G63" i="36" s="1"/>
  <c r="I54" i="36"/>
  <c r="I53" i="36"/>
  <c r="I51" i="36"/>
  <c r="I50" i="36"/>
  <c r="I48" i="36"/>
  <c r="H47" i="36"/>
  <c r="I47" i="36" s="1"/>
  <c r="G47" i="36"/>
  <c r="I46" i="36"/>
  <c r="I45" i="36"/>
  <c r="I44" i="36"/>
  <c r="I42" i="36"/>
  <c r="I41" i="36"/>
  <c r="I40" i="36"/>
  <c r="I39" i="36"/>
  <c r="I38" i="36"/>
  <c r="I37" i="36"/>
  <c r="I36" i="36"/>
  <c r="H32" i="36"/>
  <c r="G32" i="36"/>
  <c r="I32" i="36" s="1"/>
  <c r="I31" i="36"/>
  <c r="I30" i="36"/>
  <c r="I29" i="36"/>
  <c r="I28" i="36"/>
  <c r="H26" i="36"/>
  <c r="G26" i="36"/>
  <c r="I26" i="36" s="1"/>
  <c r="I25" i="36"/>
  <c r="I24" i="36"/>
  <c r="H22" i="36"/>
  <c r="G22" i="36"/>
  <c r="I22" i="36" s="1"/>
  <c r="I21" i="36"/>
  <c r="I20" i="36"/>
  <c r="I19" i="36"/>
  <c r="I18" i="36"/>
  <c r="H16" i="36"/>
  <c r="G16" i="36"/>
  <c r="G33" i="36" s="1"/>
  <c r="I15" i="36"/>
  <c r="I14" i="36"/>
  <c r="I13" i="36"/>
  <c r="I12" i="36"/>
  <c r="I10" i="36"/>
  <c r="H8" i="36"/>
  <c r="G8" i="36"/>
  <c r="I8" i="36" s="1"/>
  <c r="I7" i="36"/>
  <c r="I6" i="36"/>
  <c r="I5" i="36"/>
  <c r="I4" i="36"/>
  <c r="N16" i="1" l="1"/>
  <c r="N18" i="1"/>
  <c r="N23" i="1"/>
  <c r="N19" i="1"/>
  <c r="N20" i="1" s="1"/>
  <c r="I33" i="36"/>
  <c r="N8" i="1" s="1"/>
  <c r="N12" i="1" s="1"/>
  <c r="N13" i="1" s="1"/>
  <c r="G34" i="36"/>
  <c r="H34" i="36"/>
  <c r="I69" i="36"/>
  <c r="I16" i="36"/>
  <c r="H63" i="36"/>
  <c r="I63" i="36" s="1"/>
  <c r="N9" i="1" l="1"/>
  <c r="H64" i="36"/>
  <c r="H70" i="36" s="1"/>
  <c r="N25" i="1"/>
  <c r="N26" i="1" s="1"/>
  <c r="G64" i="36"/>
  <c r="I34" i="36"/>
  <c r="M22" i="1"/>
  <c r="M17" i="1"/>
  <c r="M15" i="1"/>
  <c r="N12" i="35"/>
  <c r="O2" i="34"/>
  <c r="M10" i="1"/>
  <c r="M8" i="1"/>
  <c r="M6" i="1"/>
  <c r="I72" i="35"/>
  <c r="H72" i="35"/>
  <c r="G72" i="35"/>
  <c r="I71" i="35"/>
  <c r="I69" i="35"/>
  <c r="H69" i="35"/>
  <c r="H73" i="35" s="1"/>
  <c r="G69" i="35"/>
  <c r="G73" i="35" s="1"/>
  <c r="I68" i="35"/>
  <c r="I63" i="35"/>
  <c r="I62" i="35"/>
  <c r="I61" i="35"/>
  <c r="I60" i="35"/>
  <c r="I59" i="35"/>
  <c r="I58" i="35"/>
  <c r="I57" i="35"/>
  <c r="H57" i="35"/>
  <c r="G57" i="35"/>
  <c r="I56" i="35"/>
  <c r="I55" i="35"/>
  <c r="I53" i="35"/>
  <c r="I52" i="35"/>
  <c r="I51" i="35"/>
  <c r="I50" i="35"/>
  <c r="I49" i="35"/>
  <c r="I48" i="35"/>
  <c r="H47" i="35"/>
  <c r="H64" i="35" s="1"/>
  <c r="G47" i="35"/>
  <c r="I47" i="35" s="1"/>
  <c r="I46" i="35"/>
  <c r="I45" i="35"/>
  <c r="I44" i="35"/>
  <c r="I43" i="35"/>
  <c r="I41" i="35"/>
  <c r="I40" i="35"/>
  <c r="I39" i="35"/>
  <c r="I38" i="35"/>
  <c r="I37" i="35"/>
  <c r="G34" i="35"/>
  <c r="H33" i="35"/>
  <c r="G33" i="35"/>
  <c r="I33" i="35" s="1"/>
  <c r="I32" i="35"/>
  <c r="I31" i="35"/>
  <c r="I30" i="35"/>
  <c r="I29" i="35"/>
  <c r="I27" i="35"/>
  <c r="H27" i="35"/>
  <c r="G27" i="35"/>
  <c r="I26" i="35"/>
  <c r="I25" i="35"/>
  <c r="H23" i="35"/>
  <c r="G23" i="35"/>
  <c r="I23" i="35" s="1"/>
  <c r="I22" i="35"/>
  <c r="I21" i="35"/>
  <c r="I20" i="35"/>
  <c r="I19" i="35"/>
  <c r="I17" i="35"/>
  <c r="H17" i="35"/>
  <c r="H34" i="35" s="1"/>
  <c r="H35" i="35" s="1"/>
  <c r="H65" i="35" s="1"/>
  <c r="H74" i="35" s="1"/>
  <c r="G17" i="35"/>
  <c r="I16" i="35"/>
  <c r="I15" i="35"/>
  <c r="I14" i="35"/>
  <c r="I13" i="35"/>
  <c r="I11" i="35"/>
  <c r="I9" i="35"/>
  <c r="H9" i="35"/>
  <c r="G9" i="35"/>
  <c r="G35" i="35" s="1"/>
  <c r="I8" i="35"/>
  <c r="I7" i="35"/>
  <c r="I6" i="35"/>
  <c r="I5" i="35"/>
  <c r="I4" i="35"/>
  <c r="G70" i="36" l="1"/>
  <c r="I70" i="36" s="1"/>
  <c r="I64" i="36"/>
  <c r="M16" i="1"/>
  <c r="M18" i="1"/>
  <c r="M11" i="1"/>
  <c r="M9" i="1"/>
  <c r="M23" i="1"/>
  <c r="M12" i="1"/>
  <c r="M19" i="1"/>
  <c r="M20" i="1" s="1"/>
  <c r="I73" i="35"/>
  <c r="G65" i="35"/>
  <c r="I35" i="35"/>
  <c r="I34" i="35"/>
  <c r="G64" i="35"/>
  <c r="I64" i="35" s="1"/>
  <c r="L22" i="1"/>
  <c r="L17" i="1"/>
  <c r="O6" i="34"/>
  <c r="N15" i="33"/>
  <c r="G59" i="34"/>
  <c r="G59" i="33"/>
  <c r="N11" i="33" s="1"/>
  <c r="H58" i="33"/>
  <c r="L15" i="1"/>
  <c r="L10" i="1"/>
  <c r="L8" i="1"/>
  <c r="L6" i="1"/>
  <c r="G72" i="34"/>
  <c r="G73" i="34" s="1"/>
  <c r="G48" i="34"/>
  <c r="G42" i="34"/>
  <c r="G34" i="34"/>
  <c r="G28" i="34"/>
  <c r="G24" i="34"/>
  <c r="G18" i="34"/>
  <c r="G35" i="34" s="1"/>
  <c r="G9" i="34"/>
  <c r="M25" i="1" l="1"/>
  <c r="M26" i="1" s="1"/>
  <c r="M13" i="1"/>
  <c r="G74" i="35"/>
  <c r="I74" i="35" s="1"/>
  <c r="I65" i="35"/>
  <c r="G67" i="34"/>
  <c r="G36" i="34"/>
  <c r="L23" i="1"/>
  <c r="L18" i="1"/>
  <c r="L16" i="1"/>
  <c r="L11" i="1"/>
  <c r="L9" i="1"/>
  <c r="G68" i="34" l="1"/>
  <c r="G74" i="34" s="1"/>
  <c r="L19" i="1"/>
  <c r="L20" i="1" s="1"/>
  <c r="L12" i="1"/>
  <c r="L13" i="1" s="1"/>
  <c r="L25" i="1" l="1"/>
  <c r="L26" i="1" s="1"/>
  <c r="J72" i="33"/>
  <c r="M68" i="33"/>
  <c r="J71" i="33"/>
  <c r="H71" i="33"/>
  <c r="J66" i="33"/>
  <c r="H66" i="33"/>
  <c r="J58" i="33"/>
  <c r="G64" i="32"/>
  <c r="G67" i="33"/>
  <c r="K22" i="1" s="1"/>
  <c r="K17" i="1"/>
  <c r="N4" i="32"/>
  <c r="N8" i="32" l="1"/>
  <c r="G71" i="32"/>
  <c r="G58" i="32"/>
  <c r="K15" i="1"/>
  <c r="K10" i="1"/>
  <c r="K8" i="1"/>
  <c r="G73" i="33"/>
  <c r="G68" i="33"/>
  <c r="K6" i="1"/>
  <c r="K23" i="1" s="1"/>
  <c r="J6" i="1"/>
  <c r="G72" i="33"/>
  <c r="G49" i="33"/>
  <c r="G33" i="33"/>
  <c r="G27" i="33"/>
  <c r="G23" i="33"/>
  <c r="G17" i="33"/>
  <c r="G34" i="33" s="1"/>
  <c r="K9" i="33"/>
  <c r="L9" i="33" s="1"/>
  <c r="J9" i="33"/>
  <c r="G9" i="33"/>
  <c r="L8" i="33"/>
  <c r="L7" i="33"/>
  <c r="L6" i="33"/>
  <c r="L5" i="33"/>
  <c r="L4" i="33"/>
  <c r="K12" i="1" l="1"/>
  <c r="K13" i="1" s="1"/>
  <c r="K16" i="1"/>
  <c r="K18" i="1"/>
  <c r="K9" i="1"/>
  <c r="K11" i="1"/>
  <c r="K19" i="1"/>
  <c r="K20" i="1" s="1"/>
  <c r="G35" i="33"/>
  <c r="G74" i="33" s="1"/>
  <c r="K25" i="1" l="1"/>
  <c r="G80" i="33" s="1"/>
  <c r="K26" i="1" l="1"/>
  <c r="O7" i="31"/>
  <c r="O7" i="30"/>
  <c r="J17" i="1"/>
  <c r="O3" i="31"/>
  <c r="I17" i="1"/>
  <c r="J15" i="1"/>
  <c r="J10" i="1"/>
  <c r="I10" i="1"/>
  <c r="J8" i="1"/>
  <c r="J9" i="1" s="1"/>
  <c r="G70" i="32"/>
  <c r="G48" i="32"/>
  <c r="J22" i="1" s="1"/>
  <c r="G34" i="32"/>
  <c r="G28" i="32"/>
  <c r="G24" i="32"/>
  <c r="G18" i="32"/>
  <c r="G35" i="32" s="1"/>
  <c r="G9" i="32"/>
  <c r="G36" i="32" s="1"/>
  <c r="G65" i="32" l="1"/>
  <c r="G72" i="32" s="1"/>
  <c r="J11" i="1"/>
  <c r="J18" i="1"/>
  <c r="J12" i="1"/>
  <c r="J13" i="1" s="1"/>
  <c r="J23" i="1"/>
  <c r="J19" i="1"/>
  <c r="J20" i="1" s="1"/>
  <c r="J16" i="1" l="1"/>
  <c r="I22" i="1"/>
  <c r="I15" i="1"/>
  <c r="I8" i="1"/>
  <c r="I6" i="1"/>
  <c r="I18" i="1" s="1"/>
  <c r="G74" i="31"/>
  <c r="G75" i="31" s="1"/>
  <c r="G62" i="31"/>
  <c r="G51" i="31"/>
  <c r="G69" i="31" s="1"/>
  <c r="G37" i="31"/>
  <c r="G31" i="31"/>
  <c r="G27" i="31"/>
  <c r="G20" i="31"/>
  <c r="G38" i="31" s="1"/>
  <c r="G39" i="31" s="1"/>
  <c r="G70" i="31" s="1"/>
  <c r="G76" i="31" s="1"/>
  <c r="G9" i="31"/>
  <c r="J12" i="31"/>
  <c r="J25" i="1" l="1"/>
  <c r="I19" i="1"/>
  <c r="I20" i="1" s="1"/>
  <c r="I12" i="1"/>
  <c r="I13" i="1" s="1"/>
  <c r="I23" i="1"/>
  <c r="I9" i="1"/>
  <c r="I11" i="1"/>
  <c r="I16" i="1"/>
  <c r="J26" i="1" l="1"/>
  <c r="G76" i="32"/>
  <c r="I25" i="1"/>
  <c r="G78" i="31" s="1"/>
  <c r="H17" i="1"/>
  <c r="O3" i="30"/>
  <c r="H15" i="1"/>
  <c r="H10" i="1"/>
  <c r="H8" i="1"/>
  <c r="H6" i="1"/>
  <c r="G71" i="30"/>
  <c r="G72" i="30" s="1"/>
  <c r="G68" i="30"/>
  <c r="G56" i="30"/>
  <c r="G63" i="30" s="1"/>
  <c r="H22" i="1" s="1"/>
  <c r="G46" i="30"/>
  <c r="G31" i="30"/>
  <c r="G32" i="30" s="1"/>
  <c r="G24" i="30"/>
  <c r="G17" i="30"/>
  <c r="G8" i="30"/>
  <c r="J12" i="30"/>
  <c r="I26" i="1" l="1"/>
  <c r="H18" i="1"/>
  <c r="H19" i="1"/>
  <c r="H20" i="1" s="1"/>
  <c r="H9" i="1"/>
  <c r="H23" i="1"/>
  <c r="G33" i="30"/>
  <c r="G64" i="30" s="1"/>
  <c r="G73" i="30" s="1"/>
  <c r="H11" i="1"/>
  <c r="H12" i="1"/>
  <c r="H13" i="1" s="1"/>
  <c r="H16" i="1"/>
  <c r="G6" i="1"/>
  <c r="O7" i="29"/>
  <c r="G22" i="1"/>
  <c r="G17" i="1"/>
  <c r="O3" i="29"/>
  <c r="G15" i="1"/>
  <c r="G10" i="1"/>
  <c r="G68" i="29"/>
  <c r="G65" i="29"/>
  <c r="G69" i="29" s="1"/>
  <c r="G55" i="29"/>
  <c r="G46" i="29"/>
  <c r="G60" i="29" s="1"/>
  <c r="G33" i="29"/>
  <c r="G27" i="29"/>
  <c r="G23" i="29"/>
  <c r="G17" i="29"/>
  <c r="G8" i="29"/>
  <c r="H25" i="1" l="1"/>
  <c r="G34" i="29"/>
  <c r="G8" i="1" s="1"/>
  <c r="G12" i="1" s="1"/>
  <c r="G18" i="1"/>
  <c r="G11" i="1"/>
  <c r="G16" i="1"/>
  <c r="G23" i="1"/>
  <c r="G19" i="1"/>
  <c r="G20" i="1" s="1"/>
  <c r="J12" i="29"/>
  <c r="H26" i="1" l="1"/>
  <c r="G75" i="30"/>
  <c r="G35" i="29"/>
  <c r="G61" i="29" s="1"/>
  <c r="G70" i="29" s="1"/>
  <c r="G9" i="1"/>
  <c r="G13" i="1"/>
  <c r="G25" i="1"/>
  <c r="O7" i="28"/>
  <c r="F22" i="1"/>
  <c r="F17" i="1"/>
  <c r="O3" i="28"/>
  <c r="F15" i="1"/>
  <c r="P19" i="1" s="1"/>
  <c r="F10" i="1"/>
  <c r="F8" i="1"/>
  <c r="F6" i="1"/>
  <c r="P20" i="1" l="1"/>
  <c r="G26" i="1"/>
  <c r="P11" i="1"/>
  <c r="P18" i="1"/>
  <c r="P9" i="1"/>
  <c r="P23" i="1"/>
  <c r="P16" i="1"/>
  <c r="P13" i="1" l="1"/>
  <c r="P26" i="1"/>
  <c r="G75" i="28"/>
  <c r="G71" i="28"/>
  <c r="G76" i="28" s="1"/>
  <c r="G59" i="28"/>
  <c r="G48" i="28"/>
  <c r="G66" i="28" s="1"/>
  <c r="G33" i="28"/>
  <c r="G34" i="28" s="1"/>
  <c r="G28" i="28"/>
  <c r="G24" i="28"/>
  <c r="G18" i="28"/>
  <c r="G35" i="28" s="1"/>
  <c r="J12" i="28"/>
  <c r="G12" i="28"/>
  <c r="G10" i="28"/>
  <c r="G36" i="28" l="1"/>
  <c r="G67" i="28" s="1"/>
  <c r="G77" i="28" s="1"/>
  <c r="F9" i="1" l="1"/>
  <c r="F11" i="1" l="1"/>
  <c r="F16" i="1"/>
  <c r="F18" i="1"/>
  <c r="F23" i="1"/>
  <c r="F12" i="1"/>
  <c r="F13" i="1" s="1"/>
  <c r="F19" i="1"/>
  <c r="F20" i="1" s="1"/>
  <c r="F25" i="1" l="1"/>
  <c r="F26" i="1" s="1"/>
  <c r="L30" i="26" l="1"/>
  <c r="K48" i="26"/>
  <c r="K46" i="26"/>
  <c r="K45" i="26"/>
  <c r="L45" i="26" s="1"/>
  <c r="M45" i="26" s="1"/>
  <c r="K44" i="26"/>
  <c r="L44" i="26" s="1"/>
  <c r="K43" i="26"/>
  <c r="K42" i="26"/>
  <c r="K41" i="26"/>
  <c r="K40" i="26"/>
  <c r="K39" i="26"/>
  <c r="L39" i="26" s="1"/>
  <c r="K38" i="26"/>
  <c r="K36" i="26"/>
  <c r="K37" i="26"/>
  <c r="K35" i="26"/>
  <c r="L35" i="26" s="1"/>
  <c r="K33" i="26"/>
  <c r="K32" i="26"/>
  <c r="L32" i="26" s="1"/>
  <c r="K31" i="26"/>
  <c r="K28" i="26"/>
  <c r="K29" i="26"/>
  <c r="K27" i="26"/>
  <c r="J53" i="26"/>
  <c r="L53" i="26" s="1"/>
  <c r="J52" i="26"/>
  <c r="L52" i="26" s="1"/>
  <c r="J51" i="26"/>
  <c r="L51" i="26" s="1"/>
  <c r="J50" i="26"/>
  <c r="L50" i="26" s="1"/>
  <c r="J49" i="26"/>
  <c r="L49" i="26" s="1"/>
  <c r="J48" i="26"/>
  <c r="J46" i="26"/>
  <c r="J43" i="26"/>
  <c r="J42" i="26"/>
  <c r="J41" i="26"/>
  <c r="J40" i="26"/>
  <c r="J38" i="26"/>
  <c r="J37" i="26"/>
  <c r="J36" i="26"/>
  <c r="J33" i="26"/>
  <c r="L33" i="26" s="1"/>
  <c r="J31" i="26"/>
  <c r="J29" i="26"/>
  <c r="J28" i="26"/>
  <c r="J27" i="26"/>
  <c r="J18" i="26"/>
  <c r="L18" i="26" s="1"/>
  <c r="J21" i="26"/>
  <c r="K21" i="26"/>
  <c r="M10" i="27"/>
  <c r="M9" i="27"/>
  <c r="M8" i="27"/>
  <c r="M7" i="27"/>
  <c r="M6" i="27"/>
  <c r="L10" i="27"/>
  <c r="L9" i="27"/>
  <c r="L8" i="27"/>
  <c r="L7" i="27"/>
  <c r="L6" i="27"/>
  <c r="G64" i="27"/>
  <c r="G65" i="27" s="1"/>
  <c r="G44" i="27"/>
  <c r="G58" i="27" s="1"/>
  <c r="G32" i="27"/>
  <c r="G28" i="27"/>
  <c r="G24" i="27"/>
  <c r="G18" i="27"/>
  <c r="G10" i="27"/>
  <c r="L6" i="26"/>
  <c r="L7" i="26"/>
  <c r="L8" i="26"/>
  <c r="L9" i="26"/>
  <c r="L5" i="26"/>
  <c r="K9" i="26"/>
  <c r="K8" i="26"/>
  <c r="M8" i="26" s="1"/>
  <c r="K7" i="26"/>
  <c r="K6" i="26"/>
  <c r="M6" i="26" s="1"/>
  <c r="K5" i="26"/>
  <c r="L29" i="26" l="1"/>
  <c r="L41" i="26"/>
  <c r="L31" i="26"/>
  <c r="L38" i="26"/>
  <c r="L27" i="26"/>
  <c r="L36" i="26"/>
  <c r="L42" i="26"/>
  <c r="L46" i="26"/>
  <c r="L21" i="26"/>
  <c r="L28" i="26"/>
  <c r="L43" i="26"/>
  <c r="L48" i="26"/>
  <c r="L37" i="26"/>
  <c r="L40" i="26"/>
  <c r="M40" i="26" s="1"/>
  <c r="G33" i="27"/>
  <c r="G34" i="27" s="1"/>
  <c r="G59" i="27" s="1"/>
  <c r="G66" i="27" s="1"/>
  <c r="N8" i="27"/>
  <c r="N7" i="27"/>
  <c r="N9" i="27"/>
  <c r="M7" i="26"/>
  <c r="L10" i="26"/>
  <c r="L11" i="26" s="1"/>
  <c r="K10" i="26"/>
  <c r="K11" i="26" s="1"/>
  <c r="M9" i="26"/>
  <c r="M5" i="26"/>
  <c r="M11" i="27"/>
  <c r="M12" i="27" s="1"/>
  <c r="L11" i="27"/>
  <c r="N10" i="27"/>
  <c r="N6" i="27"/>
  <c r="G68" i="26"/>
  <c r="G69" i="26" s="1"/>
  <c r="G47" i="26"/>
  <c r="G62" i="26" s="1"/>
  <c r="G35" i="26"/>
  <c r="G31" i="26"/>
  <c r="G27" i="26"/>
  <c r="G20" i="26"/>
  <c r="G12" i="26"/>
  <c r="M11" i="26" l="1"/>
  <c r="M10" i="26"/>
  <c r="G36" i="26"/>
  <c r="G37" i="26" s="1"/>
  <c r="G63" i="26" s="1"/>
  <c r="G70" i="26" s="1"/>
  <c r="N11" i="27"/>
  <c r="L12" i="27"/>
  <c r="N12" i="27" s="1"/>
  <c r="K19" i="26"/>
  <c r="K20" i="26" l="1"/>
  <c r="K34" i="26" l="1"/>
  <c r="K47" i="26"/>
  <c r="J9" i="23"/>
  <c r="I9" i="23"/>
  <c r="H9" i="23"/>
  <c r="G9" i="23"/>
  <c r="F9" i="23"/>
  <c r="E9" i="23"/>
  <c r="D9" i="23"/>
  <c r="C9" i="23"/>
  <c r="B9" i="23"/>
  <c r="J19" i="26" l="1"/>
  <c r="L19" i="26" s="1"/>
  <c r="K54" i="26"/>
  <c r="J20" i="26"/>
  <c r="L20" i="26" s="1"/>
  <c r="J34" i="26" l="1"/>
  <c r="K17" i="26" l="1"/>
  <c r="K22" i="26" s="1"/>
  <c r="K23" i="26" s="1"/>
  <c r="L34" i="26"/>
  <c r="J47" i="26"/>
  <c r="L47" i="26" s="1"/>
  <c r="L54" i="26" s="1"/>
  <c r="J54" i="26" l="1"/>
  <c r="J17" i="26" l="1"/>
  <c r="L17" i="26" s="1"/>
  <c r="I13" i="4"/>
  <c r="I14" i="4"/>
  <c r="I15" i="4"/>
  <c r="I16" i="4"/>
  <c r="I17" i="4"/>
  <c r="I18" i="4"/>
  <c r="I19" i="4"/>
  <c r="I20" i="4"/>
  <c r="I22" i="4"/>
  <c r="I23" i="4"/>
  <c r="I24" i="4"/>
  <c r="I25" i="4"/>
  <c r="I26" i="4"/>
  <c r="I27" i="4"/>
  <c r="I28" i="4"/>
  <c r="I30" i="4"/>
  <c r="I31" i="4"/>
  <c r="I32" i="4"/>
  <c r="I35" i="4"/>
  <c r="I36" i="4"/>
  <c r="I37" i="4"/>
  <c r="I38" i="4"/>
  <c r="I39" i="4"/>
  <c r="I43" i="4"/>
  <c r="I44" i="4"/>
  <c r="I45" i="4"/>
  <c r="I46" i="4"/>
  <c r="I47" i="4"/>
  <c r="I48" i="4"/>
  <c r="I50" i="4"/>
  <c r="I51" i="4"/>
  <c r="I52" i="4"/>
  <c r="I55" i="4"/>
  <c r="I56" i="4"/>
  <c r="I57" i="4"/>
  <c r="I59" i="4"/>
  <c r="I60" i="4"/>
  <c r="I61" i="4"/>
  <c r="I62" i="4"/>
  <c r="I63" i="4"/>
  <c r="I64" i="4"/>
  <c r="I65" i="4"/>
  <c r="I66" i="4"/>
  <c r="I67" i="4"/>
  <c r="I69" i="4"/>
  <c r="I70" i="4"/>
  <c r="I71" i="4"/>
  <c r="I72" i="4"/>
  <c r="I73" i="4"/>
  <c r="I78" i="4"/>
  <c r="I79" i="4"/>
  <c r="I80" i="4"/>
  <c r="I82" i="4"/>
  <c r="I83" i="4"/>
  <c r="I84" i="4"/>
  <c r="I85" i="4"/>
  <c r="I86" i="4"/>
  <c r="D16" i="2"/>
  <c r="G86" i="4"/>
  <c r="G81" i="4"/>
  <c r="G87" i="4" s="1"/>
  <c r="I87" i="4" s="1"/>
  <c r="G75" i="4"/>
  <c r="I75" i="4" s="1"/>
  <c r="G74" i="4"/>
  <c r="I74" i="4" s="1"/>
  <c r="G68" i="4"/>
  <c r="C16" i="2" s="1"/>
  <c r="Q57" i="4"/>
  <c r="Q59" i="4" s="1"/>
  <c r="G54" i="4"/>
  <c r="G58" i="4" s="1"/>
  <c r="I58" i="4" s="1"/>
  <c r="G53" i="4"/>
  <c r="G49" i="4"/>
  <c r="I49" i="4" s="1"/>
  <c r="G40" i="4"/>
  <c r="I40" i="4" s="1"/>
  <c r="G33" i="4"/>
  <c r="G34" i="4" s="1"/>
  <c r="C14" i="2" s="1"/>
  <c r="G29" i="4"/>
  <c r="I29" i="4" s="1"/>
  <c r="G21" i="4"/>
  <c r="I21" i="4" s="1"/>
  <c r="G7" i="4"/>
  <c r="G12" i="4" s="1"/>
  <c r="B25" i="2"/>
  <c r="B22" i="2"/>
  <c r="B18" i="2"/>
  <c r="B19" i="2" s="1"/>
  <c r="B17" i="2"/>
  <c r="B15" i="2"/>
  <c r="B13" i="2"/>
  <c r="B11" i="2"/>
  <c r="B9" i="2"/>
  <c r="J22" i="26" l="1"/>
  <c r="J23" i="26" s="1"/>
  <c r="I68" i="4"/>
  <c r="G76" i="4"/>
  <c r="J87" i="4" s="1"/>
  <c r="I34" i="4"/>
  <c r="I54" i="4"/>
  <c r="C10" i="2"/>
  <c r="B10" i="1" s="1"/>
  <c r="I12" i="4"/>
  <c r="I81" i="4"/>
  <c r="I53" i="4"/>
  <c r="I33" i="4"/>
  <c r="C7" i="2"/>
  <c r="B6" i="1" s="1"/>
  <c r="G41" i="4"/>
  <c r="G42" i="4" s="1"/>
  <c r="I42" i="4" s="1"/>
  <c r="C15" i="2"/>
  <c r="D14" i="2" s="1"/>
  <c r="D15" i="2" s="1"/>
  <c r="B15" i="1"/>
  <c r="B17" i="1"/>
  <c r="C18" i="2"/>
  <c r="C19" i="2" s="1"/>
  <c r="D18" i="2" s="1"/>
  <c r="C21" i="2" l="1"/>
  <c r="C11" i="2"/>
  <c r="D10" i="2" s="1"/>
  <c r="D11" i="2" s="1"/>
  <c r="I76" i="4"/>
  <c r="L22" i="26"/>
  <c r="L23" i="26" s="1"/>
  <c r="C22" i="2"/>
  <c r="D21" i="2" s="1"/>
  <c r="D22" i="2" s="1"/>
  <c r="G77" i="4"/>
  <c r="B22" i="1"/>
  <c r="B23" i="1" s="1"/>
  <c r="C8" i="2"/>
  <c r="I41" i="4"/>
  <c r="B19" i="1"/>
  <c r="B20" i="1" s="1"/>
  <c r="D19" i="2"/>
  <c r="B16" i="1"/>
  <c r="B11" i="1"/>
  <c r="B18" i="1"/>
  <c r="G88" i="4" l="1"/>
  <c r="I77" i="4"/>
  <c r="J88" i="4"/>
  <c r="B8" i="1"/>
  <c r="C9" i="2"/>
  <c r="D8" i="2" s="1"/>
  <c r="D9" i="2" s="1"/>
  <c r="C12" i="2"/>
  <c r="B12" i="1" l="1"/>
  <c r="B9" i="1"/>
  <c r="C24" i="2"/>
  <c r="I88" i="4"/>
  <c r="C26" i="2"/>
  <c r="C13" i="2"/>
  <c r="D12" i="2" s="1"/>
  <c r="B13" i="1" l="1"/>
  <c r="C25" i="2"/>
  <c r="D24" i="2" s="1"/>
  <c r="D25" i="2" s="1"/>
  <c r="B25" i="1"/>
  <c r="B26" i="1" s="1"/>
  <c r="D13" i="2"/>
  <c r="D26" i="2"/>
</calcChain>
</file>

<file path=xl/comments1.xml><?xml version="1.0" encoding="utf-8"?>
<comments xmlns="http://schemas.openxmlformats.org/spreadsheetml/2006/main">
  <authors>
    <author>Chathurangani</author>
    <author>Stanley Samidas</author>
  </authors>
  <commentList>
    <comment ref="K17" authorId="0" shapeId="0">
      <text>
        <r>
          <rPr>
            <sz val="9"/>
            <color indexed="81"/>
            <rFont val="Tahoma"/>
            <family val="2"/>
          </rPr>
          <t xml:space="preserve">Due to 5 weeks for the June month salary increase 15K 
</t>
        </r>
      </text>
    </comment>
    <comment ref="N17" authorId="0" shapeId="0">
      <text>
        <r>
          <rPr>
            <b/>
            <sz val="9"/>
            <color indexed="81"/>
            <rFont val="Tahoma"/>
            <charset val="1"/>
          </rPr>
          <t>Chathu:
Due to 5 weeks for this period and Direct Labor  catorgarization has been changed into salary this period onwards.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2" authorId="1" shapeId="0">
      <text>
        <r>
          <rPr>
            <b/>
            <sz val="9"/>
            <color indexed="81"/>
            <rFont val="Tahoma"/>
            <charset val="1"/>
          </rPr>
          <t>Stanley Samidas:</t>
        </r>
        <r>
          <rPr>
            <sz val="9"/>
            <color indexed="81"/>
            <rFont val="Tahoma"/>
            <charset val="1"/>
          </rPr>
          <t xml:space="preserve">
due to additional cost
lawyer fee 14.2K
Rent 2.7K
other expenses 8K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 xml:space="preserve">Due to additional cost of 
Utilities : 2K 
Interest Expense due to short term loans : 34K
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Chathurangani</author>
  </authors>
  <commentList>
    <comment ref="F49" authorId="0" shapeId="0">
      <text>
        <r>
          <rPr>
            <b/>
            <sz val="9"/>
            <color indexed="81"/>
            <rFont val="Tahoma"/>
            <charset val="1"/>
          </rPr>
          <t>Chathurangani:</t>
        </r>
        <r>
          <rPr>
            <sz val="9"/>
            <color indexed="81"/>
            <rFont val="Tahoma"/>
            <charset val="1"/>
          </rPr>
          <t xml:space="preserve">
NEW PAYROLL SYSTEM (TRINET) PENDING TO BE REGULARIZE THE QB IMPORT DATA</t>
        </r>
      </text>
    </comment>
  </commentList>
</comments>
</file>

<file path=xl/comments3.xml><?xml version="1.0" encoding="utf-8"?>
<comments xmlns="http://schemas.openxmlformats.org/spreadsheetml/2006/main">
  <authors>
    <author>Abhirami Thavarajah</author>
  </authors>
  <commentList>
    <comment ref="I20" authorId="0" shapeId="0">
      <text>
        <r>
          <rPr>
            <b/>
            <sz val="9"/>
            <color indexed="81"/>
            <rFont val="Tahoma"/>
            <family val="2"/>
          </rPr>
          <t>Abhirami Thavarajah:</t>
        </r>
        <r>
          <rPr>
            <sz val="9"/>
            <color indexed="81"/>
            <rFont val="Tahoma"/>
            <family val="2"/>
          </rPr>
          <t xml:space="preserve">
Direct Admin, Communication exp, Finanace and other charges, Selling and distribution exp, travelling and transport</t>
        </r>
      </text>
    </comment>
    <comment ref="L40" authorId="0" shapeId="0">
      <text>
        <r>
          <rPr>
            <b/>
            <sz val="9"/>
            <color indexed="81"/>
            <rFont val="Tahoma"/>
            <family val="2"/>
          </rPr>
          <t>Abhirami Thavarajah:</t>
        </r>
        <r>
          <rPr>
            <sz val="9"/>
            <color indexed="81"/>
            <rFont val="Tahoma"/>
            <family val="2"/>
          </rPr>
          <t xml:space="preserve">
Note from Sathika on Rent :
"Please note that I have added monthly rental as $ 26,000/- to  LIONSROCK INVESTMENTS, as this rent started effective 1/1/2015 as per advice I got from Varuni based on there lease agreement and she advised me that we will not be paying rent to AGY LLC going forward. At present there are 2 rental fee for AGY &amp; Lionrock investment in QB". So taken 26,000 $ as the rent for Feb period.</t>
        </r>
      </text>
    </comment>
  </commentList>
</comments>
</file>

<file path=xl/sharedStrings.xml><?xml version="1.0" encoding="utf-8"?>
<sst xmlns="http://schemas.openxmlformats.org/spreadsheetml/2006/main" count="1266" uniqueCount="230">
  <si>
    <t>Freight &amp; Custom Cost % of Sales</t>
  </si>
  <si>
    <t>Direct Labor % of Sales</t>
  </si>
  <si>
    <t>Salary % of Sales</t>
  </si>
  <si>
    <t>Total Direct and Salary % of Sales</t>
  </si>
  <si>
    <t>All Overhead $ (minus all labor)</t>
  </si>
  <si>
    <t>Actual</t>
  </si>
  <si>
    <t>Sales $</t>
  </si>
  <si>
    <t>All Overhead % (minus all labor)</t>
  </si>
  <si>
    <t>Net Income $</t>
  </si>
  <si>
    <t>Net Income %</t>
  </si>
  <si>
    <t>Direct Labor $</t>
  </si>
  <si>
    <t>Salary $</t>
  </si>
  <si>
    <t>Tropical Fish International (Pvt) Ltd</t>
  </si>
  <si>
    <t>Fish/ Product Cost $</t>
  </si>
  <si>
    <t>Fish/ Product Cost % of Sales</t>
  </si>
  <si>
    <t>Total Fish/Prod/Frt/ Cust % of Sales</t>
  </si>
  <si>
    <t>Budget</t>
  </si>
  <si>
    <t>Freight &amp; Custom Cost $</t>
  </si>
  <si>
    <t>Total Fish/Prod/Frt/ Cust $</t>
  </si>
  <si>
    <t>Total Direct and Salary $</t>
  </si>
  <si>
    <t>Location: Los Angeles</t>
  </si>
  <si>
    <t>CIS International</t>
  </si>
  <si>
    <t xml:space="preserve">CIS International Holdings Corp. </t>
  </si>
  <si>
    <t>Budget 2014- FINAL</t>
  </si>
  <si>
    <t>Gardena, CA, U.S.A</t>
  </si>
  <si>
    <t>Flash reports - Comparisons - 2012 - 2013</t>
  </si>
  <si>
    <t xml:space="preserve">Location: Los Angeles </t>
  </si>
  <si>
    <t>12 Mos</t>
  </si>
  <si>
    <t>Fish/Product Cost $</t>
  </si>
  <si>
    <t>Fish/Product Cost % of sales</t>
  </si>
  <si>
    <t>Total Fish/Product/Frt/Custom $</t>
  </si>
  <si>
    <t>Total Fish/Product/Frt/Custom % of Sales</t>
  </si>
  <si>
    <t>Net Income $                                                               *</t>
  </si>
  <si>
    <t>Net Income % Sales</t>
  </si>
  <si>
    <t xml:space="preserve">                                                                                                        *  Pl note </t>
  </si>
  <si>
    <t>Net Income for 2012 is</t>
  </si>
  <si>
    <t xml:space="preserve">after Journal adjustment of </t>
  </si>
  <si>
    <t>Jan - Dec 13</t>
  </si>
  <si>
    <t>Jan-14</t>
  </si>
  <si>
    <t>Ordinary Income/Expense</t>
  </si>
  <si>
    <t>Income</t>
  </si>
  <si>
    <t>Discounts on Sales</t>
  </si>
  <si>
    <t>DOA</t>
  </si>
  <si>
    <t>Discounts on Sales - Other</t>
  </si>
  <si>
    <t>Total Discounts on Sales</t>
  </si>
  <si>
    <t>Packing Charges Reimbursed</t>
  </si>
  <si>
    <t>Sales - Accessories</t>
  </si>
  <si>
    <t>Sales -Tropical Fish</t>
  </si>
  <si>
    <t>Warehousing &amp; Logistic Services</t>
  </si>
  <si>
    <t>Total Income</t>
  </si>
  <si>
    <t>Cost of Goods Sold</t>
  </si>
  <si>
    <t>Plants &amp; Aquatics</t>
  </si>
  <si>
    <t>Live Rock</t>
  </si>
  <si>
    <t>Critical Supplies</t>
  </si>
  <si>
    <t>Fish</t>
  </si>
  <si>
    <t>Live Stock Purchase-651</t>
  </si>
  <si>
    <t>Live Stock Purchase-193</t>
  </si>
  <si>
    <t>Total Fish</t>
  </si>
  <si>
    <t>Freight &amp; Clearance Fees</t>
  </si>
  <si>
    <t>Clearance &amp; Document Fees</t>
  </si>
  <si>
    <t>Freight, Domestic</t>
  </si>
  <si>
    <t>Freight, International</t>
  </si>
  <si>
    <t>Import</t>
  </si>
  <si>
    <t>Other Chg, Hnd, Cites, Cert.</t>
  </si>
  <si>
    <t>Freight &amp; Clearance Fees - Other</t>
  </si>
  <si>
    <t>Total Freight &amp; Clearance Fees</t>
  </si>
  <si>
    <t>Inventory Adjustment</t>
  </si>
  <si>
    <t>Labor Costs1</t>
  </si>
  <si>
    <t>Subcontractor</t>
  </si>
  <si>
    <t>Labor Costs1 - Other</t>
  </si>
  <si>
    <t>Total Labor Costs1</t>
  </si>
  <si>
    <t>Packaging Costs</t>
  </si>
  <si>
    <t>Bags</t>
  </si>
  <si>
    <t>Boxes</t>
  </si>
  <si>
    <t>Packing Materials - Suppliers</t>
  </si>
  <si>
    <t>Packaging Costs - Other</t>
  </si>
  <si>
    <t>Total Packaging Costs</t>
  </si>
  <si>
    <t>Total COGS</t>
  </si>
  <si>
    <t>Gross Profit</t>
  </si>
  <si>
    <t>Expense</t>
  </si>
  <si>
    <t>Delivery Charges</t>
  </si>
  <si>
    <t>Collection fees</t>
  </si>
  <si>
    <t>Postage</t>
  </si>
  <si>
    <t>Automobile Expense &amp; Fuel</t>
  </si>
  <si>
    <t>Bank Charges</t>
  </si>
  <si>
    <t>Computer &amp; Internet charges</t>
  </si>
  <si>
    <t>Depreciation Expense</t>
  </si>
  <si>
    <t>Dues and Subscriptions</t>
  </si>
  <si>
    <t>Freight</t>
  </si>
  <si>
    <t>Insurance</t>
  </si>
  <si>
    <t>Legal &amp; Accounting &amp; IT Fees</t>
  </si>
  <si>
    <t>Accounting</t>
  </si>
  <si>
    <t>Legal &amp; Professional Fees</t>
  </si>
  <si>
    <t>Legal &amp; Accounting &amp; IT Fees - Other</t>
  </si>
  <si>
    <t xml:space="preserve">Including additional monthly service charge $ 21,150 (Manually) </t>
  </si>
  <si>
    <t>Total Legal &amp; Accounting &amp; IT Fees</t>
  </si>
  <si>
    <t>Subject to confirmation by Varuni -(QB has not yet adjusted )</t>
  </si>
  <si>
    <t>Licenses and Permits</t>
  </si>
  <si>
    <t>Meals &amp; Entertainment</t>
  </si>
  <si>
    <t>Miscellaneous</t>
  </si>
  <si>
    <t>Outside Services</t>
  </si>
  <si>
    <t>Payroll Tax</t>
  </si>
  <si>
    <t>Penalties / Late Fees</t>
  </si>
  <si>
    <t>Pest Control</t>
  </si>
  <si>
    <t>Rent</t>
  </si>
  <si>
    <t>Repairs &amp; Maintenance</t>
  </si>
  <si>
    <t>Salary &amp; Wages</t>
  </si>
  <si>
    <t>Security</t>
  </si>
  <si>
    <t>Staff Welfare &amp; Reimbursement</t>
  </si>
  <si>
    <t>Supplies Office &amp; Warehouse</t>
  </si>
  <si>
    <t>Tax Expenses</t>
  </si>
  <si>
    <t>Telephone</t>
  </si>
  <si>
    <t>Travel</t>
  </si>
  <si>
    <t>Utilities</t>
  </si>
  <si>
    <t>Total Expense</t>
  </si>
  <si>
    <t>Net Ordinary Income</t>
  </si>
  <si>
    <t>Other Income/Expense</t>
  </si>
  <si>
    <t>Other Income</t>
  </si>
  <si>
    <t>Total Other Income</t>
  </si>
  <si>
    <t>Other Expense</t>
  </si>
  <si>
    <t>Income Tax Provision - CA</t>
  </si>
  <si>
    <t>Interest Expense</t>
  </si>
  <si>
    <t>Other Expenses</t>
  </si>
  <si>
    <t>Total Other Expense</t>
  </si>
  <si>
    <t>Net Other Income</t>
  </si>
  <si>
    <t>Net Income</t>
  </si>
  <si>
    <t>Existing  back off Charge with QB</t>
  </si>
  <si>
    <t xml:space="preserve">Accounting </t>
  </si>
  <si>
    <t>21,150   x 12</t>
  </si>
  <si>
    <t>Software-F/A</t>
  </si>
  <si>
    <t>QB records</t>
  </si>
  <si>
    <t>Freight Charges Reimbursed</t>
  </si>
  <si>
    <t xml:space="preserve">Budget </t>
  </si>
  <si>
    <t>Jan 2 - 29, 15</t>
  </si>
  <si>
    <t>Apportionment Basis - Given by Sam - on 13th Feb 2015</t>
  </si>
  <si>
    <t>Company</t>
  </si>
  <si>
    <t>HR</t>
  </si>
  <si>
    <t>IT</t>
  </si>
  <si>
    <t>Finance</t>
  </si>
  <si>
    <t>Admin</t>
  </si>
  <si>
    <t>Gen.Mgt</t>
  </si>
  <si>
    <t>SPD</t>
  </si>
  <si>
    <t>Marketing</t>
  </si>
  <si>
    <t>Overheads</t>
  </si>
  <si>
    <t>TeKSS</t>
  </si>
  <si>
    <t>TFI</t>
  </si>
  <si>
    <t>CIS</t>
  </si>
  <si>
    <t>STF</t>
  </si>
  <si>
    <t>Total</t>
  </si>
  <si>
    <t>US $</t>
  </si>
  <si>
    <t>02.Head Office Related Overhead</t>
  </si>
  <si>
    <t>Other overheads</t>
  </si>
  <si>
    <r>
      <rPr>
        <b/>
        <sz val="11"/>
        <color theme="1"/>
        <rFont val="Calibri"/>
        <family val="2"/>
        <scheme val="minor"/>
      </rPr>
      <t>01.</t>
    </r>
    <r>
      <rPr>
        <sz val="11"/>
        <color theme="1"/>
        <rFont val="Calibri"/>
        <family val="2"/>
        <scheme val="minor"/>
      </rPr>
      <t xml:space="preserve"> CIS - Direct Overhead</t>
    </r>
  </si>
  <si>
    <t>Jan 30 - Feb 26, 15</t>
  </si>
  <si>
    <t>Indrani</t>
  </si>
  <si>
    <t>We need to look closer at the observations below - that Bob pointed out - and we need a simple but detailed line by line review and explanation on the following discrepancies.</t>
  </si>
  <si>
    <t>Abhirami</t>
  </si>
  <si>
    <t>Pls give facts and figures and direct any query on discrepancies and POSSIBLE reasons and I will answer them or seek additional info.</t>
  </si>
  <si>
    <t>Pls revert URGENTLY.</t>
  </si>
  <si>
    <t>P and L observations 3-13-15</t>
  </si>
  <si>
    <t>1. Total Sales in QB and KPM report are off once again for both Jan and Feb.</t>
  </si>
  <si>
    <t xml:space="preserve">     A. Need breakdown of discrepancy</t>
  </si>
  <si>
    <t>2. Overhead minus Labor in US is up from $95k in Jan to $132k in Feb. need to know detail for Jan and Feb and reasons for increase.</t>
  </si>
  <si>
    <t>3. TKSS Salaries - are they realistic or why is it understated ?</t>
  </si>
  <si>
    <t>4. Need KPM COGS ratios for each Cust category - Petco, .Com, wholesale</t>
  </si>
  <si>
    <t>P &amp; L  - Extract from QB - on 16th Mar</t>
  </si>
  <si>
    <t>A. Breakdown of Discrepancy</t>
  </si>
  <si>
    <t>frm QB - extract on 16th Mar</t>
  </si>
  <si>
    <t>frm QB - extract on 9th Mar by  Abhi</t>
  </si>
  <si>
    <t>To the nearest '000</t>
  </si>
  <si>
    <t>Difference</t>
  </si>
  <si>
    <t>This is the figure appeared in KPM sent to Bob</t>
  </si>
  <si>
    <t>frm QB - extract on 6th Feb by  Abhi</t>
  </si>
  <si>
    <t>01.) A. Breakdown of Discrepancy</t>
  </si>
  <si>
    <t>02). Overhead minus labor - amount increase</t>
  </si>
  <si>
    <t>To nearest 1000</t>
  </si>
  <si>
    <t>Reasons</t>
  </si>
  <si>
    <t>01. CIS - Direct Overhead</t>
  </si>
  <si>
    <t>Other expense</t>
  </si>
  <si>
    <t>Depreciation</t>
  </si>
  <si>
    <t>Staff welfare &amp; recruitment</t>
  </si>
  <si>
    <t>Key Performance Metrics- 2016 ($,000)</t>
  </si>
  <si>
    <t>Jan 1 - 28, 16</t>
  </si>
  <si>
    <t>Customer Credits Memos</t>
  </si>
  <si>
    <t>Live Stock Purchase-500</t>
  </si>
  <si>
    <t>Advertising</t>
  </si>
  <si>
    <t>Employee Bonus</t>
  </si>
  <si>
    <t>Salary &amp; Wages - Other</t>
  </si>
  <si>
    <t>Total Salary &amp; Wages</t>
  </si>
  <si>
    <t>Note  - 01 - Salary</t>
  </si>
  <si>
    <t>Apportionment %</t>
  </si>
  <si>
    <t>Comments</t>
  </si>
  <si>
    <r>
      <rPr>
        <b/>
        <sz val="11"/>
        <color theme="1"/>
        <rFont val="Calibri"/>
        <family val="2"/>
        <scheme val="minor"/>
      </rPr>
      <t>01.</t>
    </r>
    <r>
      <rPr>
        <sz val="11"/>
        <color theme="1"/>
        <rFont val="Calibri"/>
        <family val="2"/>
        <scheme val="minor"/>
      </rPr>
      <t xml:space="preserve"> CIS - Direct Salary</t>
    </r>
  </si>
  <si>
    <t>Directly identified</t>
  </si>
  <si>
    <t>Note  - 02 - Overheads</t>
  </si>
  <si>
    <t>Note</t>
  </si>
  <si>
    <t>01</t>
  </si>
  <si>
    <t>02</t>
  </si>
  <si>
    <t>Actual - Total</t>
  </si>
  <si>
    <t>Jan 29 - Feb 25, 16</t>
  </si>
  <si>
    <t>Interest Income</t>
  </si>
  <si>
    <t>Jan 29 - Feb 25</t>
  </si>
  <si>
    <t>Feb 26 - Mar 31</t>
  </si>
  <si>
    <t>Feb 26 - Mar 31, 16</t>
  </si>
  <si>
    <t>Payroll Fees</t>
  </si>
  <si>
    <t>Jan 1 - Jan 28</t>
  </si>
  <si>
    <t>Apr 1 - 28, 16</t>
  </si>
  <si>
    <t>Fire Belly Toad</t>
  </si>
  <si>
    <t>Apr 1 - Apr 28</t>
  </si>
  <si>
    <t>Apr 29 -May 26</t>
  </si>
  <si>
    <t>Apr 29 - May 26, 16</t>
  </si>
  <si>
    <t xml:space="preserve">Manullay removed as this Coral Glup Inventory Item has created under Other Expense- To be correct QB </t>
  </si>
  <si>
    <t>May 27 - Jun 30, 16</t>
  </si>
  <si>
    <t>Wholesale Customers</t>
  </si>
  <si>
    <t>193/651 Customer</t>
  </si>
  <si>
    <t>TOTAL INCOME</t>
  </si>
  <si>
    <t>$ 8,389.98 unexplained DOA deductions –double dipping- willl be claimed back ( This deductions in additional to ETF allowable 2% discount</t>
  </si>
  <si>
    <t>$ 4,820.02 Deduction new terms discount given 1%  to Petco ( This deduction also in addition to ETF allowable Discount )</t>
  </si>
  <si>
    <t>May 27 -June 30</t>
  </si>
  <si>
    <t>July 01 -July 28</t>
  </si>
  <si>
    <t>Jul 1 - 28, 16</t>
  </si>
  <si>
    <t>Unclassified</t>
  </si>
  <si>
    <t>TOTAL</t>
  </si>
  <si>
    <t xml:space="preserve">Labor added 8/12 &amp; 8/19 </t>
  </si>
  <si>
    <t xml:space="preserve">Tax added 8/12 &amp; 8/19 </t>
  </si>
  <si>
    <t xml:space="preserve">Salary added 8/12 &amp; 8/19 </t>
  </si>
  <si>
    <t>July 29 -August 25</t>
  </si>
  <si>
    <t>Bad Debts</t>
  </si>
  <si>
    <t>Augst26-Septe29</t>
  </si>
  <si>
    <t>Sep30-Oct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</si>
</sst>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#,##0.00;\-#,##0.00"/>
    <numFmt numFmtId="167" formatCode="#,##0;\-#,##0"/>
    <numFmt numFmtId="168" formatCode="#,##0.0000000000"/>
    <numFmt numFmtId="169" formatCode="0E+00"/>
  </numFmts>
  <fonts count="59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8"/>
      <name val="Calibri"/>
      <family val="2"/>
    </font>
    <font>
      <b/>
      <sz val="11"/>
      <color indexed="8"/>
      <name val="Tahoma"/>
      <family val="2"/>
    </font>
    <font>
      <b/>
      <sz val="10"/>
      <color indexed="8"/>
      <name val="Tahoma"/>
      <family val="2"/>
    </font>
    <font>
      <b/>
      <sz val="24"/>
      <color rgb="FF000000"/>
      <name val="Calibri"/>
      <family val="2"/>
    </font>
    <font>
      <sz val="11"/>
      <color rgb="FF000000"/>
      <name val="Tahoma"/>
      <family val="2"/>
    </font>
    <font>
      <sz val="18"/>
      <color rgb="FF000000"/>
      <name val="Calibri"/>
      <family val="2"/>
    </font>
    <font>
      <b/>
      <sz val="14"/>
      <color rgb="FF000000"/>
      <name val="Calibri"/>
      <family val="2"/>
    </font>
    <font>
      <sz val="9"/>
      <color rgb="FF000000"/>
      <name val="Arial"/>
      <family val="2"/>
    </font>
    <font>
      <sz val="8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i/>
      <sz val="8"/>
      <color indexed="10"/>
      <name val="Arial"/>
      <family val="2"/>
    </font>
    <font>
      <b/>
      <sz val="8"/>
      <color indexed="10"/>
      <name val="Arial"/>
      <family val="2"/>
    </font>
    <font>
      <b/>
      <i/>
      <sz val="10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b/>
      <i/>
      <sz val="10"/>
      <name val="Calibri"/>
      <family val="2"/>
    </font>
    <font>
      <b/>
      <i/>
      <sz val="10"/>
      <color indexed="10"/>
      <name val="Calibri"/>
      <family val="2"/>
    </font>
    <font>
      <sz val="8"/>
      <color indexed="10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</font>
    <font>
      <b/>
      <sz val="8"/>
      <name val="Arial"/>
      <family val="2"/>
    </font>
    <font>
      <b/>
      <i/>
      <sz val="9"/>
      <name val="Calibri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u/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u/>
      <sz val="10"/>
      <color rgb="FF000000"/>
      <name val="Tahoma"/>
      <family val="2"/>
    </font>
    <font>
      <b/>
      <i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u val="singleAccounting"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name val="Calibri"/>
      <family val="2"/>
      <scheme val="minor"/>
    </font>
    <font>
      <b/>
      <sz val="8"/>
      <color rgb="FFFF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5" fillId="0" borderId="0"/>
    <xf numFmtId="9" fontId="6" fillId="0" borderId="0" applyFont="0" applyFill="0" applyBorder="0" applyAlignment="0" applyProtection="0"/>
    <xf numFmtId="0" fontId="7" fillId="0" borderId="0"/>
    <xf numFmtId="0" fontId="7" fillId="0" borderId="0"/>
    <xf numFmtId="43" fontId="6" fillId="0" borderId="0" applyFont="0" applyFill="0" applyBorder="0" applyAlignment="0" applyProtection="0"/>
    <xf numFmtId="0" fontId="5" fillId="0" borderId="0"/>
    <xf numFmtId="0" fontId="5" fillId="0" borderId="0"/>
  </cellStyleXfs>
  <cellXfs count="2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9" fillId="0" borderId="0" xfId="0" applyFont="1"/>
    <xf numFmtId="0" fontId="13" fillId="0" borderId="2" xfId="0" applyFont="1" applyBorder="1"/>
    <xf numFmtId="0" fontId="0" fillId="0" borderId="0" xfId="0" applyBorder="1"/>
    <xf numFmtId="0" fontId="0" fillId="0" borderId="0" xfId="0"/>
    <xf numFmtId="0" fontId="19" fillId="0" borderId="0" xfId="0" applyFont="1" applyAlignment="1">
      <alignment vertical="center"/>
    </xf>
    <xf numFmtId="0" fontId="20" fillId="0" borderId="0" xfId="0" applyFont="1"/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11" fillId="0" borderId="0" xfId="0" applyFont="1"/>
    <xf numFmtId="4" fontId="23" fillId="0" borderId="5" xfId="0" applyNumberFormat="1" applyFont="1" applyFill="1" applyBorder="1" applyAlignment="1">
      <alignment horizontal="right" vertical="center"/>
    </xf>
    <xf numFmtId="0" fontId="2" fillId="0" borderId="0" xfId="0" applyFont="1"/>
    <xf numFmtId="0" fontId="4" fillId="0" borderId="1" xfId="0" applyFont="1" applyBorder="1"/>
    <xf numFmtId="0" fontId="15" fillId="0" borderId="0" xfId="0" applyFont="1" applyBorder="1"/>
    <xf numFmtId="0" fontId="2" fillId="0" borderId="1" xfId="0" applyFont="1" applyBorder="1"/>
    <xf numFmtId="9" fontId="14" fillId="0" borderId="4" xfId="2" applyFont="1" applyBorder="1" applyAlignment="1">
      <alignment horizontal="right"/>
    </xf>
    <xf numFmtId="9" fontId="14" fillId="0" borderId="4" xfId="2" applyNumberFormat="1" applyFont="1" applyBorder="1" applyAlignment="1">
      <alignment horizontal="right"/>
    </xf>
    <xf numFmtId="165" fontId="25" fillId="0" borderId="4" xfId="2" applyNumberFormat="1" applyFont="1" applyBorder="1" applyAlignment="1">
      <alignment horizontal="right"/>
    </xf>
    <xf numFmtId="165" fontId="25" fillId="0" borderId="1" xfId="2" applyNumberFormat="1" applyFont="1" applyBorder="1" applyAlignment="1">
      <alignment horizontal="right"/>
    </xf>
    <xf numFmtId="0" fontId="24" fillId="0" borderId="0" xfId="0" applyFont="1" applyFill="1" applyAlignment="1">
      <alignment vertical="center"/>
    </xf>
    <xf numFmtId="0" fontId="16" fillId="0" borderId="0" xfId="0" applyFont="1"/>
    <xf numFmtId="0" fontId="17" fillId="0" borderId="0" xfId="0" applyFont="1"/>
    <xf numFmtId="164" fontId="20" fillId="0" borderId="0" xfId="0" applyNumberFormat="1" applyFont="1"/>
    <xf numFmtId="0" fontId="18" fillId="0" borderId="0" xfId="0" applyFont="1"/>
    <xf numFmtId="0" fontId="15" fillId="0" borderId="2" xfId="0" applyFont="1" applyBorder="1"/>
    <xf numFmtId="0" fontId="15" fillId="0" borderId="4" xfId="0" applyFont="1" applyBorder="1"/>
    <xf numFmtId="0" fontId="15" fillId="0" borderId="3" xfId="0" applyFont="1" applyBorder="1"/>
    <xf numFmtId="0" fontId="15" fillId="0" borderId="1" xfId="0" applyFont="1" applyBorder="1"/>
    <xf numFmtId="0" fontId="0" fillId="0" borderId="2" xfId="0" applyFont="1" applyBorder="1"/>
    <xf numFmtId="3" fontId="0" fillId="0" borderId="4" xfId="0" applyNumberFormat="1" applyFont="1" applyBorder="1" applyAlignment="1">
      <alignment horizontal="right"/>
    </xf>
    <xf numFmtId="3" fontId="0" fillId="0" borderId="4" xfId="0" applyNumberFormat="1" applyFont="1" applyBorder="1"/>
    <xf numFmtId="3" fontId="0" fillId="0" borderId="3" xfId="0" applyNumberFormat="1" applyFont="1" applyBorder="1"/>
    <xf numFmtId="164" fontId="6" fillId="0" borderId="3" xfId="5" applyNumberFormat="1" applyFont="1" applyBorder="1"/>
    <xf numFmtId="3" fontId="0" fillId="0" borderId="4" xfId="0" applyNumberFormat="1" applyFont="1" applyBorder="1" applyAlignment="1"/>
    <xf numFmtId="164" fontId="6" fillId="0" borderId="1" xfId="5" applyNumberFormat="1" applyFont="1" applyBorder="1"/>
    <xf numFmtId="164" fontId="6" fillId="0" borderId="4" xfId="5" applyNumberFormat="1" applyFont="1" applyBorder="1" applyAlignment="1">
      <alignment horizontal="center"/>
    </xf>
    <xf numFmtId="3" fontId="0" fillId="0" borderId="4" xfId="0" applyNumberFormat="1" applyFont="1" applyBorder="1" applyAlignment="1">
      <alignment horizontal="center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3" fontId="6" fillId="0" borderId="4" xfId="2" applyNumberFormat="1" applyFont="1" applyFill="1" applyBorder="1" applyAlignment="1">
      <alignment horizontal="right"/>
    </xf>
    <xf numFmtId="3" fontId="6" fillId="0" borderId="4" xfId="2" applyNumberFormat="1" applyFont="1" applyBorder="1" applyAlignment="1">
      <alignment horizontal="right"/>
    </xf>
    <xf numFmtId="49" fontId="26" fillId="0" borderId="0" xfId="0" applyNumberFormat="1" applyFont="1" applyAlignment="1">
      <alignment horizontal="center"/>
    </xf>
    <xf numFmtId="49" fontId="26" fillId="0" borderId="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49" fontId="26" fillId="0" borderId="0" xfId="0" applyNumberFormat="1" applyFont="1"/>
    <xf numFmtId="166" fontId="27" fillId="0" borderId="0" xfId="0" applyNumberFormat="1" applyFont="1"/>
    <xf numFmtId="166" fontId="27" fillId="0" borderId="5" xfId="0" applyNumberFormat="1" applyFont="1" applyBorder="1"/>
    <xf numFmtId="166" fontId="27" fillId="2" borderId="5" xfId="0" applyNumberFormat="1" applyFont="1" applyFill="1" applyBorder="1"/>
    <xf numFmtId="166" fontId="27" fillId="0" borderId="0" xfId="0" applyNumberFormat="1" applyFont="1" applyBorder="1"/>
    <xf numFmtId="166" fontId="27" fillId="0" borderId="7" xfId="0" applyNumberFormat="1" applyFont="1" applyBorder="1"/>
    <xf numFmtId="166" fontId="27" fillId="0" borderId="8" xfId="0" applyNumberFormat="1" applyFont="1" applyBorder="1"/>
    <xf numFmtId="166" fontId="27" fillId="2" borderId="0" xfId="0" applyNumberFormat="1" applyFont="1" applyFill="1"/>
    <xf numFmtId="166" fontId="28" fillId="0" borderId="0" xfId="0" applyNumberFormat="1" applyFont="1"/>
    <xf numFmtId="166" fontId="29" fillId="0" borderId="0" xfId="0" applyNumberFormat="1" applyFont="1"/>
    <xf numFmtId="166" fontId="27" fillId="2" borderId="0" xfId="0" applyNumberFormat="1" applyFont="1" applyFill="1" applyBorder="1"/>
    <xf numFmtId="166" fontId="26" fillId="0" borderId="11" xfId="0" applyNumberFormat="1" applyFont="1" applyBorder="1"/>
    <xf numFmtId="0" fontId="26" fillId="0" borderId="0" xfId="0" applyFont="1"/>
    <xf numFmtId="9" fontId="25" fillId="0" borderId="1" xfId="2" applyFont="1" applyBorder="1" applyAlignment="1"/>
    <xf numFmtId="0" fontId="31" fillId="0" borderId="5" xfId="0" applyFont="1" applyBorder="1"/>
    <xf numFmtId="0" fontId="31" fillId="0" borderId="0" xfId="0" applyFont="1"/>
    <xf numFmtId="4" fontId="32" fillId="0" borderId="0" xfId="0" applyNumberFormat="1" applyFont="1"/>
    <xf numFmtId="0" fontId="31" fillId="0" borderId="7" xfId="0" applyFont="1" applyBorder="1" applyAlignment="1">
      <alignment wrapText="1"/>
    </xf>
    <xf numFmtId="0" fontId="33" fillId="0" borderId="7" xfId="0" applyFont="1" applyBorder="1"/>
    <xf numFmtId="4" fontId="34" fillId="0" borderId="12" xfId="0" applyNumberFormat="1" applyFont="1" applyBorder="1"/>
    <xf numFmtId="4" fontId="35" fillId="0" borderId="0" xfId="0" applyNumberFormat="1" applyFont="1"/>
    <xf numFmtId="0" fontId="32" fillId="0" borderId="0" xfId="0" applyFont="1"/>
    <xf numFmtId="0" fontId="30" fillId="0" borderId="5" xfId="0" applyFont="1" applyBorder="1"/>
    <xf numFmtId="0" fontId="30" fillId="0" borderId="13" xfId="0" applyFont="1" applyBorder="1"/>
    <xf numFmtId="4" fontId="32" fillId="0" borderId="5" xfId="0" applyNumberFormat="1" applyFont="1" applyBorder="1"/>
    <xf numFmtId="4" fontId="36" fillId="0" borderId="0" xfId="0" applyNumberFormat="1" applyFont="1"/>
    <xf numFmtId="0" fontId="26" fillId="0" borderId="0" xfId="0" applyNumberFormat="1" applyFont="1"/>
    <xf numFmtId="0" fontId="0" fillId="0" borderId="0" xfId="0" applyNumberFormat="1"/>
    <xf numFmtId="37" fontId="0" fillId="0" borderId="0" xfId="0" applyNumberFormat="1"/>
    <xf numFmtId="49" fontId="37" fillId="0" borderId="0" xfId="0" applyNumberFormat="1" applyFont="1" applyAlignment="1">
      <alignment horizontal="center"/>
    </xf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38" fillId="0" borderId="0" xfId="0" applyFont="1" applyAlignment="1">
      <alignment horizontal="center"/>
    </xf>
    <xf numFmtId="0" fontId="42" fillId="0" borderId="9" xfId="0" applyFont="1" applyBorder="1" applyAlignment="1">
      <alignment wrapText="1"/>
    </xf>
    <xf numFmtId="0" fontId="33" fillId="0" borderId="10" xfId="0" applyFont="1" applyBorder="1"/>
    <xf numFmtId="164" fontId="39" fillId="0" borderId="0" xfId="5" applyNumberFormat="1" applyFont="1"/>
    <xf numFmtId="3" fontId="38" fillId="0" borderId="0" xfId="0" applyNumberFormat="1" applyFont="1"/>
    <xf numFmtId="164" fontId="39" fillId="3" borderId="0" xfId="5" applyNumberFormat="1" applyFont="1" applyFill="1"/>
    <xf numFmtId="49" fontId="43" fillId="0" borderId="0" xfId="0" applyNumberFormat="1" applyFont="1" applyAlignment="1">
      <alignment horizontal="center"/>
    </xf>
    <xf numFmtId="49" fontId="43" fillId="0" borderId="6" xfId="0" applyNumberFormat="1" applyFont="1" applyBorder="1" applyAlignment="1">
      <alignment horizontal="center"/>
    </xf>
    <xf numFmtId="49" fontId="43" fillId="0" borderId="0" xfId="0" applyNumberFormat="1" applyFont="1"/>
    <xf numFmtId="166" fontId="44" fillId="0" borderId="0" xfId="0" applyNumberFormat="1" applyFont="1"/>
    <xf numFmtId="166" fontId="44" fillId="0" borderId="5" xfId="0" applyNumberFormat="1" applyFont="1" applyBorder="1"/>
    <xf numFmtId="166" fontId="44" fillId="0" borderId="0" xfId="0" applyNumberFormat="1" applyFont="1" applyBorder="1"/>
    <xf numFmtId="166" fontId="44" fillId="0" borderId="7" xfId="0" applyNumberFormat="1" applyFont="1" applyBorder="1"/>
    <xf numFmtId="166" fontId="44" fillId="0" borderId="8" xfId="0" applyNumberFormat="1" applyFont="1" applyBorder="1"/>
    <xf numFmtId="166" fontId="43" fillId="0" borderId="11" xfId="0" applyNumberFormat="1" applyFont="1" applyBorder="1"/>
    <xf numFmtId="0" fontId="43" fillId="0" borderId="0" xfId="0" applyFont="1"/>
    <xf numFmtId="0" fontId="43" fillId="0" borderId="0" xfId="0" applyNumberFormat="1" applyFont="1"/>
    <xf numFmtId="0" fontId="8" fillId="0" borderId="1" xfId="0" applyFont="1" applyBorder="1" applyAlignment="1">
      <alignment horizontal="center"/>
    </xf>
    <xf numFmtId="0" fontId="12" fillId="0" borderId="2" xfId="0" applyFont="1" applyBorder="1" applyAlignment="1">
      <alignment horizontal="left" wrapText="1"/>
    </xf>
    <xf numFmtId="0" fontId="9" fillId="0" borderId="0" xfId="0" applyFont="1" applyAlignment="1">
      <alignment horizontal="left" wrapText="1"/>
    </xf>
    <xf numFmtId="0" fontId="8" fillId="0" borderId="1" xfId="0" applyFont="1" applyBorder="1"/>
    <xf numFmtId="3" fontId="10" fillId="0" borderId="1" xfId="0" applyNumberFormat="1" applyFont="1" applyBorder="1"/>
    <xf numFmtId="3" fontId="8" fillId="0" borderId="1" xfId="0" applyNumberFormat="1" applyFont="1" applyBorder="1"/>
    <xf numFmtId="9" fontId="10" fillId="0" borderId="1" xfId="2" applyFont="1" applyBorder="1" applyAlignment="1">
      <alignment horizontal="right"/>
    </xf>
    <xf numFmtId="9" fontId="8" fillId="0" borderId="1" xfId="0" applyNumberFormat="1" applyFont="1" applyBorder="1"/>
    <xf numFmtId="37" fontId="10" fillId="0" borderId="1" xfId="0" applyNumberFormat="1" applyFont="1" applyBorder="1" applyAlignment="1">
      <alignment horizontal="right"/>
    </xf>
    <xf numFmtId="3" fontId="10" fillId="0" borderId="1" xfId="0" applyNumberFormat="1" applyFont="1" applyBorder="1" applyAlignment="1">
      <alignment horizontal="right"/>
    </xf>
    <xf numFmtId="4" fontId="10" fillId="0" borderId="1" xfId="0" applyNumberFormat="1" applyFont="1" applyBorder="1" applyAlignment="1">
      <alignment horizontal="right"/>
    </xf>
    <xf numFmtId="164" fontId="10" fillId="0" borderId="1" xfId="5" applyNumberFormat="1" applyFont="1" applyBorder="1" applyAlignment="1">
      <alignment horizontal="center"/>
    </xf>
    <xf numFmtId="0" fontId="47" fillId="4" borderId="0" xfId="0" applyFont="1" applyFill="1"/>
    <xf numFmtId="0" fontId="48" fillId="0" borderId="14" xfId="0" applyFont="1" applyBorder="1" applyAlignment="1">
      <alignment vertical="center"/>
    </xf>
    <xf numFmtId="0" fontId="48" fillId="0" borderId="15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0" fillId="5" borderId="17" xfId="0" applyFill="1" applyBorder="1" applyAlignment="1">
      <alignment vertical="center"/>
    </xf>
    <xf numFmtId="9" fontId="0" fillId="5" borderId="17" xfId="0" applyNumberForma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9" fontId="0" fillId="5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9" fontId="0" fillId="0" borderId="1" xfId="0" applyNumberFormat="1" applyBorder="1" applyAlignment="1">
      <alignment vertical="center"/>
    </xf>
    <xf numFmtId="0" fontId="48" fillId="0" borderId="1" xfId="0" applyFont="1" applyBorder="1" applyAlignment="1">
      <alignment vertical="center"/>
    </xf>
    <xf numFmtId="9" fontId="48" fillId="0" borderId="1" xfId="0" applyNumberFormat="1" applyFont="1" applyBorder="1" applyAlignment="1">
      <alignment vertical="center"/>
    </xf>
    <xf numFmtId="0" fontId="0" fillId="0" borderId="1" xfId="0" applyBorder="1"/>
    <xf numFmtId="166" fontId="0" fillId="0" borderId="1" xfId="0" applyNumberFormat="1" applyBorder="1"/>
    <xf numFmtId="0" fontId="15" fillId="0" borderId="1" xfId="0" quotePrefix="1" applyFont="1" applyBorder="1"/>
    <xf numFmtId="43" fontId="0" fillId="0" borderId="0" xfId="0" applyNumberFormat="1"/>
    <xf numFmtId="9" fontId="10" fillId="0" borderId="1" xfId="2" applyFont="1" applyBorder="1"/>
    <xf numFmtId="0" fontId="0" fillId="0" borderId="0" xfId="0" applyAlignment="1">
      <alignment vertical="center"/>
    </xf>
    <xf numFmtId="0" fontId="43" fillId="3" borderId="0" xfId="0" applyNumberFormat="1" applyFont="1" applyFill="1"/>
    <xf numFmtId="0" fontId="47" fillId="3" borderId="0" xfId="0" applyFont="1" applyFill="1"/>
    <xf numFmtId="49" fontId="43" fillId="0" borderId="1" xfId="0" applyNumberFormat="1" applyFont="1" applyBorder="1"/>
    <xf numFmtId="0" fontId="47" fillId="0" borderId="1" xfId="0" applyFont="1" applyBorder="1" applyAlignment="1">
      <alignment wrapText="1"/>
    </xf>
    <xf numFmtId="167" fontId="47" fillId="0" borderId="1" xfId="0" applyNumberFormat="1" applyFont="1" applyBorder="1"/>
    <xf numFmtId="1" fontId="47" fillId="0" borderId="1" xfId="0" applyNumberFormat="1" applyFont="1" applyBorder="1"/>
    <xf numFmtId="166" fontId="47" fillId="0" borderId="1" xfId="0" applyNumberFormat="1" applyFont="1" applyFill="1" applyBorder="1"/>
    <xf numFmtId="0" fontId="0" fillId="0" borderId="1" xfId="0" applyBorder="1" applyAlignment="1">
      <alignment horizontal="center"/>
    </xf>
    <xf numFmtId="3" fontId="47" fillId="7" borderId="1" xfId="0" applyNumberFormat="1" applyFont="1" applyFill="1" applyBorder="1"/>
    <xf numFmtId="0" fontId="47" fillId="7" borderId="1" xfId="0" applyFont="1" applyFill="1" applyBorder="1" applyAlignment="1">
      <alignment horizontal="center"/>
    </xf>
    <xf numFmtId="0" fontId="47" fillId="6" borderId="1" xfId="0" applyFont="1" applyFill="1" applyBorder="1" applyAlignment="1">
      <alignment wrapText="1"/>
    </xf>
    <xf numFmtId="0" fontId="43" fillId="8" borderId="0" xfId="0" applyNumberFormat="1" applyFont="1" applyFill="1"/>
    <xf numFmtId="0" fontId="43" fillId="0" borderId="0" xfId="0" applyNumberFormat="1" applyFont="1" applyFill="1"/>
    <xf numFmtId="0" fontId="47" fillId="0" borderId="0" xfId="0" applyFont="1" applyFill="1"/>
    <xf numFmtId="0" fontId="47" fillId="3" borderId="1" xfId="0" applyFont="1" applyFill="1" applyBorder="1"/>
    <xf numFmtId="3" fontId="50" fillId="7" borderId="1" xfId="0" applyNumberFormat="1" applyFont="1" applyFill="1" applyBorder="1"/>
    <xf numFmtId="0" fontId="50" fillId="9" borderId="1" xfId="0" applyFont="1" applyFill="1" applyBorder="1" applyAlignment="1">
      <alignment horizontal="center"/>
    </xf>
    <xf numFmtId="3" fontId="51" fillId="7" borderId="1" xfId="0" applyNumberFormat="1" applyFont="1" applyFill="1" applyBorder="1"/>
    <xf numFmtId="3" fontId="15" fillId="7" borderId="1" xfId="0" applyNumberFormat="1" applyFont="1" applyFill="1" applyBorder="1"/>
    <xf numFmtId="0" fontId="49" fillId="0" borderId="1" xfId="0" applyFont="1" applyFill="1" applyBorder="1" applyAlignment="1">
      <alignment horizontal="left" vertical="center" indent="3"/>
    </xf>
    <xf numFmtId="166" fontId="47" fillId="0" borderId="1" xfId="0" applyNumberFormat="1" applyFont="1" applyBorder="1"/>
    <xf numFmtId="0" fontId="50" fillId="0" borderId="1" xfId="0" applyFont="1" applyFill="1" applyBorder="1" applyAlignment="1">
      <alignment horizontal="center"/>
    </xf>
    <xf numFmtId="0" fontId="50" fillId="0" borderId="2" xfId="0" applyFont="1" applyFill="1" applyBorder="1" applyAlignment="1">
      <alignment horizontal="left"/>
    </xf>
    <xf numFmtId="43" fontId="0" fillId="0" borderId="1" xfId="5" applyNumberFormat="1" applyFont="1" applyBorder="1"/>
    <xf numFmtId="0" fontId="47" fillId="0" borderId="1" xfId="0" applyFont="1" applyBorder="1"/>
    <xf numFmtId="49" fontId="43" fillId="10" borderId="1" xfId="0" applyNumberFormat="1" applyFont="1" applyFill="1" applyBorder="1" applyAlignment="1">
      <alignment horizontal="center"/>
    </xf>
    <xf numFmtId="0" fontId="47" fillId="9" borderId="1" xfId="0" applyFont="1" applyFill="1" applyBorder="1"/>
    <xf numFmtId="43" fontId="0" fillId="0" borderId="1" xfId="0" applyNumberFormat="1" applyBorder="1"/>
    <xf numFmtId="43" fontId="52" fillId="0" borderId="1" xfId="0" applyNumberFormat="1" applyFont="1" applyBorder="1"/>
    <xf numFmtId="0" fontId="47" fillId="0" borderId="1" xfId="0" applyFont="1" applyFill="1" applyBorder="1"/>
    <xf numFmtId="0" fontId="47" fillId="0" borderId="0" xfId="0" applyFont="1" applyFill="1" applyBorder="1"/>
    <xf numFmtId="164" fontId="0" fillId="0" borderId="0" xfId="0" applyNumberFormat="1"/>
    <xf numFmtId="0" fontId="47" fillId="11" borderId="0" xfId="0" applyFont="1" applyFill="1" applyBorder="1"/>
    <xf numFmtId="0" fontId="47" fillId="11" borderId="1" xfId="0" applyFont="1" applyFill="1" applyBorder="1"/>
    <xf numFmtId="43" fontId="52" fillId="0" borderId="1" xfId="0" applyNumberFormat="1" applyFont="1" applyBorder="1" applyAlignment="1">
      <alignment horizontal="right"/>
    </xf>
    <xf numFmtId="43" fontId="0" fillId="0" borderId="1" xfId="5" applyNumberFormat="1" applyFont="1" applyBorder="1" applyAlignment="1">
      <alignment horizontal="right"/>
    </xf>
    <xf numFmtId="43" fontId="0" fillId="0" borderId="1" xfId="0" applyNumberFormat="1" applyBorder="1" applyAlignment="1">
      <alignment horizontal="right"/>
    </xf>
    <xf numFmtId="43" fontId="0" fillId="9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43" fontId="52" fillId="0" borderId="1" xfId="5" applyNumberFormat="1" applyFont="1" applyBorder="1" applyAlignment="1">
      <alignment horizontal="right"/>
    </xf>
    <xf numFmtId="43" fontId="0" fillId="0" borderId="1" xfId="0" applyNumberFormat="1" applyFill="1" applyBorder="1" applyAlignment="1">
      <alignment horizontal="right"/>
    </xf>
    <xf numFmtId="164" fontId="0" fillId="0" borderId="1" xfId="5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43" fontId="52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3" fontId="9" fillId="0" borderId="0" xfId="0" applyNumberFormat="1" applyFont="1"/>
    <xf numFmtId="9" fontId="9" fillId="0" borderId="0" xfId="2" applyFont="1"/>
    <xf numFmtId="3" fontId="0" fillId="0" borderId="0" xfId="0" applyNumberFormat="1"/>
    <xf numFmtId="0" fontId="53" fillId="11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left" wrapText="1"/>
    </xf>
    <xf numFmtId="3" fontId="10" fillId="6" borderId="1" xfId="0" applyNumberFormat="1" applyFont="1" applyFill="1" applyBorder="1"/>
    <xf numFmtId="4" fontId="0" fillId="0" borderId="0" xfId="0" applyNumberFormat="1"/>
    <xf numFmtId="4" fontId="54" fillId="0" borderId="0" xfId="0" applyNumberFormat="1" applyFont="1"/>
    <xf numFmtId="4" fontId="54" fillId="12" borderId="0" xfId="0" applyNumberFormat="1" applyFont="1" applyFill="1"/>
    <xf numFmtId="166" fontId="44" fillId="12" borderId="0" xfId="0" applyNumberFormat="1" applyFont="1" applyFill="1" applyBorder="1"/>
    <xf numFmtId="0" fontId="47" fillId="6" borderId="1" xfId="0" applyFont="1" applyFill="1" applyBorder="1" applyAlignment="1">
      <alignment horizontal="left"/>
    </xf>
    <xf numFmtId="0" fontId="47" fillId="6" borderId="1" xfId="0" applyFont="1" applyFill="1" applyBorder="1" applyAlignment="1">
      <alignment horizontal="center"/>
    </xf>
    <xf numFmtId="0" fontId="47" fillId="6" borderId="1" xfId="0" applyFont="1" applyFill="1" applyBorder="1" applyAlignment="1">
      <alignment horizontal="center" wrapText="1"/>
    </xf>
    <xf numFmtId="166" fontId="44" fillId="0" borderId="0" xfId="0" applyNumberFormat="1" applyFont="1" applyFill="1"/>
    <xf numFmtId="0" fontId="8" fillId="0" borderId="1" xfId="0" applyFont="1" applyFill="1" applyBorder="1" applyAlignment="1">
      <alignment horizontal="center"/>
    </xf>
    <xf numFmtId="3" fontId="10" fillId="6" borderId="1" xfId="0" quotePrefix="1" applyNumberFormat="1" applyFont="1" applyFill="1" applyBorder="1" applyAlignment="1">
      <alignment horizontal="center"/>
    </xf>
    <xf numFmtId="168" fontId="43" fillId="0" borderId="0" xfId="0" applyNumberFormat="1" applyFont="1"/>
    <xf numFmtId="43" fontId="43" fillId="0" borderId="6" xfId="5" applyFont="1" applyBorder="1" applyAlignment="1">
      <alignment horizontal="center"/>
    </xf>
    <xf numFmtId="43" fontId="44" fillId="0" borderId="0" xfId="5" applyFont="1"/>
    <xf numFmtId="43" fontId="44" fillId="0" borderId="5" xfId="5" applyFont="1" applyBorder="1"/>
    <xf numFmtId="43" fontId="44" fillId="3" borderId="0" xfId="5" applyFont="1" applyFill="1"/>
    <xf numFmtId="43" fontId="44" fillId="3" borderId="0" xfId="5" applyFont="1" applyFill="1" applyBorder="1"/>
    <xf numFmtId="43" fontId="44" fillId="0" borderId="7" xfId="5" applyFont="1" applyBorder="1"/>
    <xf numFmtId="43" fontId="44" fillId="0" borderId="8" xfId="5" applyFont="1" applyBorder="1"/>
    <xf numFmtId="43" fontId="44" fillId="0" borderId="0" xfId="5" applyFont="1" applyBorder="1"/>
    <xf numFmtId="43" fontId="43" fillId="0" borderId="11" xfId="5" applyFont="1" applyBorder="1"/>
    <xf numFmtId="43" fontId="0" fillId="0" borderId="0" xfId="5" applyFont="1"/>
    <xf numFmtId="43" fontId="44" fillId="12" borderId="0" xfId="5" applyFont="1" applyFill="1" applyBorder="1"/>
    <xf numFmtId="0" fontId="53" fillId="13" borderId="1" xfId="0" applyFont="1" applyFill="1" applyBorder="1" applyAlignment="1">
      <alignment horizontal="center"/>
    </xf>
    <xf numFmtId="0" fontId="53" fillId="14" borderId="1" xfId="0" applyFont="1" applyFill="1" applyBorder="1" applyAlignment="1">
      <alignment horizontal="center"/>
    </xf>
    <xf numFmtId="49" fontId="43" fillId="3" borderId="0" xfId="0" applyNumberFormat="1" applyFont="1" applyFill="1"/>
    <xf numFmtId="166" fontId="44" fillId="3" borderId="7" xfId="0" applyNumberFormat="1" applyFont="1" applyFill="1" applyBorder="1"/>
    <xf numFmtId="0" fontId="57" fillId="15" borderId="1" xfId="0" applyFont="1" applyFill="1" applyBorder="1" applyAlignment="1">
      <alignment horizontal="center"/>
    </xf>
    <xf numFmtId="0" fontId="57" fillId="16" borderId="1" xfId="0" applyFont="1" applyFill="1" applyBorder="1" applyAlignment="1">
      <alignment horizontal="center"/>
    </xf>
    <xf numFmtId="166" fontId="44" fillId="3" borderId="0" xfId="0" applyNumberFormat="1" applyFont="1" applyFill="1" applyBorder="1"/>
    <xf numFmtId="166" fontId="0" fillId="0" borderId="0" xfId="0" applyNumberFormat="1"/>
    <xf numFmtId="166" fontId="44" fillId="16" borderId="8" xfId="0" applyNumberFormat="1" applyFont="1" applyFill="1" applyBorder="1"/>
    <xf numFmtId="166" fontId="44" fillId="16" borderId="0" xfId="0" applyNumberFormat="1" applyFont="1" applyFill="1"/>
    <xf numFmtId="169" fontId="0" fillId="0" borderId="0" xfId="0" applyNumberFormat="1"/>
    <xf numFmtId="0" fontId="10" fillId="4" borderId="1" xfId="0" applyFont="1" applyFill="1" applyBorder="1" applyAlignment="1">
      <alignment horizontal="center"/>
    </xf>
    <xf numFmtId="166" fontId="58" fillId="3" borderId="0" xfId="0" applyNumberFormat="1" applyFont="1" applyFill="1"/>
    <xf numFmtId="8" fontId="25" fillId="3" borderId="19" xfId="0" applyNumberFormat="1" applyFont="1" applyFill="1" applyBorder="1"/>
    <xf numFmtId="166" fontId="44" fillId="3" borderId="8" xfId="0" applyNumberFormat="1" applyFont="1" applyFill="1" applyBorder="1"/>
    <xf numFmtId="166" fontId="44" fillId="3" borderId="0" xfId="0" applyNumberFormat="1" applyFont="1" applyFill="1"/>
    <xf numFmtId="1" fontId="0" fillId="0" borderId="0" xfId="0" applyNumberFormat="1"/>
    <xf numFmtId="4" fontId="0" fillId="3" borderId="0" xfId="0" applyNumberFormat="1" applyFill="1"/>
    <xf numFmtId="0" fontId="0" fillId="3" borderId="0" xfId="0" applyFill="1"/>
    <xf numFmtId="1" fontId="0" fillId="3" borderId="0" xfId="0" applyNumberFormat="1" applyFill="1"/>
    <xf numFmtId="49" fontId="43" fillId="17" borderId="0" xfId="0" applyNumberFormat="1" applyFont="1" applyFill="1"/>
    <xf numFmtId="166" fontId="44" fillId="17" borderId="5" xfId="0" applyNumberFormat="1" applyFont="1" applyFill="1" applyBorder="1"/>
    <xf numFmtId="4" fontId="0" fillId="17" borderId="0" xfId="0" applyNumberFormat="1" applyFill="1"/>
    <xf numFmtId="0" fontId="0" fillId="17" borderId="0" xfId="0" applyFill="1"/>
    <xf numFmtId="1" fontId="0" fillId="17" borderId="0" xfId="0" applyNumberFormat="1" applyFill="1"/>
    <xf numFmtId="0" fontId="10" fillId="8" borderId="1" xfId="0" applyFont="1" applyFill="1" applyBorder="1" applyAlignment="1">
      <alignment horizontal="center"/>
    </xf>
    <xf numFmtId="166" fontId="44" fillId="18" borderId="0" xfId="0" applyNumberFormat="1" applyFont="1" applyFill="1"/>
    <xf numFmtId="0" fontId="54" fillId="0" borderId="0" xfId="0" applyFont="1"/>
    <xf numFmtId="0" fontId="13" fillId="0" borderId="0" xfId="0" applyFont="1"/>
    <xf numFmtId="49" fontId="43" fillId="19" borderId="0" xfId="0" applyNumberFormat="1" applyFont="1" applyFill="1"/>
    <xf numFmtId="166" fontId="44" fillId="19" borderId="0" xfId="0" applyNumberFormat="1" applyFont="1" applyFill="1"/>
    <xf numFmtId="0" fontId="10" fillId="20" borderId="1" xfId="0" applyFont="1" applyFill="1" applyBorder="1" applyAlignment="1">
      <alignment horizontal="center"/>
    </xf>
    <xf numFmtId="166" fontId="44" fillId="20" borderId="8" xfId="0" applyNumberFormat="1" applyFont="1" applyFill="1" applyBorder="1"/>
    <xf numFmtId="166" fontId="44" fillId="20" borderId="0" xfId="0" applyNumberFormat="1" applyFont="1" applyFill="1"/>
    <xf numFmtId="0" fontId="10" fillId="21" borderId="1" xfId="0" applyFont="1" applyFill="1" applyBorder="1" applyAlignment="1">
      <alignment horizontal="center"/>
    </xf>
    <xf numFmtId="166" fontId="44" fillId="12" borderId="5" xfId="0" applyNumberFormat="1" applyFont="1" applyFill="1" applyBorder="1"/>
    <xf numFmtId="166" fontId="44" fillId="12" borderId="0" xfId="0" applyNumberFormat="1" applyFont="1" applyFill="1"/>
    <xf numFmtId="0" fontId="25" fillId="3" borderId="0" xfId="0" applyFont="1" applyFill="1" applyAlignment="1">
      <alignment vertical="center"/>
    </xf>
    <xf numFmtId="0" fontId="25" fillId="3" borderId="0" xfId="0" applyFont="1" applyFill="1" applyBorder="1" applyAlignment="1">
      <alignment vertical="center"/>
    </xf>
    <xf numFmtId="0" fontId="25" fillId="3" borderId="18" xfId="0" applyFont="1" applyFill="1" applyBorder="1" applyAlignment="1">
      <alignment vertical="center"/>
    </xf>
    <xf numFmtId="49" fontId="43" fillId="0" borderId="2" xfId="0" applyNumberFormat="1" applyFont="1" applyBorder="1" applyAlignment="1">
      <alignment horizontal="center"/>
    </xf>
    <xf numFmtId="49" fontId="43" fillId="0" borderId="3" xfId="0" applyNumberFormat="1" applyFont="1" applyBorder="1" applyAlignment="1">
      <alignment horizontal="center"/>
    </xf>
    <xf numFmtId="0" fontId="24" fillId="0" borderId="0" xfId="0" applyFont="1" applyAlignment="1">
      <alignment vertical="center"/>
    </xf>
  </cellXfs>
  <cellStyles count="8">
    <cellStyle name="Comma" xfId="5" builtinId="3"/>
    <cellStyle name="Normal" xfId="0" builtinId="0"/>
    <cellStyle name="Normal 2" xfId="1"/>
    <cellStyle name="Normal 3" xfId="3"/>
    <cellStyle name="Normal 3 2" xfId="6"/>
    <cellStyle name="Normal 4" xfId="4"/>
    <cellStyle name="Normal 4 2" xfId="7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11.emf"/><Relationship Id="rId1" Type="http://schemas.openxmlformats.org/officeDocument/2006/relationships/image" Target="../media/image12.emf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13.emf"/><Relationship Id="rId1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97281" name="FILTER" hidden="1">
              <a:extLst>
                <a:ext uri="{63B3BB69-23CF-44E3-9099-C40C66FF867C}">
                  <a14:compatExt spid="_x0000_s97281"/>
                </a:ext>
                <a:ext uri="{FF2B5EF4-FFF2-40B4-BE49-F238E27FC236}">
                  <a16:creationId xmlns:a16="http://schemas.microsoft.com/office/drawing/2014/main" xmlns="" id="{5D05FB92-F44B-4BD2-955D-2027D03206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97282" name="HEADER" hidden="1">
              <a:extLst>
                <a:ext uri="{63B3BB69-23CF-44E3-9099-C40C66FF867C}">
                  <a14:compatExt spid="_x0000_s97282"/>
                </a:ext>
                <a:ext uri="{FF2B5EF4-FFF2-40B4-BE49-F238E27FC236}">
                  <a16:creationId xmlns:a16="http://schemas.microsoft.com/office/drawing/2014/main" xmlns="" id="{E32F1AF1-4A17-4C3A-9FFE-80D7E87DA8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91137" name="FILTER" hidden="1">
              <a:extLst>
                <a:ext uri="{63B3BB69-23CF-44E3-9099-C40C66FF867C}">
                  <a14:compatExt spid="_x0000_s9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91138" name="HEADER" hidden="1">
              <a:extLst>
                <a:ext uri="{63B3BB69-23CF-44E3-9099-C40C66FF867C}">
                  <a14:compatExt spid="_x0000_s9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95250</xdr:colOff>
          <xdr:row>0</xdr:row>
          <xdr:rowOff>238125</xdr:rowOff>
        </xdr:to>
        <xdr:sp macro="" textlink="">
          <xdr:nvSpPr>
            <xdr:cNvPr id="86017" name="FILTER" hidden="1">
              <a:extLst>
                <a:ext uri="{63B3BB69-23CF-44E3-9099-C40C66FF867C}">
                  <a14:compatExt spid="_x0000_s860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95250</xdr:colOff>
          <xdr:row>0</xdr:row>
          <xdr:rowOff>238125</xdr:rowOff>
        </xdr:to>
        <xdr:sp macro="" textlink="">
          <xdr:nvSpPr>
            <xdr:cNvPr id="86018" name="HEADER" hidden="1">
              <a:extLst>
                <a:ext uri="{63B3BB69-23CF-44E3-9099-C40C66FF867C}">
                  <a14:compatExt spid="_x0000_s860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81921" name="FILTER" hidden="1">
              <a:extLst>
                <a:ext uri="{63B3BB69-23CF-44E3-9099-C40C66FF867C}">
                  <a14:compatExt spid="_x0000_s819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81922" name="HEADER" hidden="1">
              <a:extLst>
                <a:ext uri="{63B3BB69-23CF-44E3-9099-C40C66FF867C}">
                  <a14:compatExt spid="_x0000_s819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77825" name="FILTER" hidden="1">
              <a:extLst>
                <a:ext uri="{63B3BB69-23CF-44E3-9099-C40C66FF867C}">
                  <a14:compatExt spid="_x0000_s778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77826" name="HEADER" hidden="1">
              <a:extLst>
                <a:ext uri="{63B3BB69-23CF-44E3-9099-C40C66FF867C}">
                  <a14:compatExt spid="_x0000_s778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4</xdr:col>
          <xdr:colOff>114300</xdr:colOff>
          <xdr:row>4</xdr:row>
          <xdr:rowOff>28575</xdr:rowOff>
        </xdr:to>
        <xdr:sp macro="" textlink="">
          <xdr:nvSpPr>
            <xdr:cNvPr id="72705" name="FILTER" hidden="1">
              <a:extLst>
                <a:ext uri="{63B3BB69-23CF-44E3-9099-C40C66FF867C}">
                  <a14:compatExt spid="_x0000_s72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4</xdr:col>
          <xdr:colOff>114300</xdr:colOff>
          <xdr:row>4</xdr:row>
          <xdr:rowOff>28575</xdr:rowOff>
        </xdr:to>
        <xdr:sp macro="" textlink="">
          <xdr:nvSpPr>
            <xdr:cNvPr id="72706" name="HEADER" hidden="1">
              <a:extLst>
                <a:ext uri="{63B3BB69-23CF-44E3-9099-C40C66FF867C}">
                  <a14:compatExt spid="_x0000_s72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5</xdr:col>
          <xdr:colOff>95250</xdr:colOff>
          <xdr:row>2</xdr:row>
          <xdr:rowOff>28575</xdr:rowOff>
        </xdr:to>
        <xdr:sp macro="" textlink="">
          <xdr:nvSpPr>
            <xdr:cNvPr id="73729" name="FILTER" hidden="1">
              <a:extLst>
                <a:ext uri="{63B3BB69-23CF-44E3-9099-C40C66FF867C}">
                  <a14:compatExt spid="_x0000_s73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5</xdr:col>
          <xdr:colOff>95250</xdr:colOff>
          <xdr:row>2</xdr:row>
          <xdr:rowOff>28575</xdr:rowOff>
        </xdr:to>
        <xdr:sp macro="" textlink="">
          <xdr:nvSpPr>
            <xdr:cNvPr id="73730" name="HEADER" hidden="1">
              <a:extLst>
                <a:ext uri="{63B3BB69-23CF-44E3-9099-C40C66FF867C}">
                  <a14:compatExt spid="_x0000_s73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vmlDrawing" Target="../drawings/vmlDrawing7.vml"/><Relationship Id="rId7" Type="http://schemas.openxmlformats.org/officeDocument/2006/relationships/image" Target="../media/image12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12.xml"/><Relationship Id="rId5" Type="http://schemas.openxmlformats.org/officeDocument/2006/relationships/image" Target="../media/image11.emf"/><Relationship Id="rId4" Type="http://schemas.openxmlformats.org/officeDocument/2006/relationships/control" Target="../activeX/activeX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7" Type="http://schemas.openxmlformats.org/officeDocument/2006/relationships/image" Target="../media/image14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14.xml"/><Relationship Id="rId5" Type="http://schemas.openxmlformats.org/officeDocument/2006/relationships/image" Target="../media/image13.emf"/><Relationship Id="rId4" Type="http://schemas.openxmlformats.org/officeDocument/2006/relationships/control" Target="../activeX/activeX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4.xml"/><Relationship Id="rId5" Type="http://schemas.openxmlformats.org/officeDocument/2006/relationships/image" Target="../media/image3.emf"/><Relationship Id="rId4" Type="http://schemas.openxmlformats.org/officeDocument/2006/relationships/control" Target="../activeX/activeX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image" Target="../media/image6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6.xml"/><Relationship Id="rId5" Type="http://schemas.openxmlformats.org/officeDocument/2006/relationships/image" Target="../media/image5.emf"/><Relationship Id="rId4" Type="http://schemas.openxmlformats.org/officeDocument/2006/relationships/control" Target="../activeX/activeX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7" Type="http://schemas.openxmlformats.org/officeDocument/2006/relationships/image" Target="../media/image8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8.xml"/><Relationship Id="rId5" Type="http://schemas.openxmlformats.org/officeDocument/2006/relationships/image" Target="../media/image7.emf"/><Relationship Id="rId4" Type="http://schemas.openxmlformats.org/officeDocument/2006/relationships/control" Target="../activeX/activeX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7" Type="http://schemas.openxmlformats.org/officeDocument/2006/relationships/image" Target="../media/image10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0.xml"/><Relationship Id="rId5" Type="http://schemas.openxmlformats.org/officeDocument/2006/relationships/image" Target="../media/image9.emf"/><Relationship Id="rId4" Type="http://schemas.openxmlformats.org/officeDocument/2006/relationships/control" Target="../activeX/activeX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27"/>
  <sheetViews>
    <sheetView tabSelected="1" zoomScaleNormal="100" workbookViewId="0">
      <pane xSplit="1" topLeftCell="B1" activePane="topRight" state="frozen"/>
      <selection activeCell="A4" sqref="A4"/>
      <selection pane="topRight" activeCell="G15" sqref="G15"/>
    </sheetView>
  </sheetViews>
  <sheetFormatPr defaultRowHeight="15" x14ac:dyDescent="0.25"/>
  <cols>
    <col min="1" max="1" width="28.85546875" customWidth="1"/>
    <col min="2" max="3" width="5.42578125" bestFit="1" customWidth="1"/>
    <col min="4" max="4" width="6.42578125" bestFit="1" customWidth="1"/>
    <col min="5" max="5" width="5" style="7" bestFit="1" customWidth="1"/>
    <col min="6" max="6" width="12.42578125" style="7" customWidth="1"/>
    <col min="7" max="7" width="12.5703125" style="7" bestFit="1" customWidth="1"/>
    <col min="8" max="10" width="13.42578125" style="7" bestFit="1" customWidth="1"/>
    <col min="11" max="15" width="13.42578125" style="7" customWidth="1"/>
    <col min="16" max="16" width="9.7109375" style="7" customWidth="1"/>
    <col min="17" max="17" width="8.140625" customWidth="1"/>
    <col min="19" max="19" width="20" bestFit="1" customWidth="1"/>
  </cols>
  <sheetData>
    <row r="1" spans="1:19" ht="31.5" x14ac:dyDescent="0.5">
      <c r="A1" s="3" t="s">
        <v>12</v>
      </c>
    </row>
    <row r="2" spans="1:19" ht="23.25" x14ac:dyDescent="0.35">
      <c r="A2" s="1" t="s">
        <v>181</v>
      </c>
    </row>
    <row r="3" spans="1:19" ht="18.75" x14ac:dyDescent="0.3">
      <c r="A3" s="2" t="s">
        <v>20</v>
      </c>
      <c r="F3" s="179"/>
      <c r="G3" s="179"/>
      <c r="H3" s="179"/>
      <c r="I3" s="179"/>
      <c r="J3" s="179"/>
      <c r="K3" s="179"/>
      <c r="L3" s="179"/>
      <c r="M3" s="179"/>
      <c r="N3" s="179"/>
      <c r="O3" s="179"/>
    </row>
    <row r="4" spans="1:19" s="174" customFormat="1" ht="12.75" x14ac:dyDescent="0.2">
      <c r="A4" s="173"/>
      <c r="B4" s="99">
        <v>2013</v>
      </c>
      <c r="C4" s="99">
        <v>2014</v>
      </c>
      <c r="D4" s="99">
        <v>2015</v>
      </c>
      <c r="E4" s="191" t="s">
        <v>195</v>
      </c>
      <c r="F4" s="180" t="s">
        <v>205</v>
      </c>
      <c r="G4" s="205" t="s">
        <v>201</v>
      </c>
      <c r="H4" s="206" t="s">
        <v>202</v>
      </c>
      <c r="I4" s="209" t="s">
        <v>208</v>
      </c>
      <c r="J4" s="210" t="s">
        <v>209</v>
      </c>
      <c r="K4" s="216" t="s">
        <v>218</v>
      </c>
      <c r="L4" s="230" t="s">
        <v>219</v>
      </c>
      <c r="M4" s="236" t="s">
        <v>226</v>
      </c>
      <c r="N4" s="239" t="s">
        <v>228</v>
      </c>
      <c r="O4" s="239" t="s">
        <v>229</v>
      </c>
      <c r="P4" s="99">
        <v>2016</v>
      </c>
      <c r="Q4" s="99">
        <v>2016</v>
      </c>
    </row>
    <row r="5" spans="1:19" s="101" customFormat="1" ht="24" x14ac:dyDescent="0.2">
      <c r="A5" s="100"/>
      <c r="B5" s="175" t="s">
        <v>5</v>
      </c>
      <c r="C5" s="175" t="s">
        <v>5</v>
      </c>
      <c r="D5" s="175" t="s">
        <v>5</v>
      </c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75" t="s">
        <v>198</v>
      </c>
      <c r="Q5" s="176" t="s">
        <v>132</v>
      </c>
    </row>
    <row r="6" spans="1:19" s="4" customFormat="1" ht="12.75" x14ac:dyDescent="0.2">
      <c r="A6" s="5" t="s">
        <v>6</v>
      </c>
      <c r="B6" s="107">
        <f>SUM('Summary-LA'!C7)/1000</f>
        <v>5922.9874400000008</v>
      </c>
      <c r="C6" s="103">
        <v>6852</v>
      </c>
      <c r="D6" s="103">
        <v>8803</v>
      </c>
      <c r="E6" s="103"/>
      <c r="F6" s="103">
        <f>'P1'!G10/1000</f>
        <v>721.86464000000001</v>
      </c>
      <c r="G6" s="103">
        <f>('P2'!G8+'P2'!G64)/1000</f>
        <v>607.09752000000003</v>
      </c>
      <c r="H6" s="103">
        <f>('P3'!G8)/1000</f>
        <v>870.19558999999992</v>
      </c>
      <c r="I6" s="103">
        <f>('P4'!G9)/1000</f>
        <v>604.43593999999996</v>
      </c>
      <c r="J6" s="103">
        <f>('P5'!G9)/1000</f>
        <v>714.27975000000004</v>
      </c>
      <c r="K6" s="103">
        <f>('P6'!G9)/1000</f>
        <v>858.28935999999999</v>
      </c>
      <c r="L6" s="103">
        <f>('P7'!G9)/1000</f>
        <v>581.21944999999994</v>
      </c>
      <c r="M6" s="103">
        <f>('P8'!I9)/1000</f>
        <v>757.71033999999997</v>
      </c>
      <c r="N6" s="103">
        <f>('P9'!I8)/1000</f>
        <v>849.27286000000004</v>
      </c>
      <c r="O6" s="103">
        <f>('P10'!I9)/1000</f>
        <v>497.40161999999998</v>
      </c>
      <c r="P6" s="103">
        <f>SUM(F6:O6)</f>
        <v>7061.767069999999</v>
      </c>
      <c r="Q6" s="104">
        <v>12000</v>
      </c>
      <c r="S6" s="177"/>
    </row>
    <row r="7" spans="1:19" s="4" customFormat="1" ht="12.75" x14ac:dyDescent="0.2">
      <c r="A7" s="5"/>
      <c r="B7" s="107"/>
      <c r="C7" s="102"/>
      <c r="D7" s="103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  <c r="Q7" s="102"/>
    </row>
    <row r="8" spans="1:19" s="4" customFormat="1" ht="12.75" x14ac:dyDescent="0.2">
      <c r="A8" s="5" t="s">
        <v>13</v>
      </c>
      <c r="B8" s="108">
        <f>SUM('Summary-LA'!C8)/1000</f>
        <v>2377.3418099999999</v>
      </c>
      <c r="C8" s="103">
        <v>2946</v>
      </c>
      <c r="D8" s="103">
        <v>3510</v>
      </c>
      <c r="E8" s="103"/>
      <c r="F8" s="103">
        <f>('P1'!G35-'P1'!G28-'P1'!G24)/1000</f>
        <v>296.41210999999998</v>
      </c>
      <c r="G8" s="103">
        <f>('P2'!G34-'P2'!G27-'P2'!G23)/1000</f>
        <v>195.09502999999998</v>
      </c>
      <c r="H8" s="103">
        <f>('P3'!G32-'P3'!G25-'P3'!G24)/1000</f>
        <v>302.32339000000002</v>
      </c>
      <c r="I8" s="103">
        <f>('P4'!G38-'P4'!G31-'P4'!G27)/1000</f>
        <v>268.12761000000006</v>
      </c>
      <c r="J8" s="103">
        <f>('P5'!G35-'P5'!G28-'P5'!G24)/1000</f>
        <v>310.11563000000001</v>
      </c>
      <c r="K8" s="103">
        <f>('P6'!G34-'P6'!G27-'P6'!G23)/1000</f>
        <v>279.81157000000002</v>
      </c>
      <c r="L8" s="103">
        <f>('P7'!G35-'P7'!G28-'P7'!G24)/1000</f>
        <v>263.57499999999999</v>
      </c>
      <c r="M8" s="103">
        <f>('P8'!I34-'P8'!I27-'P8'!I23)/1000</f>
        <v>325.28031999999996</v>
      </c>
      <c r="N8" s="103">
        <f>('P9'!I33-'P9'!I26-'P9'!I22)/1000</f>
        <v>371.18536</v>
      </c>
      <c r="O8" s="103">
        <f>('P10'!I33-'P10'!I26-'P10'!I23)/1000</f>
        <v>195.46823000000001</v>
      </c>
      <c r="P8" s="103">
        <f>SUM(F8:O8)</f>
        <v>2807.3942499999998</v>
      </c>
      <c r="Q8" s="104">
        <v>4560</v>
      </c>
    </row>
    <row r="9" spans="1:19" s="4" customFormat="1" ht="12.75" x14ac:dyDescent="0.2">
      <c r="A9" s="5" t="s">
        <v>14</v>
      </c>
      <c r="B9" s="105">
        <f t="shared" ref="B9" si="0">SUM(B8/B6)</f>
        <v>0.40137546028630439</v>
      </c>
      <c r="C9" s="105">
        <v>0.43</v>
      </c>
      <c r="D9" s="127">
        <v>0.4</v>
      </c>
      <c r="E9" s="105"/>
      <c r="F9" s="105">
        <f t="shared" ref="F9:G9" si="1">F8/F6</f>
        <v>0.41062007137515416</v>
      </c>
      <c r="G9" s="105">
        <f t="shared" si="1"/>
        <v>0.32135698725964151</v>
      </c>
      <c r="H9" s="105">
        <f t="shared" ref="H9:I9" si="2">H8/H6</f>
        <v>0.34742004380877184</v>
      </c>
      <c r="I9" s="105">
        <f t="shared" si="2"/>
        <v>0.44359971380920876</v>
      </c>
      <c r="J9" s="105">
        <f t="shared" ref="J9:P9" si="3">J8/J6</f>
        <v>0.43416550728198577</v>
      </c>
      <c r="K9" s="105">
        <f t="shared" si="3"/>
        <v>0.3260107640155297</v>
      </c>
      <c r="L9" s="105">
        <f t="shared" si="3"/>
        <v>0.45348620043599713</v>
      </c>
      <c r="M9" s="105">
        <f t="shared" si="3"/>
        <v>0.42929375887888765</v>
      </c>
      <c r="N9" s="105">
        <f t="shared" si="3"/>
        <v>0.43706254783651038</v>
      </c>
      <c r="O9" s="105">
        <f t="shared" ref="O9" si="4">O8/O6</f>
        <v>0.39297867586358087</v>
      </c>
      <c r="P9" s="127">
        <f t="shared" si="3"/>
        <v>0.39754840710145373</v>
      </c>
      <c r="Q9" s="106">
        <v>0.38</v>
      </c>
      <c r="S9" s="178"/>
    </row>
    <row r="10" spans="1:19" s="4" customFormat="1" ht="12.75" x14ac:dyDescent="0.2">
      <c r="A10" s="5" t="s">
        <v>17</v>
      </c>
      <c r="B10" s="108">
        <f>SUM('Summary-LA'!C10)/1000</f>
        <v>958.04260999999997</v>
      </c>
      <c r="C10" s="103">
        <v>1117</v>
      </c>
      <c r="D10" s="103">
        <v>1347</v>
      </c>
      <c r="E10" s="103"/>
      <c r="F10" s="103">
        <f>'P1'!G24/1000</f>
        <v>121.38675000000001</v>
      </c>
      <c r="G10" s="103">
        <f>'P2'!G23/1000</f>
        <v>82.638770000000008</v>
      </c>
      <c r="H10" s="103">
        <f>'P3'!G24/1000</f>
        <v>114.58114999999999</v>
      </c>
      <c r="I10" s="103">
        <f>'P4'!G27/1000</f>
        <v>111.84317</v>
      </c>
      <c r="J10" s="103">
        <f>'P5'!G24/1000</f>
        <v>123.07011</v>
      </c>
      <c r="K10" s="103">
        <f>'P6'!G23/1000</f>
        <v>106.88328999999999</v>
      </c>
      <c r="L10" s="103">
        <f>'P7'!G24/1000</f>
        <v>98.903700000000001</v>
      </c>
      <c r="M10" s="103">
        <f>'P8'!I23/1000</f>
        <v>123.34022</v>
      </c>
      <c r="N10" s="103">
        <f>'P9'!I22/1000</f>
        <v>115.99064999999999</v>
      </c>
      <c r="O10" s="103">
        <f>'P10'!I23/1000</f>
        <v>61.858440000000002</v>
      </c>
      <c r="P10" s="103">
        <f>SUM(F10:O10)</f>
        <v>1060.4962499999999</v>
      </c>
      <c r="Q10" s="104">
        <v>1680</v>
      </c>
    </row>
    <row r="11" spans="1:19" s="4" customFormat="1" ht="12.75" x14ac:dyDescent="0.2">
      <c r="A11" s="5" t="s">
        <v>0</v>
      </c>
      <c r="B11" s="105">
        <f t="shared" ref="B11" si="5">SUM(B10/B6)</f>
        <v>0.16174989727818836</v>
      </c>
      <c r="C11" s="105">
        <v>0.16</v>
      </c>
      <c r="D11" s="127">
        <v>0.15</v>
      </c>
      <c r="E11" s="105"/>
      <c r="F11" s="105">
        <f t="shared" ref="F11:G11" si="6">+F10/F6</f>
        <v>0.16815721850567442</v>
      </c>
      <c r="G11" s="105">
        <f t="shared" si="6"/>
        <v>0.13612107985550659</v>
      </c>
      <c r="H11" s="105">
        <f t="shared" ref="H11:I11" si="7">+H10/H6</f>
        <v>0.13167286908452386</v>
      </c>
      <c r="I11" s="105">
        <f t="shared" si="7"/>
        <v>0.18503725969703258</v>
      </c>
      <c r="J11" s="105">
        <f t="shared" ref="J11:O11" si="8">+J10/J6</f>
        <v>0.17229959270159906</v>
      </c>
      <c r="K11" s="105">
        <f t="shared" si="8"/>
        <v>0.12453060119491635</v>
      </c>
      <c r="L11" s="105">
        <f t="shared" si="8"/>
        <v>0.17016584699634538</v>
      </c>
      <c r="M11" s="105">
        <f t="shared" si="8"/>
        <v>0.16278017269765649</v>
      </c>
      <c r="N11" s="105">
        <f t="shared" si="8"/>
        <v>0.13657642374207035</v>
      </c>
      <c r="O11" s="105">
        <f t="shared" si="8"/>
        <v>0.12436316552406887</v>
      </c>
      <c r="P11" s="127">
        <f>P10/P6</f>
        <v>0.15017434581002118</v>
      </c>
      <c r="Q11" s="106">
        <v>0.14000000000000001</v>
      </c>
    </row>
    <row r="12" spans="1:19" s="4" customFormat="1" ht="12.75" x14ac:dyDescent="0.2">
      <c r="A12" s="5" t="s">
        <v>18</v>
      </c>
      <c r="B12" s="108">
        <f t="shared" ref="B12" si="9">SUM(B8+B10)</f>
        <v>3335.3844199999999</v>
      </c>
      <c r="C12" s="103">
        <v>4063</v>
      </c>
      <c r="D12" s="103">
        <v>4858</v>
      </c>
      <c r="E12" s="103"/>
      <c r="F12" s="103">
        <f t="shared" ref="F12" si="10">SUM(F8+F10)</f>
        <v>417.79885999999999</v>
      </c>
      <c r="G12" s="103">
        <f t="shared" ref="G12:H12" si="11">SUM(G8+G10)</f>
        <v>277.73379999999997</v>
      </c>
      <c r="H12" s="103">
        <f t="shared" si="11"/>
        <v>416.90454</v>
      </c>
      <c r="I12" s="103">
        <f t="shared" ref="I12" si="12">SUM(I8+I10)</f>
        <v>379.97078000000005</v>
      </c>
      <c r="J12" s="103">
        <f t="shared" ref="J12:P12" si="13">SUM(J8+J10)</f>
        <v>433.18574000000001</v>
      </c>
      <c r="K12" s="103">
        <f t="shared" si="13"/>
        <v>386.69486000000001</v>
      </c>
      <c r="L12" s="103">
        <f t="shared" si="13"/>
        <v>362.4787</v>
      </c>
      <c r="M12" s="103">
        <f t="shared" si="13"/>
        <v>448.62053999999995</v>
      </c>
      <c r="N12" s="103">
        <f t="shared" si="13"/>
        <v>487.17601000000002</v>
      </c>
      <c r="O12" s="103">
        <f t="shared" ref="O12" si="14">SUM(O8+O10)</f>
        <v>257.32667000000004</v>
      </c>
      <c r="P12" s="103">
        <f>SUM(P8+P10)</f>
        <v>3867.8904999999995</v>
      </c>
      <c r="Q12" s="104">
        <v>6240</v>
      </c>
    </row>
    <row r="13" spans="1:19" s="4" customFormat="1" ht="12.75" x14ac:dyDescent="0.2">
      <c r="A13" s="5" t="s">
        <v>15</v>
      </c>
      <c r="B13" s="105">
        <f t="shared" ref="B13" si="15">SUM(B12/B6)</f>
        <v>0.56312535756449278</v>
      </c>
      <c r="C13" s="105">
        <v>0.59</v>
      </c>
      <c r="D13" s="127">
        <v>0.55000000000000004</v>
      </c>
      <c r="E13" s="105"/>
      <c r="F13" s="105">
        <f t="shared" ref="F13:G13" si="16">F12/F6</f>
        <v>0.57877728988082866</v>
      </c>
      <c r="G13" s="105">
        <f t="shared" si="16"/>
        <v>0.4574780671151481</v>
      </c>
      <c r="H13" s="105">
        <f t="shared" ref="H13:I13" si="17">H12/H6</f>
        <v>0.4790929128932957</v>
      </c>
      <c r="I13" s="105">
        <f t="shared" si="17"/>
        <v>0.62863697350624137</v>
      </c>
      <c r="J13" s="105">
        <f t="shared" ref="J13:P13" si="18">J12/J6</f>
        <v>0.60646509998358489</v>
      </c>
      <c r="K13" s="105">
        <f t="shared" si="18"/>
        <v>0.45054136521044608</v>
      </c>
      <c r="L13" s="105">
        <f t="shared" si="18"/>
        <v>0.62365204743234259</v>
      </c>
      <c r="M13" s="105">
        <f t="shared" si="18"/>
        <v>0.59207393157654409</v>
      </c>
      <c r="N13" s="105">
        <f t="shared" si="18"/>
        <v>0.57363897157858079</v>
      </c>
      <c r="O13" s="105">
        <f t="shared" ref="O13" si="19">O12/O6</f>
        <v>0.51734184138764983</v>
      </c>
      <c r="P13" s="127">
        <f t="shared" si="18"/>
        <v>0.54772275291147487</v>
      </c>
      <c r="Q13" s="106">
        <v>0.52</v>
      </c>
    </row>
    <row r="14" spans="1:19" s="4" customFormat="1" ht="12.75" x14ac:dyDescent="0.2">
      <c r="A14" s="5"/>
      <c r="B14" s="109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2"/>
    </row>
    <row r="15" spans="1:19" s="4" customFormat="1" ht="12.75" x14ac:dyDescent="0.2">
      <c r="A15" s="5" t="s">
        <v>10</v>
      </c>
      <c r="B15" s="108">
        <f>SUM('Summary-LA'!C14)/1000</f>
        <v>363.35523000000001</v>
      </c>
      <c r="C15" s="103">
        <v>577</v>
      </c>
      <c r="D15" s="103">
        <v>711</v>
      </c>
      <c r="E15" s="103"/>
      <c r="F15" s="103">
        <f>'P1'!G28/1000</f>
        <v>43.635069999999999</v>
      </c>
      <c r="G15" s="103">
        <f>'P2'!G27/1000</f>
        <v>43.841709999999999</v>
      </c>
      <c r="H15" s="103">
        <f>'P3'!G25/1000</f>
        <v>51.951809999999995</v>
      </c>
      <c r="I15" s="103">
        <f>'P4'!G31/1000</f>
        <v>36.700809999999997</v>
      </c>
      <c r="J15" s="103">
        <f>'P5'!G28/1000</f>
        <v>44.222149999999999</v>
      </c>
      <c r="K15" s="103">
        <f>'P6'!G27/1000</f>
        <v>45.282019999999996</v>
      </c>
      <c r="L15" s="103">
        <f>'P7'!G28/1000</f>
        <v>31.815549999999998</v>
      </c>
      <c r="M15" s="103">
        <f>'P8'!I27/1000</f>
        <v>38.318690000000004</v>
      </c>
      <c r="N15" s="103">
        <f>'P9'!I26/1000</f>
        <v>30.572479999999999</v>
      </c>
      <c r="O15" s="103">
        <f>'P10'!I26/1000</f>
        <v>24.457979999999999</v>
      </c>
      <c r="P15" s="103">
        <f>SUM(F15:O15)</f>
        <v>390.79826999999995</v>
      </c>
      <c r="Q15" s="102">
        <v>840</v>
      </c>
      <c r="S15" s="177"/>
    </row>
    <row r="16" spans="1:19" s="4" customFormat="1" ht="12.75" x14ac:dyDescent="0.2">
      <c r="A16" s="5" t="s">
        <v>1</v>
      </c>
      <c r="B16" s="105">
        <f t="shared" ref="B16" si="20">SUM(B15/B6)</f>
        <v>6.1346614977795727E-2</v>
      </c>
      <c r="C16" s="105">
        <v>0.08</v>
      </c>
      <c r="D16" s="127">
        <v>0.08</v>
      </c>
      <c r="E16" s="105"/>
      <c r="F16" s="105">
        <f t="shared" ref="F16:G16" si="21">F15/F6</f>
        <v>6.0447717732787128E-2</v>
      </c>
      <c r="G16" s="105">
        <f t="shared" si="21"/>
        <v>7.2215267820563644E-2</v>
      </c>
      <c r="H16" s="105">
        <f t="shared" ref="H16:I16" si="22">H15/H6</f>
        <v>5.9701302324457882E-2</v>
      </c>
      <c r="I16" s="105">
        <f t="shared" si="22"/>
        <v>6.0719106147129505E-2</v>
      </c>
      <c r="J16" s="105">
        <f t="shared" ref="J16" si="23">J15/J6</f>
        <v>6.1911526961250123E-2</v>
      </c>
      <c r="K16" s="105">
        <f t="shared" ref="K16:L16" si="24">K15/K6</f>
        <v>5.2758454328269894E-2</v>
      </c>
      <c r="L16" s="105">
        <f t="shared" si="24"/>
        <v>5.4739307158423553E-2</v>
      </c>
      <c r="M16" s="105">
        <f t="shared" ref="M16:N16" si="25">M15/M6</f>
        <v>5.0571686800525914E-2</v>
      </c>
      <c r="N16" s="105">
        <f t="shared" si="25"/>
        <v>3.5998418694316921E-2</v>
      </c>
      <c r="O16" s="105">
        <f t="shared" ref="O16" si="26">O15/O6</f>
        <v>4.9171492445078888E-2</v>
      </c>
      <c r="P16" s="127">
        <f>P15/P6</f>
        <v>5.5340011377633842E-2</v>
      </c>
      <c r="Q16" s="106">
        <v>0.06</v>
      </c>
    </row>
    <row r="17" spans="1:19" s="4" customFormat="1" ht="12" customHeight="1" x14ac:dyDescent="0.2">
      <c r="A17" s="5" t="s">
        <v>11</v>
      </c>
      <c r="B17" s="108">
        <f>SUM('Summary-LA'!C16)/1000</f>
        <v>522.03692999999998</v>
      </c>
      <c r="C17" s="103">
        <v>715</v>
      </c>
      <c r="D17" s="103">
        <v>932</v>
      </c>
      <c r="E17" s="192" t="s">
        <v>196</v>
      </c>
      <c r="F17" s="182">
        <f>'P1'!O3/1000</f>
        <v>78.762859999999989</v>
      </c>
      <c r="G17" s="182">
        <f>'P2'!O3/1000</f>
        <v>98.380089999999996</v>
      </c>
      <c r="H17" s="182">
        <f>'P3'!O3/1000</f>
        <v>83.394319999999993</v>
      </c>
      <c r="I17" s="182">
        <f>'P4'!O3/1000</f>
        <v>68.249319999999997</v>
      </c>
      <c r="J17" s="182">
        <f>'P5'!N4/1000</f>
        <v>70.65091000000001</v>
      </c>
      <c r="K17" s="182">
        <f>'P6'!N11/1000</f>
        <v>86.701309999999992</v>
      </c>
      <c r="L17" s="182">
        <f>'P7'!O2/1000</f>
        <v>64.492900000000006</v>
      </c>
      <c r="M17" s="182">
        <f>'P8'!N8/1000</f>
        <v>70.13364</v>
      </c>
      <c r="N17" s="182">
        <f>'P9'!N9/1000</f>
        <v>137.80454999999998</v>
      </c>
      <c r="O17" s="182">
        <f>'P10'!M3/1000</f>
        <v>102.81314999999999</v>
      </c>
      <c r="P17" s="103">
        <f>SUM(F17:O17)</f>
        <v>861.38304999999991</v>
      </c>
      <c r="Q17" s="102">
        <v>932</v>
      </c>
    </row>
    <row r="18" spans="1:19" s="4" customFormat="1" ht="12.75" x14ac:dyDescent="0.2">
      <c r="A18" s="5" t="s">
        <v>2</v>
      </c>
      <c r="B18" s="105">
        <f t="shared" ref="B18" si="27">SUM(B17/B6)</f>
        <v>8.8137436604120156E-2</v>
      </c>
      <c r="C18" s="105">
        <v>0.1</v>
      </c>
      <c r="D18" s="127">
        <v>0.11</v>
      </c>
      <c r="E18" s="105"/>
      <c r="F18" s="105">
        <f t="shared" ref="F18:G18" si="28">F17/F6</f>
        <v>0.10911028970749971</v>
      </c>
      <c r="G18" s="105">
        <f t="shared" si="28"/>
        <v>0.16204989603647202</v>
      </c>
      <c r="H18" s="105">
        <f t="shared" ref="H18" si="29">H17/H6</f>
        <v>9.5833995205606592E-2</v>
      </c>
      <c r="I18" s="105">
        <f t="shared" ref="I18:P18" si="30">I17/I6</f>
        <v>0.11291406662548889</v>
      </c>
      <c r="J18" s="105">
        <f t="shared" si="30"/>
        <v>9.8912099916034307E-2</v>
      </c>
      <c r="K18" s="105">
        <f t="shared" si="30"/>
        <v>0.10101641013002886</v>
      </c>
      <c r="L18" s="105">
        <f t="shared" si="30"/>
        <v>0.11096135891529441</v>
      </c>
      <c r="M18" s="105">
        <f t="shared" si="30"/>
        <v>9.2559961633887702E-2</v>
      </c>
      <c r="N18" s="105">
        <f t="shared" ref="N18:O18" si="31">N17/N6</f>
        <v>0.16226180829562831</v>
      </c>
      <c r="O18" s="105">
        <f t="shared" si="31"/>
        <v>0.20670047274876185</v>
      </c>
      <c r="P18" s="127">
        <f t="shared" si="30"/>
        <v>0.12197840023063802</v>
      </c>
      <c r="Q18" s="106">
        <v>0.08</v>
      </c>
    </row>
    <row r="19" spans="1:19" s="4" customFormat="1" ht="12.75" x14ac:dyDescent="0.2">
      <c r="A19" s="5" t="s">
        <v>19</v>
      </c>
      <c r="B19" s="110">
        <f t="shared" ref="B19" si="32">SUM(B15+B17)</f>
        <v>885.39215999999999</v>
      </c>
      <c r="C19" s="103">
        <v>1292</v>
      </c>
      <c r="D19" s="103">
        <v>1644</v>
      </c>
      <c r="E19" s="103"/>
      <c r="F19" s="103">
        <f t="shared" ref="F19:G19" si="33">SUM(F15+F17)</f>
        <v>122.39792999999999</v>
      </c>
      <c r="G19" s="103">
        <f t="shared" si="33"/>
        <v>142.2218</v>
      </c>
      <c r="H19" s="103">
        <f t="shared" ref="H19:I19" si="34">SUM(H15+H17)</f>
        <v>135.34612999999999</v>
      </c>
      <c r="I19" s="103">
        <f t="shared" si="34"/>
        <v>104.95013</v>
      </c>
      <c r="J19" s="103">
        <f t="shared" ref="J19" si="35">SUM(J15+J17)</f>
        <v>114.87306000000001</v>
      </c>
      <c r="K19" s="103">
        <f t="shared" ref="K19:L19" si="36">SUM(K15+K17)</f>
        <v>131.98333</v>
      </c>
      <c r="L19" s="103">
        <f t="shared" si="36"/>
        <v>96.308450000000008</v>
      </c>
      <c r="M19" s="103">
        <f t="shared" ref="M19:N19" si="37">SUM(M15+M17)</f>
        <v>108.45233</v>
      </c>
      <c r="N19" s="103">
        <f t="shared" si="37"/>
        <v>168.37702999999999</v>
      </c>
      <c r="O19" s="103">
        <f t="shared" ref="O19" si="38">SUM(O15+O17)</f>
        <v>127.27113</v>
      </c>
      <c r="P19" s="103">
        <f>SUM(P15+P17)</f>
        <v>1252.1813199999999</v>
      </c>
      <c r="Q19" s="104">
        <v>1772</v>
      </c>
    </row>
    <row r="20" spans="1:19" s="4" customFormat="1" ht="12.75" x14ac:dyDescent="0.2">
      <c r="A20" s="5" t="s">
        <v>3</v>
      </c>
      <c r="B20" s="105">
        <f t="shared" ref="B20" si="39">SUM(B19/B6)</f>
        <v>0.14948405158191588</v>
      </c>
      <c r="C20" s="105">
        <v>0.19</v>
      </c>
      <c r="D20" s="127">
        <v>0.19</v>
      </c>
      <c r="E20" s="105"/>
      <c r="F20" s="105">
        <f t="shared" ref="F20:G20" si="40">F19/F6</f>
        <v>0.16955800744028685</v>
      </c>
      <c r="G20" s="105">
        <f t="shared" si="40"/>
        <v>0.23426516385703569</v>
      </c>
      <c r="H20" s="105">
        <f t="shared" ref="H20:I20" si="41">H19/H6</f>
        <v>0.15553529753006448</v>
      </c>
      <c r="I20" s="105">
        <f t="shared" si="41"/>
        <v>0.17363317277261839</v>
      </c>
      <c r="J20" s="105">
        <f t="shared" ref="J20" si="42">J19/J6</f>
        <v>0.16082362687728444</v>
      </c>
      <c r="K20" s="105">
        <f t="shared" ref="K20:L20" si="43">K19/K6</f>
        <v>0.15377486445829877</v>
      </c>
      <c r="L20" s="105">
        <f t="shared" si="43"/>
        <v>0.16570066607371797</v>
      </c>
      <c r="M20" s="105">
        <f t="shared" ref="M20:N20" si="44">M19/M6</f>
        <v>0.14313164843441362</v>
      </c>
      <c r="N20" s="105">
        <f t="shared" si="44"/>
        <v>0.19826022698994525</v>
      </c>
      <c r="O20" s="105">
        <f t="shared" ref="O20" si="45">O19/O6</f>
        <v>0.25587196519384076</v>
      </c>
      <c r="P20" s="127">
        <f>P19/P6</f>
        <v>0.17731841160827189</v>
      </c>
      <c r="Q20" s="106">
        <v>0.15</v>
      </c>
    </row>
    <row r="21" spans="1:19" s="4" customFormat="1" ht="12.75" x14ac:dyDescent="0.2">
      <c r="A21" s="5"/>
      <c r="B21" s="109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2"/>
    </row>
    <row r="22" spans="1:19" s="4" customFormat="1" ht="12.75" x14ac:dyDescent="0.2">
      <c r="A22" s="5" t="s">
        <v>4</v>
      </c>
      <c r="B22" s="108">
        <f>SUM('Summary-LA'!C21)/1000</f>
        <v>1281.01883</v>
      </c>
      <c r="C22" s="103">
        <v>1266</v>
      </c>
      <c r="D22" s="103">
        <v>1541</v>
      </c>
      <c r="E22" s="192" t="s">
        <v>197</v>
      </c>
      <c r="F22" s="182">
        <f>'P1'!O7/1000</f>
        <v>130.75146000000001</v>
      </c>
      <c r="G22" s="182">
        <f>'P2'!O7/1000</f>
        <v>144.24679999999998</v>
      </c>
      <c r="H22" s="182">
        <f>'P3'!O7/1000</f>
        <v>171.12280999999999</v>
      </c>
      <c r="I22" s="182">
        <f>'P4'!O7/1000</f>
        <v>144.6635</v>
      </c>
      <c r="J22" s="182">
        <f>'P5'!N8/1000</f>
        <v>158.79483999999999</v>
      </c>
      <c r="K22" s="182">
        <f>'P6'!N15/1000</f>
        <v>195.42704999999998</v>
      </c>
      <c r="L22" s="182">
        <f>'P7'!O6/1000</f>
        <v>166.69663999999997</v>
      </c>
      <c r="M22" s="182">
        <f>'P8'!N12/1000</f>
        <v>171.26419000000001</v>
      </c>
      <c r="N22" s="182">
        <f>'P9'!N13/1000</f>
        <v>126.21810999999998</v>
      </c>
      <c r="O22" s="182">
        <f>'P10'!M7/1000</f>
        <v>132.28959</v>
      </c>
      <c r="P22" s="103">
        <f>SUM(F22:O22)</f>
        <v>1541.4749900000002</v>
      </c>
      <c r="Q22" s="104">
        <v>1500</v>
      </c>
      <c r="S22" s="177"/>
    </row>
    <row r="23" spans="1:19" s="4" customFormat="1" ht="12.75" x14ac:dyDescent="0.2">
      <c r="A23" s="5" t="s">
        <v>7</v>
      </c>
      <c r="B23" s="105">
        <f t="shared" ref="B23" si="46">SUM(B22/B6)</f>
        <v>0.21627917380827669</v>
      </c>
      <c r="C23" s="105">
        <v>0.18</v>
      </c>
      <c r="D23" s="127">
        <v>0.18</v>
      </c>
      <c r="E23" s="105"/>
      <c r="F23" s="105">
        <f t="shared" ref="F23:P23" si="47">F22/F6</f>
        <v>0.18113016312864419</v>
      </c>
      <c r="G23" s="105">
        <f t="shared" ref="G23:H23" si="48">G22/G6</f>
        <v>0.23760070704950331</v>
      </c>
      <c r="H23" s="105">
        <f t="shared" si="48"/>
        <v>0.19664867527080895</v>
      </c>
      <c r="I23" s="105">
        <f t="shared" ref="I23:J23" si="49">I22/I6</f>
        <v>0.23933636375097087</v>
      </c>
      <c r="J23" s="105">
        <f t="shared" si="49"/>
        <v>0.22231463232717991</v>
      </c>
      <c r="K23" s="105">
        <f t="shared" ref="K23:L23" si="50">K22/K6</f>
        <v>0.2276936649896254</v>
      </c>
      <c r="L23" s="105">
        <f t="shared" si="50"/>
        <v>0.28680499250326186</v>
      </c>
      <c r="M23" s="105">
        <f t="shared" ref="M23:N23" si="51">M22/M6</f>
        <v>0.22602857709451349</v>
      </c>
      <c r="N23" s="105">
        <f t="shared" si="51"/>
        <v>0.14861903157955617</v>
      </c>
      <c r="O23" s="105">
        <f t="shared" ref="O23" si="52">O22/O6</f>
        <v>0.26596131713443155</v>
      </c>
      <c r="P23" s="105">
        <f t="shared" si="47"/>
        <v>0.21828459856011653</v>
      </c>
      <c r="Q23" s="106">
        <v>0.13</v>
      </c>
      <c r="S23" s="178"/>
    </row>
    <row r="24" spans="1:19" s="4" customFormat="1" ht="12.75" x14ac:dyDescent="0.2">
      <c r="A24" s="5"/>
      <c r="B24" s="109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2"/>
    </row>
    <row r="25" spans="1:19" s="4" customFormat="1" ht="12.75" x14ac:dyDescent="0.2">
      <c r="A25" s="5" t="s">
        <v>8</v>
      </c>
      <c r="B25" s="108">
        <f>SUM('Summary-LA'!C24)/1000</f>
        <v>421.19203000000005</v>
      </c>
      <c r="C25" s="103">
        <v>278</v>
      </c>
      <c r="D25" s="103">
        <v>761</v>
      </c>
      <c r="E25" s="103"/>
      <c r="F25" s="103">
        <f t="shared" ref="F25" si="53">F6-F12-F19-F22</f>
        <v>50.916390000000035</v>
      </c>
      <c r="G25" s="103">
        <f t="shared" ref="G25:H25" si="54">G6-G12-G19-G22</f>
        <v>42.895120000000077</v>
      </c>
      <c r="H25" s="103">
        <f t="shared" si="54"/>
        <v>146.82210999999992</v>
      </c>
      <c r="I25" s="103">
        <f t="shared" ref="I25:J25" si="55">I6-I12-I19-I22</f>
        <v>-25.148470000000088</v>
      </c>
      <c r="J25" s="103">
        <f t="shared" si="55"/>
        <v>7.4261100000000226</v>
      </c>
      <c r="K25" s="103">
        <f t="shared" ref="K25:P25" si="56">K6-K12-K19-K22</f>
        <v>144.18412000000004</v>
      </c>
      <c r="L25" s="103">
        <f t="shared" si="56"/>
        <v>-44.264340000000047</v>
      </c>
      <c r="M25" s="103">
        <f t="shared" si="56"/>
        <v>29.373279999999994</v>
      </c>
      <c r="N25" s="103">
        <f t="shared" si="56"/>
        <v>67.501710000000045</v>
      </c>
      <c r="O25" s="103">
        <f t="shared" si="56"/>
        <v>-19.485770000000059</v>
      </c>
      <c r="P25" s="103">
        <f>P6-P12-P19-P22</f>
        <v>400.22025999999937</v>
      </c>
      <c r="Q25" s="104">
        <v>2488</v>
      </c>
    </row>
    <row r="26" spans="1:19" s="4" customFormat="1" ht="12.75" x14ac:dyDescent="0.2">
      <c r="A26" s="5" t="s">
        <v>9</v>
      </c>
      <c r="B26" s="105">
        <f t="shared" ref="B26" si="57">SUM(B25/B6)</f>
        <v>7.1111417045314554E-2</v>
      </c>
      <c r="C26" s="105">
        <v>0.04</v>
      </c>
      <c r="D26" s="127">
        <v>0.09</v>
      </c>
      <c r="E26" s="105"/>
      <c r="F26" s="105">
        <f t="shared" ref="F26:P26" si="58">+F25/F6</f>
        <v>7.0534539550240374E-2</v>
      </c>
      <c r="G26" s="105">
        <f t="shared" ref="G26:H26" si="59">+G25/G6</f>
        <v>7.0656061978312937E-2</v>
      </c>
      <c r="H26" s="105">
        <f t="shared" si="59"/>
        <v>0.16872311430583087</v>
      </c>
      <c r="I26" s="105">
        <f t="shared" ref="I26:J26" si="60">+I25/I6</f>
        <v>-4.1606510029830603E-2</v>
      </c>
      <c r="J26" s="105">
        <f t="shared" si="60"/>
        <v>1.0396640811950811E-2</v>
      </c>
      <c r="K26" s="105">
        <f t="shared" ref="K26:L26" si="61">+K25/K6</f>
        <v>0.16799010534162981</v>
      </c>
      <c r="L26" s="105">
        <f t="shared" si="61"/>
        <v>-7.6157706009322382E-2</v>
      </c>
      <c r="M26" s="105">
        <f t="shared" ref="M26:N26" si="62">+M25/M6</f>
        <v>3.8765842894528793E-2</v>
      </c>
      <c r="N26" s="105">
        <f t="shared" si="62"/>
        <v>7.9481769851917836E-2</v>
      </c>
      <c r="O26" s="105">
        <f t="shared" ref="O26" si="63">+O25/O6</f>
        <v>-3.9175123715922078E-2</v>
      </c>
      <c r="P26" s="105">
        <f t="shared" si="58"/>
        <v>5.6674236920136678E-2</v>
      </c>
      <c r="Q26" s="106">
        <v>0.21</v>
      </c>
    </row>
    <row r="27" spans="1:19" x14ac:dyDescent="0.25">
      <c r="B27" s="76"/>
      <c r="C27" s="76"/>
      <c r="E27" s="76"/>
    </row>
  </sheetData>
  <printOptions gridLines="1"/>
  <pageMargins left="0.7" right="0.7" top="0.75" bottom="0.75" header="0.3" footer="0.3"/>
  <pageSetup orientation="landscape" horizontalDpi="4294967293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77"/>
  <sheetViews>
    <sheetView workbookViewId="0">
      <pane ySplit="1" topLeftCell="A5" activePane="bottomLeft" state="frozen"/>
      <selection pane="bottomLeft" activeCell="G8" sqref="G8"/>
    </sheetView>
  </sheetViews>
  <sheetFormatPr defaultRowHeight="15" x14ac:dyDescent="0.25"/>
  <cols>
    <col min="1" max="5" width="3" style="98" customWidth="1"/>
    <col min="6" max="6" width="30.42578125" style="98" customWidth="1"/>
    <col min="7" max="7" width="15" style="203" bestFit="1" customWidth="1"/>
    <col min="8" max="10" width="0" style="7" hidden="1" customWidth="1"/>
    <col min="11" max="11" width="9.140625" style="7"/>
    <col min="12" max="12" width="11.28515625" style="7" bestFit="1" customWidth="1"/>
    <col min="13" max="13" width="14.85546875" style="7" bestFit="1" customWidth="1"/>
    <col min="14" max="14" width="23.140625" style="7" bestFit="1" customWidth="1"/>
    <col min="15" max="15" width="10.140625" style="7" bestFit="1" customWidth="1"/>
    <col min="16" max="16" width="9.42578125" style="7" bestFit="1" customWidth="1"/>
    <col min="17" max="17" width="17.42578125" style="7" bestFit="1" customWidth="1"/>
    <col min="18" max="16384" width="9.140625" style="7"/>
  </cols>
  <sheetData>
    <row r="1" spans="1:17" s="47" customFormat="1" ht="15.75" thickBot="1" x14ac:dyDescent="0.3">
      <c r="A1" s="88"/>
      <c r="B1" s="88"/>
      <c r="C1" s="88"/>
      <c r="D1" s="88"/>
      <c r="E1" s="88"/>
      <c r="F1" s="88"/>
      <c r="G1" s="194" t="s">
        <v>199</v>
      </c>
    </row>
    <row r="2" spans="1:17" ht="30.75" thickTop="1" x14ac:dyDescent="0.25">
      <c r="A2" s="90"/>
      <c r="B2" s="90" t="s">
        <v>39</v>
      </c>
      <c r="C2" s="90"/>
      <c r="D2" s="90"/>
      <c r="E2" s="90"/>
      <c r="F2" s="90"/>
      <c r="G2" s="195"/>
      <c r="N2" s="187" t="s">
        <v>189</v>
      </c>
      <c r="O2" s="188" t="s">
        <v>149</v>
      </c>
      <c r="P2" s="189" t="s">
        <v>190</v>
      </c>
      <c r="Q2" s="188" t="s">
        <v>191</v>
      </c>
    </row>
    <row r="3" spans="1:17" x14ac:dyDescent="0.25">
      <c r="A3" s="90"/>
      <c r="B3" s="90"/>
      <c r="C3" s="90"/>
      <c r="D3" s="90" t="s">
        <v>40</v>
      </c>
      <c r="E3" s="90"/>
      <c r="F3" s="90"/>
      <c r="G3" s="195"/>
      <c r="N3" s="123" t="s">
        <v>192</v>
      </c>
      <c r="O3" s="124">
        <f>G55+G49</f>
        <v>98380.09</v>
      </c>
      <c r="P3" s="123"/>
      <c r="Q3" s="123" t="s">
        <v>193</v>
      </c>
    </row>
    <row r="4" spans="1:17" x14ac:dyDescent="0.25">
      <c r="A4" s="90"/>
      <c r="B4" s="90"/>
      <c r="C4" s="90"/>
      <c r="D4" s="90"/>
      <c r="E4" s="90" t="s">
        <v>41</v>
      </c>
      <c r="F4" s="90"/>
      <c r="G4" s="195">
        <v>-11200.26</v>
      </c>
      <c r="N4" s="190"/>
      <c r="O4" s="190"/>
      <c r="P4" s="190"/>
      <c r="Q4" s="190"/>
    </row>
    <row r="5" spans="1:17" x14ac:dyDescent="0.25">
      <c r="A5" s="90"/>
      <c r="B5" s="90"/>
      <c r="C5" s="90"/>
      <c r="D5" s="90"/>
      <c r="E5" s="90" t="s">
        <v>131</v>
      </c>
      <c r="F5" s="90"/>
      <c r="G5" s="195">
        <v>1045</v>
      </c>
    </row>
    <row r="6" spans="1:17" ht="30" x14ac:dyDescent="0.25">
      <c r="A6" s="90"/>
      <c r="B6" s="90"/>
      <c r="C6" s="90"/>
      <c r="D6" s="90"/>
      <c r="E6" s="90" t="s">
        <v>45</v>
      </c>
      <c r="F6" s="90"/>
      <c r="G6" s="195">
        <v>49123.5</v>
      </c>
      <c r="N6" s="187" t="s">
        <v>194</v>
      </c>
      <c r="O6" s="188" t="s">
        <v>149</v>
      </c>
      <c r="P6" s="189" t="s">
        <v>190</v>
      </c>
      <c r="Q6" s="188" t="s">
        <v>191</v>
      </c>
    </row>
    <row r="7" spans="1:17" ht="15.75" thickBot="1" x14ac:dyDescent="0.3">
      <c r="A7" s="90"/>
      <c r="B7" s="90"/>
      <c r="C7" s="90"/>
      <c r="D7" s="90"/>
      <c r="E7" s="90" t="s">
        <v>47</v>
      </c>
      <c r="F7" s="90"/>
      <c r="G7" s="196">
        <v>568132.54</v>
      </c>
      <c r="N7" s="123" t="s">
        <v>152</v>
      </c>
      <c r="O7" s="124">
        <f>G60+G68-O3</f>
        <v>144246.79999999999</v>
      </c>
      <c r="P7" s="123"/>
      <c r="Q7" s="123" t="s">
        <v>193</v>
      </c>
    </row>
    <row r="8" spans="1:17" x14ac:dyDescent="0.25">
      <c r="A8" s="90"/>
      <c r="B8" s="90"/>
      <c r="C8" s="90"/>
      <c r="D8" s="90" t="s">
        <v>49</v>
      </c>
      <c r="E8" s="90"/>
      <c r="F8" s="90"/>
      <c r="G8" s="195">
        <f>ROUND(SUM(G3:G7),5)</f>
        <v>607100.78</v>
      </c>
    </row>
    <row r="9" spans="1:17" x14ac:dyDescent="0.25">
      <c r="A9" s="90"/>
      <c r="B9" s="90"/>
      <c r="C9" s="90"/>
      <c r="D9" s="90" t="s">
        <v>50</v>
      </c>
      <c r="E9" s="90"/>
      <c r="F9" s="90"/>
      <c r="G9" s="195"/>
    </row>
    <row r="10" spans="1:17" x14ac:dyDescent="0.25">
      <c r="A10" s="90"/>
      <c r="B10" s="90"/>
      <c r="C10" s="90"/>
      <c r="D10" s="90"/>
      <c r="E10" s="90" t="s">
        <v>51</v>
      </c>
      <c r="F10" s="90"/>
      <c r="G10" s="195">
        <v>247.28</v>
      </c>
    </row>
    <row r="11" spans="1:17" ht="30" customHeight="1" x14ac:dyDescent="0.25">
      <c r="A11" s="90"/>
      <c r="B11" s="90"/>
      <c r="C11" s="90"/>
      <c r="D11" s="90"/>
      <c r="E11" s="90" t="s">
        <v>53</v>
      </c>
      <c r="F11" s="90"/>
      <c r="G11" s="195">
        <v>0</v>
      </c>
      <c r="H11" s="183"/>
      <c r="I11" s="183"/>
    </row>
    <row r="12" spans="1:17" x14ac:dyDescent="0.25">
      <c r="A12" s="90"/>
      <c r="B12" s="90"/>
      <c r="C12" s="90"/>
      <c r="D12" s="90"/>
      <c r="E12" s="90" t="s">
        <v>54</v>
      </c>
      <c r="F12" s="90"/>
      <c r="G12" s="195"/>
      <c r="H12" s="184">
        <v>6228.3</v>
      </c>
      <c r="I12" s="184">
        <v>5580.73</v>
      </c>
      <c r="J12" s="185">
        <f>H12+I12</f>
        <v>11809.029999999999</v>
      </c>
    </row>
    <row r="13" spans="1:17" x14ac:dyDescent="0.25">
      <c r="A13" s="90"/>
      <c r="B13" s="90"/>
      <c r="C13" s="90"/>
      <c r="D13" s="90"/>
      <c r="E13" s="90"/>
      <c r="F13" s="90" t="s">
        <v>184</v>
      </c>
      <c r="G13" s="195">
        <v>4219.1000000000004</v>
      </c>
      <c r="H13" s="183"/>
      <c r="I13" s="183"/>
    </row>
    <row r="14" spans="1:17" x14ac:dyDescent="0.25">
      <c r="A14" s="90"/>
      <c r="B14" s="90"/>
      <c r="C14" s="90"/>
      <c r="D14" s="90"/>
      <c r="E14" s="90"/>
      <c r="F14" s="90" t="s">
        <v>42</v>
      </c>
      <c r="G14" s="195">
        <v>-5150.96</v>
      </c>
      <c r="H14" s="183"/>
      <c r="I14" s="183"/>
    </row>
    <row r="15" spans="1:17" x14ac:dyDescent="0.25">
      <c r="A15" s="90"/>
      <c r="B15" s="90"/>
      <c r="C15" s="90"/>
      <c r="D15" s="90"/>
      <c r="E15" s="90"/>
      <c r="F15" s="90" t="s">
        <v>55</v>
      </c>
      <c r="G15" s="195">
        <v>221.9</v>
      </c>
      <c r="H15" s="183"/>
      <c r="I15" s="183"/>
    </row>
    <row r="16" spans="1:17" ht="15.75" thickBot="1" x14ac:dyDescent="0.3">
      <c r="A16" s="90"/>
      <c r="B16" s="90"/>
      <c r="C16" s="90"/>
      <c r="D16" s="90"/>
      <c r="E16" s="90"/>
      <c r="F16" s="90" t="s">
        <v>56</v>
      </c>
      <c r="G16" s="196">
        <v>153332.42000000001</v>
      </c>
    </row>
    <row r="17" spans="1:12" x14ac:dyDescent="0.25">
      <c r="A17" s="90"/>
      <c r="B17" s="90"/>
      <c r="C17" s="90"/>
      <c r="D17" s="90"/>
      <c r="E17" s="90" t="s">
        <v>57</v>
      </c>
      <c r="F17" s="90"/>
      <c r="G17" s="195">
        <f>ROUND(SUM(G12:G16),5)</f>
        <v>152622.46</v>
      </c>
      <c r="L17" s="126"/>
    </row>
    <row r="18" spans="1:12" x14ac:dyDescent="0.25">
      <c r="A18" s="90"/>
      <c r="B18" s="90"/>
      <c r="C18" s="90"/>
      <c r="D18" s="90"/>
      <c r="E18" s="90" t="s">
        <v>58</v>
      </c>
      <c r="F18" s="90"/>
      <c r="G18" s="195"/>
    </row>
    <row r="19" spans="1:12" x14ac:dyDescent="0.25">
      <c r="A19" s="90"/>
      <c r="B19" s="90"/>
      <c r="C19" s="90"/>
      <c r="D19" s="90"/>
      <c r="E19" s="90"/>
      <c r="F19" s="90" t="s">
        <v>59</v>
      </c>
      <c r="G19" s="195">
        <v>15458.58</v>
      </c>
    </row>
    <row r="20" spans="1:12" x14ac:dyDescent="0.25">
      <c r="A20" s="90"/>
      <c r="B20" s="90"/>
      <c r="C20" s="90"/>
      <c r="D20" s="90"/>
      <c r="E20" s="90"/>
      <c r="F20" s="90" t="s">
        <v>60</v>
      </c>
      <c r="G20" s="195">
        <v>2581.1799999999998</v>
      </c>
    </row>
    <row r="21" spans="1:12" x14ac:dyDescent="0.25">
      <c r="A21" s="90"/>
      <c r="B21" s="90"/>
      <c r="C21" s="90"/>
      <c r="D21" s="90"/>
      <c r="E21" s="90"/>
      <c r="F21" s="90" t="s">
        <v>61</v>
      </c>
      <c r="G21" s="195">
        <v>59752.68</v>
      </c>
    </row>
    <row r="22" spans="1:12" ht="15.75" thickBot="1" x14ac:dyDescent="0.3">
      <c r="A22" s="90"/>
      <c r="B22" s="90"/>
      <c r="C22" s="90"/>
      <c r="D22" s="90"/>
      <c r="E22" s="90"/>
      <c r="F22" s="90" t="s">
        <v>63</v>
      </c>
      <c r="G22" s="196">
        <v>4846.33</v>
      </c>
    </row>
    <row r="23" spans="1:12" x14ac:dyDescent="0.25">
      <c r="A23" s="90"/>
      <c r="B23" s="90"/>
      <c r="C23" s="90"/>
      <c r="D23" s="90"/>
      <c r="E23" s="90" t="s">
        <v>65</v>
      </c>
      <c r="F23" s="90"/>
      <c r="G23" s="195">
        <f>ROUND(SUM(G18:G22),5)</f>
        <v>82638.77</v>
      </c>
    </row>
    <row r="24" spans="1:12" x14ac:dyDescent="0.25">
      <c r="A24" s="90"/>
      <c r="B24" s="90"/>
      <c r="C24" s="90"/>
      <c r="D24" s="90"/>
      <c r="E24" s="90" t="s">
        <v>67</v>
      </c>
      <c r="F24" s="90"/>
      <c r="G24" s="195"/>
    </row>
    <row r="25" spans="1:12" x14ac:dyDescent="0.25">
      <c r="A25" s="90"/>
      <c r="B25" s="90"/>
      <c r="C25" s="90"/>
      <c r="D25" s="90"/>
      <c r="E25" s="90"/>
      <c r="F25" s="90" t="s">
        <v>68</v>
      </c>
      <c r="G25" s="195">
        <v>450</v>
      </c>
    </row>
    <row r="26" spans="1:12" ht="15.75" thickBot="1" x14ac:dyDescent="0.3">
      <c r="A26" s="90"/>
      <c r="B26" s="90"/>
      <c r="C26" s="90"/>
      <c r="D26" s="90"/>
      <c r="E26" s="90"/>
      <c r="F26" s="90" t="s">
        <v>69</v>
      </c>
      <c r="G26" s="196">
        <v>43391.71</v>
      </c>
    </row>
    <row r="27" spans="1:12" x14ac:dyDescent="0.25">
      <c r="A27" s="90"/>
      <c r="B27" s="90"/>
      <c r="C27" s="90"/>
      <c r="D27" s="90"/>
      <c r="E27" s="90" t="s">
        <v>70</v>
      </c>
      <c r="F27" s="90"/>
      <c r="G27" s="195">
        <f>ROUND(SUM(G24:G26),5)</f>
        <v>43841.71</v>
      </c>
    </row>
    <row r="28" spans="1:12" x14ac:dyDescent="0.25">
      <c r="A28" s="90"/>
      <c r="B28" s="90"/>
      <c r="C28" s="90"/>
      <c r="D28" s="90"/>
      <c r="E28" s="90" t="s">
        <v>71</v>
      </c>
      <c r="F28" s="90"/>
      <c r="G28" s="195"/>
    </row>
    <row r="29" spans="1:12" x14ac:dyDescent="0.25">
      <c r="A29" s="90"/>
      <c r="B29" s="90"/>
      <c r="C29" s="90"/>
      <c r="D29" s="90"/>
      <c r="E29" s="90"/>
      <c r="F29" s="90" t="s">
        <v>72</v>
      </c>
      <c r="G29" s="195">
        <v>2551.2399999999998</v>
      </c>
    </row>
    <row r="30" spans="1:12" x14ac:dyDescent="0.25">
      <c r="A30" s="90"/>
      <c r="B30" s="90"/>
      <c r="C30" s="90"/>
      <c r="D30" s="90"/>
      <c r="E30" s="90"/>
      <c r="F30" s="90" t="s">
        <v>73</v>
      </c>
      <c r="G30" s="195">
        <v>766.72</v>
      </c>
    </row>
    <row r="31" spans="1:12" x14ac:dyDescent="0.25">
      <c r="A31" s="90"/>
      <c r="B31" s="90"/>
      <c r="C31" s="90"/>
      <c r="D31" s="90"/>
      <c r="E31" s="90"/>
      <c r="F31" s="90" t="s">
        <v>74</v>
      </c>
      <c r="G31" s="195">
        <v>9169.0300000000007</v>
      </c>
      <c r="L31" s="126"/>
    </row>
    <row r="32" spans="1:12" ht="15.75" thickBot="1" x14ac:dyDescent="0.3">
      <c r="A32" s="90"/>
      <c r="B32" s="90"/>
      <c r="C32" s="90"/>
      <c r="D32" s="90"/>
      <c r="E32" s="90"/>
      <c r="F32" s="90" t="s">
        <v>75</v>
      </c>
      <c r="G32" s="204">
        <v>29738.3</v>
      </c>
    </row>
    <row r="33" spans="1:8" ht="15.75" thickBot="1" x14ac:dyDescent="0.3">
      <c r="A33" s="90"/>
      <c r="B33" s="90"/>
      <c r="C33" s="90"/>
      <c r="D33" s="90"/>
      <c r="E33" s="90" t="s">
        <v>76</v>
      </c>
      <c r="F33" s="90"/>
      <c r="G33" s="199">
        <f>ROUND(SUM(G28:G32),5)</f>
        <v>42225.29</v>
      </c>
      <c r="H33" s="186">
        <v>26978.61</v>
      </c>
    </row>
    <row r="34" spans="1:8" ht="15.75" thickBot="1" x14ac:dyDescent="0.3">
      <c r="A34" s="90"/>
      <c r="B34" s="90"/>
      <c r="C34" s="90"/>
      <c r="D34" s="90" t="s">
        <v>77</v>
      </c>
      <c r="E34" s="90"/>
      <c r="F34" s="90"/>
      <c r="G34" s="200">
        <f>ROUND(SUM(G9:G11)+G17+G23+G27+G33,5)</f>
        <v>321575.51</v>
      </c>
    </row>
    <row r="35" spans="1:8" x14ac:dyDescent="0.25">
      <c r="A35" s="90"/>
      <c r="B35" s="90"/>
      <c r="C35" s="90" t="s">
        <v>78</v>
      </c>
      <c r="D35" s="90"/>
      <c r="E35" s="90"/>
      <c r="F35" s="90"/>
      <c r="G35" s="195">
        <f>ROUND(G8-G34,5)</f>
        <v>285525.27</v>
      </c>
    </row>
    <row r="36" spans="1:8" x14ac:dyDescent="0.25">
      <c r="A36" s="90"/>
      <c r="B36" s="90"/>
      <c r="C36" s="90"/>
      <c r="D36" s="90" t="s">
        <v>79</v>
      </c>
      <c r="E36" s="90"/>
      <c r="F36" s="90"/>
      <c r="G36" s="195"/>
    </row>
    <row r="37" spans="1:8" x14ac:dyDescent="0.25">
      <c r="A37" s="90"/>
      <c r="B37" s="90"/>
      <c r="C37" s="90"/>
      <c r="D37" s="90"/>
      <c r="E37" s="90" t="s">
        <v>80</v>
      </c>
      <c r="F37" s="90"/>
      <c r="G37" s="195">
        <v>9.6999999999999993</v>
      </c>
    </row>
    <row r="38" spans="1:8" x14ac:dyDescent="0.25">
      <c r="A38" s="90"/>
      <c r="B38" s="90"/>
      <c r="C38" s="90"/>
      <c r="D38" s="90"/>
      <c r="E38" s="90" t="s">
        <v>82</v>
      </c>
      <c r="F38" s="90"/>
      <c r="G38" s="195">
        <v>105.39</v>
      </c>
    </row>
    <row r="39" spans="1:8" x14ac:dyDescent="0.25">
      <c r="A39" s="90"/>
      <c r="B39" s="90"/>
      <c r="C39" s="90"/>
      <c r="D39" s="90"/>
      <c r="E39" s="90" t="s">
        <v>83</v>
      </c>
      <c r="F39" s="90"/>
      <c r="G39" s="195">
        <v>5813.95</v>
      </c>
    </row>
    <row r="40" spans="1:8" x14ac:dyDescent="0.25">
      <c r="A40" s="90"/>
      <c r="B40" s="90"/>
      <c r="C40" s="90"/>
      <c r="D40" s="90"/>
      <c r="E40" s="90" t="s">
        <v>84</v>
      </c>
      <c r="F40" s="90"/>
      <c r="G40" s="195">
        <v>3714.99</v>
      </c>
    </row>
    <row r="41" spans="1:8" x14ac:dyDescent="0.25">
      <c r="A41" s="90"/>
      <c r="B41" s="90"/>
      <c r="C41" s="90"/>
      <c r="D41" s="90"/>
      <c r="E41" s="90" t="s">
        <v>85</v>
      </c>
      <c r="F41" s="90"/>
      <c r="G41" s="195">
        <v>2316.2399999999998</v>
      </c>
    </row>
    <row r="42" spans="1:8" x14ac:dyDescent="0.25">
      <c r="A42" s="90"/>
      <c r="B42" s="90"/>
      <c r="C42" s="90"/>
      <c r="D42" s="90"/>
      <c r="E42" s="90" t="s">
        <v>89</v>
      </c>
      <c r="F42" s="90"/>
      <c r="G42" s="195">
        <v>24681.45</v>
      </c>
    </row>
    <row r="43" spans="1:8" x14ac:dyDescent="0.25">
      <c r="A43" s="90"/>
      <c r="B43" s="90"/>
      <c r="C43" s="90"/>
      <c r="D43" s="90"/>
      <c r="E43" s="90" t="s">
        <v>90</v>
      </c>
      <c r="F43" s="90"/>
      <c r="G43" s="195"/>
    </row>
    <row r="44" spans="1:8" x14ac:dyDescent="0.25">
      <c r="A44" s="90"/>
      <c r="B44" s="90"/>
      <c r="C44" s="90"/>
      <c r="D44" s="90"/>
      <c r="E44" s="90"/>
      <c r="F44" s="90" t="s">
        <v>91</v>
      </c>
      <c r="G44" s="195">
        <v>22350</v>
      </c>
    </row>
    <row r="45" spans="1:8" ht="15.75" thickBot="1" x14ac:dyDescent="0.3">
      <c r="A45" s="90"/>
      <c r="B45" s="90"/>
      <c r="C45" s="90"/>
      <c r="D45" s="90"/>
      <c r="E45" s="90"/>
      <c r="F45" s="90" t="s">
        <v>93</v>
      </c>
      <c r="G45" s="196">
        <v>12500</v>
      </c>
    </row>
    <row r="46" spans="1:8" x14ac:dyDescent="0.25">
      <c r="A46" s="90"/>
      <c r="B46" s="90"/>
      <c r="C46" s="90"/>
      <c r="D46" s="90"/>
      <c r="E46" s="90" t="s">
        <v>95</v>
      </c>
      <c r="F46" s="90"/>
      <c r="G46" s="195">
        <f>ROUND(SUM(G43:G45),5)</f>
        <v>34850</v>
      </c>
    </row>
    <row r="47" spans="1:8" x14ac:dyDescent="0.25">
      <c r="A47" s="90"/>
      <c r="B47" s="90"/>
      <c r="C47" s="90"/>
      <c r="D47" s="90"/>
      <c r="E47" s="90" t="s">
        <v>97</v>
      </c>
      <c r="F47" s="90"/>
      <c r="G47" s="195">
        <v>1391</v>
      </c>
    </row>
    <row r="48" spans="1:8" x14ac:dyDescent="0.25">
      <c r="A48" s="90"/>
      <c r="B48" s="90"/>
      <c r="C48" s="90"/>
      <c r="D48" s="90"/>
      <c r="E48" s="90" t="s">
        <v>98</v>
      </c>
      <c r="F48" s="90"/>
      <c r="G48" s="195">
        <v>361.4</v>
      </c>
    </row>
    <row r="49" spans="1:7" x14ac:dyDescent="0.25">
      <c r="A49" s="90"/>
      <c r="B49" s="90"/>
      <c r="C49" s="90"/>
      <c r="D49" s="90"/>
      <c r="E49" s="90" t="s">
        <v>101</v>
      </c>
      <c r="F49" s="90"/>
      <c r="G49" s="195">
        <v>20838.900000000001</v>
      </c>
    </row>
    <row r="50" spans="1:7" x14ac:dyDescent="0.25">
      <c r="A50" s="90"/>
      <c r="B50" s="90"/>
      <c r="C50" s="90"/>
      <c r="D50" s="90"/>
      <c r="E50" s="90" t="s">
        <v>102</v>
      </c>
      <c r="F50" s="90"/>
      <c r="G50" s="195">
        <v>0</v>
      </c>
    </row>
    <row r="51" spans="1:7" x14ac:dyDescent="0.25">
      <c r="A51" s="90"/>
      <c r="B51" s="90"/>
      <c r="C51" s="90"/>
      <c r="D51" s="90"/>
      <c r="E51" s="90" t="s">
        <v>104</v>
      </c>
      <c r="F51" s="90"/>
      <c r="G51" s="195">
        <v>26623</v>
      </c>
    </row>
    <row r="52" spans="1:7" x14ac:dyDescent="0.25">
      <c r="A52" s="90"/>
      <c r="B52" s="90"/>
      <c r="C52" s="90"/>
      <c r="D52" s="90"/>
      <c r="E52" s="90" t="s">
        <v>106</v>
      </c>
      <c r="F52" s="90"/>
      <c r="G52" s="195"/>
    </row>
    <row r="53" spans="1:7" x14ac:dyDescent="0.25">
      <c r="A53" s="90"/>
      <c r="B53" s="90"/>
      <c r="C53" s="90"/>
      <c r="D53" s="90"/>
      <c r="E53" s="90"/>
      <c r="F53" s="90" t="s">
        <v>186</v>
      </c>
      <c r="G53" s="195">
        <v>944.65</v>
      </c>
    </row>
    <row r="54" spans="1:7" ht="15.75" thickBot="1" x14ac:dyDescent="0.3">
      <c r="A54" s="90"/>
      <c r="B54" s="90"/>
      <c r="C54" s="90"/>
      <c r="D54" s="90"/>
      <c r="E54" s="90"/>
      <c r="F54" s="90" t="s">
        <v>187</v>
      </c>
      <c r="G54" s="196">
        <v>76596.539999999994</v>
      </c>
    </row>
    <row r="55" spans="1:7" x14ac:dyDescent="0.25">
      <c r="A55" s="90"/>
      <c r="B55" s="90"/>
      <c r="C55" s="90"/>
      <c r="D55" s="90"/>
      <c r="E55" s="90" t="s">
        <v>188</v>
      </c>
      <c r="F55" s="90"/>
      <c r="G55" s="195">
        <f>ROUND(SUM(G52:G54),5)</f>
        <v>77541.19</v>
      </c>
    </row>
    <row r="56" spans="1:7" x14ac:dyDescent="0.25">
      <c r="A56" s="90"/>
      <c r="B56" s="90"/>
      <c r="C56" s="90"/>
      <c r="D56" s="90"/>
      <c r="E56" s="90" t="s">
        <v>109</v>
      </c>
      <c r="F56" s="90"/>
      <c r="G56" s="195">
        <v>3710.87</v>
      </c>
    </row>
    <row r="57" spans="1:7" x14ac:dyDescent="0.25">
      <c r="A57" s="90"/>
      <c r="B57" s="90"/>
      <c r="C57" s="90"/>
      <c r="D57" s="90"/>
      <c r="E57" s="90" t="s">
        <v>110</v>
      </c>
      <c r="F57" s="90"/>
      <c r="G57" s="195">
        <v>140.19999999999999</v>
      </c>
    </row>
    <row r="58" spans="1:7" x14ac:dyDescent="0.25">
      <c r="A58" s="90"/>
      <c r="B58" s="90"/>
      <c r="C58" s="90"/>
      <c r="D58" s="90"/>
      <c r="E58" s="90" t="s">
        <v>111</v>
      </c>
      <c r="F58" s="90"/>
      <c r="G58" s="195">
        <v>2060</v>
      </c>
    </row>
    <row r="59" spans="1:7" ht="15.75" thickBot="1" x14ac:dyDescent="0.3">
      <c r="A59" s="90"/>
      <c r="B59" s="90"/>
      <c r="C59" s="90"/>
      <c r="D59" s="90"/>
      <c r="E59" s="90" t="s">
        <v>113</v>
      </c>
      <c r="F59" s="90"/>
      <c r="G59" s="201">
        <v>8337.52</v>
      </c>
    </row>
    <row r="60" spans="1:7" ht="15.75" thickBot="1" x14ac:dyDescent="0.3">
      <c r="A60" s="90"/>
      <c r="B60" s="90"/>
      <c r="C60" s="90"/>
      <c r="D60" s="90" t="s">
        <v>114</v>
      </c>
      <c r="E60" s="90"/>
      <c r="F60" s="90"/>
      <c r="G60" s="200">
        <f>ROUND(SUM(G36:G42)+SUM(G46:G51)+SUM(G55:G59),5)</f>
        <v>212495.8</v>
      </c>
    </row>
    <row r="61" spans="1:7" x14ac:dyDescent="0.25">
      <c r="A61" s="90"/>
      <c r="B61" s="90" t="s">
        <v>115</v>
      </c>
      <c r="C61" s="90"/>
      <c r="D61" s="90"/>
      <c r="E61" s="90"/>
      <c r="F61" s="90"/>
      <c r="G61" s="195">
        <f>ROUND(G2+G35-G60,5)</f>
        <v>73029.47</v>
      </c>
    </row>
    <row r="62" spans="1:7" x14ac:dyDescent="0.25">
      <c r="A62" s="90"/>
      <c r="B62" s="90" t="s">
        <v>116</v>
      </c>
      <c r="C62" s="90"/>
      <c r="D62" s="90"/>
      <c r="E62" s="90"/>
      <c r="F62" s="90"/>
      <c r="G62" s="195"/>
    </row>
    <row r="63" spans="1:7" x14ac:dyDescent="0.25">
      <c r="A63" s="90"/>
      <c r="B63" s="90"/>
      <c r="C63" s="90" t="s">
        <v>117</v>
      </c>
      <c r="D63" s="90"/>
      <c r="E63" s="90"/>
      <c r="F63" s="90"/>
      <c r="G63" s="195"/>
    </row>
    <row r="64" spans="1:7" ht="15.75" thickBot="1" x14ac:dyDescent="0.3">
      <c r="A64" s="90"/>
      <c r="B64" s="90"/>
      <c r="C64" s="90"/>
      <c r="D64" s="90" t="s">
        <v>200</v>
      </c>
      <c r="E64" s="90"/>
      <c r="F64" s="90"/>
      <c r="G64" s="196">
        <v>-3.26</v>
      </c>
    </row>
    <row r="65" spans="1:13" x14ac:dyDescent="0.25">
      <c r="A65" s="90"/>
      <c r="B65" s="90"/>
      <c r="C65" s="90" t="s">
        <v>118</v>
      </c>
      <c r="D65" s="90"/>
      <c r="E65" s="90"/>
      <c r="F65" s="90"/>
      <c r="G65" s="195">
        <f>ROUND(SUM(G63:G64),5)</f>
        <v>-3.26</v>
      </c>
    </row>
    <row r="66" spans="1:13" x14ac:dyDescent="0.25">
      <c r="A66" s="90"/>
      <c r="B66" s="90"/>
      <c r="C66" s="90" t="s">
        <v>119</v>
      </c>
      <c r="D66" s="90"/>
      <c r="E66" s="90"/>
      <c r="F66" s="90"/>
      <c r="G66" s="195"/>
    </row>
    <row r="67" spans="1:13" ht="15.75" thickBot="1" x14ac:dyDescent="0.3">
      <c r="A67" s="90"/>
      <c r="B67" s="90"/>
      <c r="C67" s="90"/>
      <c r="D67" s="90" t="s">
        <v>121</v>
      </c>
      <c r="E67" s="90"/>
      <c r="F67" s="90"/>
      <c r="G67" s="201">
        <v>30131.09</v>
      </c>
    </row>
    <row r="68" spans="1:13" ht="15.75" thickBot="1" x14ac:dyDescent="0.3">
      <c r="A68" s="90"/>
      <c r="B68" s="90"/>
      <c r="C68" s="90" t="s">
        <v>123</v>
      </c>
      <c r="D68" s="90"/>
      <c r="E68" s="90"/>
      <c r="F68" s="90"/>
      <c r="G68" s="199">
        <f>ROUND(SUM(G66:G67),5)</f>
        <v>30131.09</v>
      </c>
    </row>
    <row r="69" spans="1:13" ht="15.75" thickBot="1" x14ac:dyDescent="0.3">
      <c r="A69" s="90"/>
      <c r="B69" s="90" t="s">
        <v>124</v>
      </c>
      <c r="C69" s="90"/>
      <c r="D69" s="90"/>
      <c r="E69" s="90"/>
      <c r="F69" s="90"/>
      <c r="G69" s="199">
        <f>ROUND(G62+G65-G68,5)</f>
        <v>-30134.35</v>
      </c>
    </row>
    <row r="70" spans="1:13" ht="15.75" thickBot="1" x14ac:dyDescent="0.3">
      <c r="A70" s="90" t="s">
        <v>125</v>
      </c>
      <c r="B70" s="90"/>
      <c r="C70" s="90"/>
      <c r="D70" s="90"/>
      <c r="E70" s="90"/>
      <c r="F70" s="90"/>
      <c r="G70" s="202">
        <f>ROUND(G61+G69,5)</f>
        <v>42895.12</v>
      </c>
    </row>
    <row r="71" spans="1:13" ht="15.75" thickTop="1" x14ac:dyDescent="0.25"/>
    <row r="77" spans="1:13" s="97" customFormat="1" x14ac:dyDescent="0.25">
      <c r="A77" s="98"/>
      <c r="B77" s="98"/>
      <c r="C77" s="98"/>
      <c r="D77" s="98"/>
      <c r="E77" s="98"/>
      <c r="F77" s="98"/>
      <c r="G77" s="203"/>
      <c r="M77" s="19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78"/>
  <sheetViews>
    <sheetView workbookViewId="0">
      <pane ySplit="1" topLeftCell="A65" activePane="bottomLeft" state="frozen"/>
      <selection pane="bottomLeft" activeCell="G43" sqref="G43"/>
    </sheetView>
  </sheetViews>
  <sheetFormatPr defaultRowHeight="15" x14ac:dyDescent="0.25"/>
  <cols>
    <col min="1" max="5" width="3" style="98" customWidth="1"/>
    <col min="6" max="6" width="30.42578125" style="98" customWidth="1"/>
    <col min="7" max="7" width="10.7109375" style="203" bestFit="1" customWidth="1"/>
    <col min="8" max="10" width="0" style="7" hidden="1" customWidth="1"/>
    <col min="11" max="11" width="9.140625" style="7"/>
    <col min="12" max="12" width="10.5703125" style="7" bestFit="1" customWidth="1"/>
    <col min="13" max="13" width="14.85546875" style="7" bestFit="1" customWidth="1"/>
    <col min="14" max="14" width="23.140625" style="7" bestFit="1" customWidth="1"/>
    <col min="15" max="15" width="10.140625" style="7" bestFit="1" customWidth="1"/>
    <col min="16" max="16" width="9.42578125" style="7" bestFit="1" customWidth="1"/>
    <col min="17" max="17" width="17.42578125" style="7" bestFit="1" customWidth="1"/>
    <col min="18" max="16384" width="9.140625" style="7"/>
  </cols>
  <sheetData>
    <row r="1" spans="1:17" s="47" customFormat="1" ht="15.75" thickBot="1" x14ac:dyDescent="0.3">
      <c r="A1" s="88"/>
      <c r="B1" s="88"/>
      <c r="C1" s="88"/>
      <c r="D1" s="88"/>
      <c r="E1" s="88"/>
      <c r="F1" s="88"/>
      <c r="G1" s="194" t="s">
        <v>182</v>
      </c>
    </row>
    <row r="2" spans="1:17" ht="30.75" thickTop="1" x14ac:dyDescent="0.25">
      <c r="A2" s="90"/>
      <c r="B2" s="90" t="s">
        <v>39</v>
      </c>
      <c r="C2" s="90"/>
      <c r="D2" s="90"/>
      <c r="E2" s="90"/>
      <c r="F2" s="90"/>
      <c r="G2" s="195"/>
      <c r="N2" s="187" t="s">
        <v>189</v>
      </c>
      <c r="O2" s="188" t="s">
        <v>149</v>
      </c>
      <c r="P2" s="189" t="s">
        <v>190</v>
      </c>
      <c r="Q2" s="188" t="s">
        <v>191</v>
      </c>
    </row>
    <row r="3" spans="1:17" x14ac:dyDescent="0.25">
      <c r="A3" s="90"/>
      <c r="B3" s="90"/>
      <c r="C3" s="90"/>
      <c r="D3" s="90" t="s">
        <v>40</v>
      </c>
      <c r="E3" s="90"/>
      <c r="F3" s="90"/>
      <c r="G3" s="195"/>
      <c r="N3" s="123" t="s">
        <v>192</v>
      </c>
      <c r="O3" s="124">
        <f>G59+G52</f>
        <v>78762.859999999986</v>
      </c>
      <c r="P3" s="123"/>
      <c r="Q3" s="123" t="s">
        <v>193</v>
      </c>
    </row>
    <row r="4" spans="1:17" x14ac:dyDescent="0.25">
      <c r="A4" s="90"/>
      <c r="B4" s="90"/>
      <c r="C4" s="90"/>
      <c r="D4" s="90"/>
      <c r="E4" s="90" t="s">
        <v>183</v>
      </c>
      <c r="F4" s="90"/>
      <c r="G4" s="195">
        <v>-1641.23</v>
      </c>
      <c r="N4" s="190"/>
      <c r="O4" s="190"/>
      <c r="P4" s="190"/>
      <c r="Q4" s="190"/>
    </row>
    <row r="5" spans="1:17" x14ac:dyDescent="0.25">
      <c r="A5" s="90"/>
      <c r="B5" s="90"/>
      <c r="C5" s="90"/>
      <c r="D5" s="90"/>
      <c r="E5" s="90" t="s">
        <v>41</v>
      </c>
      <c r="F5" s="90"/>
      <c r="G5" s="195">
        <v>-13664.11</v>
      </c>
    </row>
    <row r="6" spans="1:17" ht="30" x14ac:dyDescent="0.25">
      <c r="A6" s="90"/>
      <c r="B6" s="90"/>
      <c r="C6" s="90"/>
      <c r="D6" s="90"/>
      <c r="E6" s="90" t="s">
        <v>131</v>
      </c>
      <c r="F6" s="90"/>
      <c r="G6" s="195">
        <v>3440</v>
      </c>
      <c r="N6" s="187" t="s">
        <v>194</v>
      </c>
      <c r="O6" s="188" t="s">
        <v>149</v>
      </c>
      <c r="P6" s="189" t="s">
        <v>190</v>
      </c>
      <c r="Q6" s="188" t="s">
        <v>191</v>
      </c>
    </row>
    <row r="7" spans="1:17" x14ac:dyDescent="0.25">
      <c r="A7" s="90"/>
      <c r="B7" s="90"/>
      <c r="C7" s="90"/>
      <c r="D7" s="90"/>
      <c r="E7" s="90" t="s">
        <v>45</v>
      </c>
      <c r="F7" s="90"/>
      <c r="G7" s="195">
        <v>50265</v>
      </c>
      <c r="N7" s="123" t="s">
        <v>152</v>
      </c>
      <c r="O7" s="124">
        <f>G66-G71+G75-O3</f>
        <v>130751.46000000002</v>
      </c>
      <c r="P7" s="123"/>
      <c r="Q7" s="123" t="s">
        <v>193</v>
      </c>
    </row>
    <row r="8" spans="1:17" x14ac:dyDescent="0.25">
      <c r="A8" s="90"/>
      <c r="B8" s="90"/>
      <c r="C8" s="90"/>
      <c r="D8" s="90"/>
      <c r="E8" s="90" t="s">
        <v>46</v>
      </c>
      <c r="F8" s="90"/>
      <c r="G8" s="195">
        <v>0</v>
      </c>
    </row>
    <row r="9" spans="1:17" ht="15.75" thickBot="1" x14ac:dyDescent="0.3">
      <c r="A9" s="90"/>
      <c r="B9" s="90"/>
      <c r="C9" s="90"/>
      <c r="D9" s="90"/>
      <c r="E9" s="90" t="s">
        <v>47</v>
      </c>
      <c r="F9" s="90"/>
      <c r="G9" s="196">
        <v>683464.98</v>
      </c>
    </row>
    <row r="10" spans="1:17" x14ac:dyDescent="0.25">
      <c r="A10" s="90"/>
      <c r="B10" s="90"/>
      <c r="C10" s="90"/>
      <c r="D10" s="90" t="s">
        <v>49</v>
      </c>
      <c r="E10" s="90"/>
      <c r="F10" s="90"/>
      <c r="G10" s="195">
        <f>ROUND(SUM(G3:G9),5)</f>
        <v>721864.64</v>
      </c>
    </row>
    <row r="11" spans="1:17" ht="30" customHeight="1" x14ac:dyDescent="0.25">
      <c r="A11" s="90"/>
      <c r="B11" s="90"/>
      <c r="C11" s="90"/>
      <c r="D11" s="90" t="s">
        <v>50</v>
      </c>
      <c r="E11" s="90"/>
      <c r="F11" s="90"/>
      <c r="G11" s="195"/>
      <c r="H11" s="183"/>
      <c r="I11" s="183"/>
    </row>
    <row r="12" spans="1:17" x14ac:dyDescent="0.25">
      <c r="A12" s="90"/>
      <c r="B12" s="90"/>
      <c r="C12" s="90"/>
      <c r="D12" s="90"/>
      <c r="E12" s="90" t="s">
        <v>51</v>
      </c>
      <c r="F12" s="90"/>
      <c r="G12" s="197">
        <f>H12</f>
        <v>6228.3</v>
      </c>
      <c r="H12" s="184">
        <v>6228.3</v>
      </c>
      <c r="I12" s="184">
        <v>5580.73</v>
      </c>
      <c r="J12" s="185">
        <f>H12+I12</f>
        <v>11809.029999999999</v>
      </c>
    </row>
    <row r="13" spans="1:17" x14ac:dyDescent="0.25">
      <c r="A13" s="90"/>
      <c r="B13" s="90"/>
      <c r="C13" s="90"/>
      <c r="D13" s="90"/>
      <c r="E13" s="90" t="s">
        <v>53</v>
      </c>
      <c r="F13" s="90"/>
      <c r="G13" s="195">
        <v>4000</v>
      </c>
      <c r="H13" s="183"/>
      <c r="I13" s="183"/>
    </row>
    <row r="14" spans="1:17" x14ac:dyDescent="0.25">
      <c r="A14" s="90"/>
      <c r="B14" s="90"/>
      <c r="C14" s="90"/>
      <c r="D14" s="90"/>
      <c r="E14" s="90" t="s">
        <v>54</v>
      </c>
      <c r="F14" s="90"/>
      <c r="G14" s="195"/>
      <c r="H14" s="183"/>
      <c r="I14" s="183"/>
    </row>
    <row r="15" spans="1:17" x14ac:dyDescent="0.25">
      <c r="A15" s="90"/>
      <c r="B15" s="90"/>
      <c r="C15" s="90"/>
      <c r="D15" s="90"/>
      <c r="E15" s="90"/>
      <c r="F15" s="90" t="s">
        <v>184</v>
      </c>
      <c r="G15" s="195">
        <v>39350.07</v>
      </c>
      <c r="H15" s="183"/>
      <c r="I15" s="183"/>
    </row>
    <row r="16" spans="1:17" x14ac:dyDescent="0.25">
      <c r="A16" s="90"/>
      <c r="B16" s="90"/>
      <c r="C16" s="90"/>
      <c r="D16" s="90"/>
      <c r="E16" s="90"/>
      <c r="F16" s="90" t="s">
        <v>42</v>
      </c>
      <c r="G16" s="195">
        <v>-6235.92</v>
      </c>
    </row>
    <row r="17" spans="1:12" ht="15.75" thickBot="1" x14ac:dyDescent="0.3">
      <c r="A17" s="90"/>
      <c r="B17" s="90"/>
      <c r="C17" s="90"/>
      <c r="D17" s="90"/>
      <c r="E17" s="90"/>
      <c r="F17" s="90" t="s">
        <v>56</v>
      </c>
      <c r="G17" s="196">
        <v>187498.3</v>
      </c>
    </row>
    <row r="18" spans="1:12" x14ac:dyDescent="0.25">
      <c r="A18" s="90"/>
      <c r="B18" s="90"/>
      <c r="C18" s="90"/>
      <c r="D18" s="90"/>
      <c r="E18" s="90" t="s">
        <v>57</v>
      </c>
      <c r="F18" s="90"/>
      <c r="G18" s="195">
        <f>ROUND(SUM(G14:G17),5)</f>
        <v>220612.45</v>
      </c>
      <c r="L18" s="126"/>
    </row>
    <row r="19" spans="1:12" x14ac:dyDescent="0.25">
      <c r="A19" s="90"/>
      <c r="B19" s="90"/>
      <c r="C19" s="90"/>
      <c r="D19" s="90"/>
      <c r="E19" s="90" t="s">
        <v>58</v>
      </c>
      <c r="F19" s="90"/>
      <c r="G19" s="195"/>
    </row>
    <row r="20" spans="1:12" x14ac:dyDescent="0.25">
      <c r="A20" s="90"/>
      <c r="B20" s="90"/>
      <c r="C20" s="90"/>
      <c r="D20" s="90"/>
      <c r="E20" s="90"/>
      <c r="F20" s="90" t="s">
        <v>59</v>
      </c>
      <c r="G20" s="195">
        <v>18715.07</v>
      </c>
    </row>
    <row r="21" spans="1:12" x14ac:dyDescent="0.25">
      <c r="A21" s="90"/>
      <c r="B21" s="90"/>
      <c r="C21" s="90"/>
      <c r="D21" s="90"/>
      <c r="E21" s="90"/>
      <c r="F21" s="90" t="s">
        <v>60</v>
      </c>
      <c r="G21" s="195">
        <v>7415.55</v>
      </c>
    </row>
    <row r="22" spans="1:12" x14ac:dyDescent="0.25">
      <c r="A22" s="90"/>
      <c r="B22" s="90"/>
      <c r="C22" s="90"/>
      <c r="D22" s="90"/>
      <c r="E22" s="90"/>
      <c r="F22" s="90" t="s">
        <v>61</v>
      </c>
      <c r="G22" s="195">
        <v>90472.78</v>
      </c>
    </row>
    <row r="23" spans="1:12" ht="15.75" thickBot="1" x14ac:dyDescent="0.3">
      <c r="A23" s="90"/>
      <c r="B23" s="90"/>
      <c r="C23" s="90"/>
      <c r="D23" s="90"/>
      <c r="E23" s="90"/>
      <c r="F23" s="90" t="s">
        <v>63</v>
      </c>
      <c r="G23" s="196">
        <v>4783.3500000000004</v>
      </c>
    </row>
    <row r="24" spans="1:12" x14ac:dyDescent="0.25">
      <c r="A24" s="90"/>
      <c r="B24" s="90"/>
      <c r="C24" s="90"/>
      <c r="D24" s="90"/>
      <c r="E24" s="90" t="s">
        <v>65</v>
      </c>
      <c r="F24" s="90"/>
      <c r="G24" s="195">
        <f>ROUND(SUM(G19:G23),5)</f>
        <v>121386.75</v>
      </c>
    </row>
    <row r="25" spans="1:12" x14ac:dyDescent="0.25">
      <c r="A25" s="90"/>
      <c r="B25" s="90"/>
      <c r="C25" s="90"/>
      <c r="D25" s="90"/>
      <c r="E25" s="90" t="s">
        <v>67</v>
      </c>
      <c r="F25" s="90"/>
      <c r="G25" s="195"/>
    </row>
    <row r="26" spans="1:12" x14ac:dyDescent="0.25">
      <c r="A26" s="90"/>
      <c r="B26" s="90"/>
      <c r="C26" s="90"/>
      <c r="D26" s="90"/>
      <c r="E26" s="90"/>
      <c r="F26" s="90" t="s">
        <v>68</v>
      </c>
      <c r="G26" s="195">
        <v>2013.08</v>
      </c>
    </row>
    <row r="27" spans="1:12" ht="15.75" thickBot="1" x14ac:dyDescent="0.3">
      <c r="A27" s="90"/>
      <c r="B27" s="90"/>
      <c r="C27" s="90"/>
      <c r="D27" s="90"/>
      <c r="E27" s="90"/>
      <c r="F27" s="90" t="s">
        <v>69</v>
      </c>
      <c r="G27" s="196">
        <v>41621.99</v>
      </c>
    </row>
    <row r="28" spans="1:12" x14ac:dyDescent="0.25">
      <c r="A28" s="90"/>
      <c r="B28" s="90"/>
      <c r="C28" s="90"/>
      <c r="D28" s="90"/>
      <c r="E28" s="90" t="s">
        <v>70</v>
      </c>
      <c r="F28" s="90"/>
      <c r="G28" s="195">
        <f>ROUND(SUM(G25:G27),5)</f>
        <v>43635.07</v>
      </c>
    </row>
    <row r="29" spans="1:12" x14ac:dyDescent="0.25">
      <c r="A29" s="90"/>
      <c r="B29" s="90"/>
      <c r="C29" s="90"/>
      <c r="D29" s="90"/>
      <c r="E29" s="90" t="s">
        <v>71</v>
      </c>
      <c r="F29" s="90"/>
      <c r="G29" s="195"/>
    </row>
    <row r="30" spans="1:12" x14ac:dyDescent="0.25">
      <c r="A30" s="90"/>
      <c r="B30" s="90"/>
      <c r="C30" s="90"/>
      <c r="D30" s="90"/>
      <c r="E30" s="90"/>
      <c r="F30" s="90" t="s">
        <v>72</v>
      </c>
      <c r="G30" s="195">
        <v>4548.5600000000004</v>
      </c>
    </row>
    <row r="31" spans="1:12" x14ac:dyDescent="0.25">
      <c r="A31" s="90"/>
      <c r="B31" s="90"/>
      <c r="C31" s="90"/>
      <c r="D31" s="90"/>
      <c r="E31" s="90"/>
      <c r="F31" s="90" t="s">
        <v>73</v>
      </c>
      <c r="G31" s="195">
        <v>2140.66</v>
      </c>
    </row>
    <row r="32" spans="1:12" x14ac:dyDescent="0.25">
      <c r="A32" s="90"/>
      <c r="B32" s="90"/>
      <c r="C32" s="90"/>
      <c r="D32" s="90"/>
      <c r="E32" s="90"/>
      <c r="F32" s="90" t="s">
        <v>74</v>
      </c>
      <c r="G32" s="195">
        <v>26322.799999999999</v>
      </c>
      <c r="L32" s="126"/>
    </row>
    <row r="33" spans="1:8" ht="15.75" thickBot="1" x14ac:dyDescent="0.3">
      <c r="A33" s="90"/>
      <c r="B33" s="90"/>
      <c r="C33" s="90"/>
      <c r="D33" s="90"/>
      <c r="E33" s="90"/>
      <c r="F33" s="90" t="s">
        <v>75</v>
      </c>
      <c r="G33" s="198">
        <f>H33+I12</f>
        <v>32559.34</v>
      </c>
      <c r="H33" s="186">
        <v>26978.61</v>
      </c>
    </row>
    <row r="34" spans="1:8" ht="15.75" thickBot="1" x14ac:dyDescent="0.3">
      <c r="A34" s="90"/>
      <c r="B34" s="90"/>
      <c r="C34" s="90"/>
      <c r="D34" s="90"/>
      <c r="E34" s="90" t="s">
        <v>76</v>
      </c>
      <c r="F34" s="90"/>
      <c r="G34" s="199">
        <f>ROUND(SUM(G29:G33),5)</f>
        <v>65571.360000000001</v>
      </c>
    </row>
    <row r="35" spans="1:8" ht="15.75" thickBot="1" x14ac:dyDescent="0.3">
      <c r="A35" s="90"/>
      <c r="B35" s="90"/>
      <c r="C35" s="90"/>
      <c r="D35" s="90" t="s">
        <v>77</v>
      </c>
      <c r="E35" s="90"/>
      <c r="F35" s="90"/>
      <c r="G35" s="200">
        <f>ROUND(SUM(G11:G13)+G18+G24+G28+G34,5)</f>
        <v>461433.93</v>
      </c>
    </row>
    <row r="36" spans="1:8" x14ac:dyDescent="0.25">
      <c r="A36" s="90"/>
      <c r="B36" s="90"/>
      <c r="C36" s="90" t="s">
        <v>78</v>
      </c>
      <c r="D36" s="90"/>
      <c r="E36" s="90"/>
      <c r="F36" s="90"/>
      <c r="G36" s="195">
        <f>ROUND(G10-G35,5)</f>
        <v>260430.71</v>
      </c>
    </row>
    <row r="37" spans="1:8" x14ac:dyDescent="0.25">
      <c r="A37" s="90"/>
      <c r="B37" s="90"/>
      <c r="C37" s="90"/>
      <c r="D37" s="90" t="s">
        <v>79</v>
      </c>
      <c r="E37" s="90"/>
      <c r="F37" s="90"/>
      <c r="G37" s="195"/>
    </row>
    <row r="38" spans="1:8" x14ac:dyDescent="0.25">
      <c r="A38" s="90"/>
      <c r="B38" s="90"/>
      <c r="C38" s="90"/>
      <c r="D38" s="90"/>
      <c r="E38" s="90" t="s">
        <v>82</v>
      </c>
      <c r="F38" s="90"/>
      <c r="G38" s="195">
        <v>500.37</v>
      </c>
    </row>
    <row r="39" spans="1:8" x14ac:dyDescent="0.25">
      <c r="A39" s="90"/>
      <c r="B39" s="90"/>
      <c r="C39" s="90"/>
      <c r="D39" s="90"/>
      <c r="E39" s="90" t="s">
        <v>185</v>
      </c>
      <c r="F39" s="90"/>
      <c r="G39" s="195">
        <v>106.28</v>
      </c>
    </row>
    <row r="40" spans="1:8" x14ac:dyDescent="0.25">
      <c r="A40" s="90"/>
      <c r="B40" s="90"/>
      <c r="C40" s="90"/>
      <c r="D40" s="90"/>
      <c r="E40" s="90" t="s">
        <v>83</v>
      </c>
      <c r="F40" s="90"/>
      <c r="G40" s="195">
        <v>7172.16</v>
      </c>
    </row>
    <row r="41" spans="1:8" x14ac:dyDescent="0.25">
      <c r="A41" s="90"/>
      <c r="B41" s="90"/>
      <c r="C41" s="90"/>
      <c r="D41" s="90"/>
      <c r="E41" s="90" t="s">
        <v>84</v>
      </c>
      <c r="F41" s="90"/>
      <c r="G41" s="195">
        <v>4836.74</v>
      </c>
    </row>
    <row r="42" spans="1:8" x14ac:dyDescent="0.25">
      <c r="A42" s="90"/>
      <c r="B42" s="90"/>
      <c r="C42" s="90"/>
      <c r="D42" s="90"/>
      <c r="E42" s="90" t="s">
        <v>85</v>
      </c>
      <c r="F42" s="90"/>
      <c r="G42" s="195">
        <v>4320.88</v>
      </c>
    </row>
    <row r="43" spans="1:8" x14ac:dyDescent="0.25">
      <c r="A43" s="90"/>
      <c r="B43" s="90"/>
      <c r="C43" s="90"/>
      <c r="D43" s="90"/>
      <c r="E43" s="90" t="s">
        <v>89</v>
      </c>
      <c r="F43" s="90"/>
      <c r="G43" s="195">
        <v>17206.650000000001</v>
      </c>
    </row>
    <row r="44" spans="1:8" x14ac:dyDescent="0.25">
      <c r="A44" s="90"/>
      <c r="B44" s="90"/>
      <c r="C44" s="90"/>
      <c r="D44" s="90"/>
      <c r="E44" s="90" t="s">
        <v>90</v>
      </c>
      <c r="F44" s="90"/>
      <c r="G44" s="195"/>
    </row>
    <row r="45" spans="1:8" x14ac:dyDescent="0.25">
      <c r="A45" s="90"/>
      <c r="B45" s="90"/>
      <c r="C45" s="90"/>
      <c r="D45" s="90"/>
      <c r="E45" s="90"/>
      <c r="F45" s="90" t="s">
        <v>91</v>
      </c>
      <c r="G45" s="195">
        <v>16350</v>
      </c>
    </row>
    <row r="46" spans="1:8" x14ac:dyDescent="0.25">
      <c r="A46" s="90"/>
      <c r="B46" s="90"/>
      <c r="C46" s="90"/>
      <c r="D46" s="90"/>
      <c r="E46" s="90"/>
      <c r="F46" s="90" t="s">
        <v>92</v>
      </c>
      <c r="G46" s="195">
        <v>1636.22</v>
      </c>
    </row>
    <row r="47" spans="1:8" ht="15.75" thickBot="1" x14ac:dyDescent="0.3">
      <c r="A47" s="90"/>
      <c r="B47" s="90"/>
      <c r="C47" s="90"/>
      <c r="D47" s="90"/>
      <c r="E47" s="90"/>
      <c r="F47" s="90" t="s">
        <v>93</v>
      </c>
      <c r="G47" s="196">
        <v>8500</v>
      </c>
    </row>
    <row r="48" spans="1:8" x14ac:dyDescent="0.25">
      <c r="A48" s="90"/>
      <c r="B48" s="90"/>
      <c r="C48" s="90"/>
      <c r="D48" s="90"/>
      <c r="E48" s="90" t="s">
        <v>95</v>
      </c>
      <c r="F48" s="90"/>
      <c r="G48" s="195">
        <f>ROUND(SUM(G44:G47),5)</f>
        <v>26486.22</v>
      </c>
    </row>
    <row r="49" spans="1:7" x14ac:dyDescent="0.25">
      <c r="A49" s="90"/>
      <c r="B49" s="90"/>
      <c r="C49" s="90"/>
      <c r="D49" s="90"/>
      <c r="E49" s="90" t="s">
        <v>97</v>
      </c>
      <c r="F49" s="90"/>
      <c r="G49" s="195">
        <v>0</v>
      </c>
    </row>
    <row r="50" spans="1:7" x14ac:dyDescent="0.25">
      <c r="A50" s="90"/>
      <c r="B50" s="90"/>
      <c r="C50" s="90"/>
      <c r="D50" s="90"/>
      <c r="E50" s="90" t="s">
        <v>98</v>
      </c>
      <c r="F50" s="90"/>
      <c r="G50" s="195">
        <v>3000</v>
      </c>
    </row>
    <row r="51" spans="1:7" x14ac:dyDescent="0.25">
      <c r="A51" s="90"/>
      <c r="B51" s="90"/>
      <c r="C51" s="90"/>
      <c r="D51" s="90"/>
      <c r="E51" s="90" t="s">
        <v>100</v>
      </c>
      <c r="F51" s="90"/>
      <c r="G51" s="195">
        <v>6000</v>
      </c>
    </row>
    <row r="52" spans="1:7" x14ac:dyDescent="0.25">
      <c r="A52" s="90"/>
      <c r="B52" s="90"/>
      <c r="C52" s="90"/>
      <c r="D52" s="90"/>
      <c r="E52" s="90" t="s">
        <v>101</v>
      </c>
      <c r="F52" s="90"/>
      <c r="G52" s="195">
        <v>10980.46</v>
      </c>
    </row>
    <row r="53" spans="1:7" x14ac:dyDescent="0.25">
      <c r="A53" s="90"/>
      <c r="B53" s="90"/>
      <c r="C53" s="90"/>
      <c r="D53" s="90"/>
      <c r="E53" s="90" t="s">
        <v>102</v>
      </c>
      <c r="F53" s="90"/>
      <c r="G53" s="195">
        <v>367.48</v>
      </c>
    </row>
    <row r="54" spans="1:7" x14ac:dyDescent="0.25">
      <c r="A54" s="90"/>
      <c r="B54" s="90"/>
      <c r="C54" s="90"/>
      <c r="D54" s="90"/>
      <c r="E54" s="90" t="s">
        <v>104</v>
      </c>
      <c r="F54" s="90"/>
      <c r="G54" s="195">
        <v>26623</v>
      </c>
    </row>
    <row r="55" spans="1:7" x14ac:dyDescent="0.25">
      <c r="A55" s="90"/>
      <c r="B55" s="90"/>
      <c r="C55" s="90"/>
      <c r="D55" s="90"/>
      <c r="E55" s="90" t="s">
        <v>105</v>
      </c>
      <c r="F55" s="90"/>
      <c r="G55" s="195">
        <v>152.94999999999999</v>
      </c>
    </row>
    <row r="56" spans="1:7" x14ac:dyDescent="0.25">
      <c r="A56" s="90"/>
      <c r="B56" s="90"/>
      <c r="C56" s="90"/>
      <c r="D56" s="90"/>
      <c r="E56" s="90" t="s">
        <v>106</v>
      </c>
      <c r="F56" s="90"/>
      <c r="G56" s="195"/>
    </row>
    <row r="57" spans="1:7" x14ac:dyDescent="0.25">
      <c r="A57" s="90"/>
      <c r="B57" s="90"/>
      <c r="C57" s="90"/>
      <c r="D57" s="90"/>
      <c r="E57" s="90"/>
      <c r="F57" s="90" t="s">
        <v>186</v>
      </c>
      <c r="G57" s="195">
        <v>2944.48</v>
      </c>
    </row>
    <row r="58" spans="1:7" ht="15.75" thickBot="1" x14ac:dyDescent="0.3">
      <c r="A58" s="90"/>
      <c r="B58" s="90"/>
      <c r="C58" s="90"/>
      <c r="D58" s="90"/>
      <c r="E58" s="90"/>
      <c r="F58" s="90" t="s">
        <v>187</v>
      </c>
      <c r="G58" s="196">
        <v>64837.919999999998</v>
      </c>
    </row>
    <row r="59" spans="1:7" x14ac:dyDescent="0.25">
      <c r="A59" s="90"/>
      <c r="B59" s="90"/>
      <c r="C59" s="90"/>
      <c r="D59" s="90"/>
      <c r="E59" s="90" t="s">
        <v>188</v>
      </c>
      <c r="F59" s="90"/>
      <c r="G59" s="195">
        <f>ROUND(SUM(G56:G58),5)</f>
        <v>67782.399999999994</v>
      </c>
    </row>
    <row r="60" spans="1:7" x14ac:dyDescent="0.25">
      <c r="A60" s="90"/>
      <c r="B60" s="90"/>
      <c r="C60" s="90"/>
      <c r="D60" s="90"/>
      <c r="E60" s="90" t="s">
        <v>107</v>
      </c>
      <c r="F60" s="90"/>
      <c r="G60" s="195">
        <v>84</v>
      </c>
    </row>
    <row r="61" spans="1:7" x14ac:dyDescent="0.25">
      <c r="A61" s="90"/>
      <c r="B61" s="90"/>
      <c r="C61" s="90"/>
      <c r="D61" s="90"/>
      <c r="E61" s="90" t="s">
        <v>108</v>
      </c>
      <c r="F61" s="90"/>
      <c r="G61" s="195">
        <v>13.98</v>
      </c>
    </row>
    <row r="62" spans="1:7" x14ac:dyDescent="0.25">
      <c r="A62" s="90"/>
      <c r="B62" s="90"/>
      <c r="C62" s="90"/>
      <c r="D62" s="90"/>
      <c r="E62" s="90" t="s">
        <v>109</v>
      </c>
      <c r="F62" s="90"/>
      <c r="G62" s="195">
        <v>7622.16</v>
      </c>
    </row>
    <row r="63" spans="1:7" x14ac:dyDescent="0.25">
      <c r="A63" s="90"/>
      <c r="B63" s="90"/>
      <c r="C63" s="90"/>
      <c r="D63" s="90"/>
      <c r="E63" s="90" t="s">
        <v>110</v>
      </c>
      <c r="F63" s="90"/>
      <c r="G63" s="195">
        <v>27.9</v>
      </c>
    </row>
    <row r="64" spans="1:7" x14ac:dyDescent="0.25">
      <c r="A64" s="90"/>
      <c r="B64" s="90"/>
      <c r="C64" s="90"/>
      <c r="D64" s="90"/>
      <c r="E64" s="90" t="s">
        <v>111</v>
      </c>
      <c r="F64" s="90"/>
      <c r="G64" s="195">
        <v>2064.87</v>
      </c>
    </row>
    <row r="65" spans="1:13" ht="15.75" thickBot="1" x14ac:dyDescent="0.3">
      <c r="A65" s="90"/>
      <c r="B65" s="90"/>
      <c r="C65" s="90"/>
      <c r="D65" s="90"/>
      <c r="E65" s="90" t="s">
        <v>113</v>
      </c>
      <c r="F65" s="90"/>
      <c r="G65" s="201">
        <v>8293.49</v>
      </c>
    </row>
    <row r="66" spans="1:13" ht="15.75" thickBot="1" x14ac:dyDescent="0.3">
      <c r="A66" s="90"/>
      <c r="B66" s="90"/>
      <c r="C66" s="90"/>
      <c r="D66" s="90" t="s">
        <v>114</v>
      </c>
      <c r="E66" s="90"/>
      <c r="F66" s="90"/>
      <c r="G66" s="200">
        <f>ROUND(SUM(G37:G43)+SUM(G48:G55)+SUM(G59:G65),5)</f>
        <v>193641.99</v>
      </c>
    </row>
    <row r="67" spans="1:13" x14ac:dyDescent="0.25">
      <c r="A67" s="90"/>
      <c r="B67" s="90" t="s">
        <v>115</v>
      </c>
      <c r="C67" s="90"/>
      <c r="D67" s="90"/>
      <c r="E67" s="90"/>
      <c r="F67" s="90"/>
      <c r="G67" s="195">
        <f>ROUND(G2+G36-G66,5)</f>
        <v>66788.72</v>
      </c>
    </row>
    <row r="68" spans="1:13" x14ac:dyDescent="0.25">
      <c r="A68" s="90"/>
      <c r="B68" s="90" t="s">
        <v>116</v>
      </c>
      <c r="C68" s="90"/>
      <c r="D68" s="90"/>
      <c r="E68" s="90"/>
      <c r="F68" s="90"/>
      <c r="G68" s="195"/>
    </row>
    <row r="69" spans="1:13" x14ac:dyDescent="0.25">
      <c r="A69" s="90"/>
      <c r="B69" s="90"/>
      <c r="C69" s="90" t="s">
        <v>117</v>
      </c>
      <c r="D69" s="90"/>
      <c r="E69" s="90"/>
      <c r="F69" s="90"/>
      <c r="G69" s="195"/>
    </row>
    <row r="70" spans="1:13" ht="15.75" thickBot="1" x14ac:dyDescent="0.3">
      <c r="A70" s="90"/>
      <c r="B70" s="90"/>
      <c r="C70" s="90"/>
      <c r="D70" s="90" t="s">
        <v>117</v>
      </c>
      <c r="E70" s="90"/>
      <c r="F70" s="90"/>
      <c r="G70" s="196">
        <v>2000</v>
      </c>
    </row>
    <row r="71" spans="1:13" x14ac:dyDescent="0.25">
      <c r="A71" s="90"/>
      <c r="B71" s="90"/>
      <c r="C71" s="90" t="s">
        <v>118</v>
      </c>
      <c r="D71" s="90"/>
      <c r="E71" s="90"/>
      <c r="F71" s="90"/>
      <c r="G71" s="195">
        <f>ROUND(SUM(G69:G70),5)</f>
        <v>2000</v>
      </c>
    </row>
    <row r="72" spans="1:13" x14ac:dyDescent="0.25">
      <c r="A72" s="90"/>
      <c r="B72" s="90"/>
      <c r="C72" s="90" t="s">
        <v>119</v>
      </c>
      <c r="D72" s="90"/>
      <c r="E72" s="90"/>
      <c r="F72" s="90"/>
      <c r="G72" s="195"/>
    </row>
    <row r="73" spans="1:13" x14ac:dyDescent="0.25">
      <c r="A73" s="90"/>
      <c r="B73" s="90"/>
      <c r="C73" s="90"/>
      <c r="D73" s="90" t="s">
        <v>121</v>
      </c>
      <c r="E73" s="90"/>
      <c r="F73" s="90"/>
      <c r="G73" s="195">
        <v>16347.33</v>
      </c>
    </row>
    <row r="74" spans="1:13" ht="15.75" thickBot="1" x14ac:dyDescent="0.3">
      <c r="A74" s="90"/>
      <c r="B74" s="90"/>
      <c r="C74" s="90"/>
      <c r="D74" s="90" t="s">
        <v>122</v>
      </c>
      <c r="E74" s="90"/>
      <c r="F74" s="90"/>
      <c r="G74" s="201">
        <v>1525</v>
      </c>
    </row>
    <row r="75" spans="1:13" ht="15.75" thickBot="1" x14ac:dyDescent="0.3">
      <c r="A75" s="90"/>
      <c r="B75" s="90"/>
      <c r="C75" s="90" t="s">
        <v>123</v>
      </c>
      <c r="D75" s="90"/>
      <c r="E75" s="90"/>
      <c r="F75" s="90"/>
      <c r="G75" s="199">
        <f>ROUND(SUM(G72:G74),5)</f>
        <v>17872.330000000002</v>
      </c>
    </row>
    <row r="76" spans="1:13" ht="15.75" thickBot="1" x14ac:dyDescent="0.3">
      <c r="A76" s="90"/>
      <c r="B76" s="90" t="s">
        <v>124</v>
      </c>
      <c r="C76" s="90"/>
      <c r="D76" s="90"/>
      <c r="E76" s="90"/>
      <c r="F76" s="90"/>
      <c r="G76" s="199">
        <f>ROUND(G68+G71-G75,5)</f>
        <v>-15872.33</v>
      </c>
    </row>
    <row r="77" spans="1:13" s="97" customFormat="1" ht="12" thickBot="1" x14ac:dyDescent="0.25">
      <c r="A77" s="90" t="s">
        <v>125</v>
      </c>
      <c r="B77" s="90"/>
      <c r="C77" s="90"/>
      <c r="D77" s="90"/>
      <c r="E77" s="90"/>
      <c r="F77" s="90"/>
      <c r="G77" s="202">
        <f>ROUND(G67+G76,5)</f>
        <v>50916.39</v>
      </c>
      <c r="M77" s="193"/>
    </row>
    <row r="78" spans="1:13" ht="15.75" thickTop="1" x14ac:dyDescent="0.2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FF0000"/>
  </sheetPr>
  <dimension ref="A1:M71"/>
  <sheetViews>
    <sheetView workbookViewId="0">
      <selection activeCell="H21" sqref="H21"/>
    </sheetView>
  </sheetViews>
  <sheetFormatPr defaultRowHeight="15" x14ac:dyDescent="0.25"/>
  <cols>
    <col min="1" max="5" width="3" style="98" customWidth="1"/>
    <col min="6" max="6" width="30.42578125" style="98" customWidth="1"/>
    <col min="7" max="7" width="15" style="75" bestFit="1" customWidth="1"/>
    <col min="8" max="8" width="9.140625" style="7"/>
    <col min="9" max="9" width="33.85546875" style="7" customWidth="1"/>
    <col min="10" max="10" width="26.85546875" style="7" bestFit="1" customWidth="1"/>
    <col min="11" max="11" width="18.85546875" style="7" customWidth="1"/>
    <col min="12" max="12" width="18" style="7" customWidth="1"/>
    <col min="13" max="13" width="18.28515625" style="7" customWidth="1"/>
    <col min="14" max="16384" width="9.140625" style="7"/>
  </cols>
  <sheetData>
    <row r="1" spans="1:13" x14ac:dyDescent="0.25">
      <c r="A1" s="129" t="s">
        <v>165</v>
      </c>
      <c r="B1" s="129"/>
      <c r="C1" s="129"/>
      <c r="D1" s="129"/>
      <c r="E1" s="129"/>
      <c r="F1" s="129"/>
      <c r="I1" s="130" t="s">
        <v>173</v>
      </c>
      <c r="J1" s="143"/>
      <c r="K1" s="142"/>
    </row>
    <row r="2" spans="1:13" x14ac:dyDescent="0.25">
      <c r="I2" s="136"/>
      <c r="J2" s="136"/>
      <c r="K2" s="245" t="s">
        <v>153</v>
      </c>
      <c r="L2" s="246"/>
      <c r="M2" s="145" t="s">
        <v>170</v>
      </c>
    </row>
    <row r="3" spans="1:13" ht="30" x14ac:dyDescent="0.25">
      <c r="I3" s="123"/>
      <c r="J3" s="123"/>
      <c r="K3" s="132" t="s">
        <v>168</v>
      </c>
      <c r="L3" s="132" t="s">
        <v>167</v>
      </c>
      <c r="M3" s="123"/>
    </row>
    <row r="4" spans="1:13" s="47" customFormat="1" ht="15.75" thickBot="1" x14ac:dyDescent="0.3">
      <c r="A4" s="88"/>
      <c r="B4" s="88"/>
      <c r="C4" s="88"/>
      <c r="D4" s="88"/>
      <c r="E4" s="88"/>
      <c r="F4" s="88"/>
      <c r="G4" s="89" t="s">
        <v>153</v>
      </c>
      <c r="I4" s="149" t="s">
        <v>40</v>
      </c>
      <c r="J4" s="131"/>
      <c r="K4" s="131"/>
      <c r="L4" s="123"/>
      <c r="M4" s="123"/>
    </row>
    <row r="5" spans="1:13" ht="15.75" thickTop="1" x14ac:dyDescent="0.25">
      <c r="A5" s="90"/>
      <c r="B5" s="90" t="s">
        <v>39</v>
      </c>
      <c r="C5" s="90"/>
      <c r="D5" s="90"/>
      <c r="E5" s="90"/>
      <c r="F5" s="90"/>
      <c r="G5" s="91"/>
      <c r="I5" s="131"/>
      <c r="J5" s="124" t="s">
        <v>41</v>
      </c>
      <c r="K5" s="124" t="e">
        <f>#REF!</f>
        <v>#REF!</v>
      </c>
      <c r="L5" s="124">
        <f>G7</f>
        <v>-12809.2</v>
      </c>
      <c r="M5" s="146" t="e">
        <f>K5-L5</f>
        <v>#REF!</v>
      </c>
    </row>
    <row r="6" spans="1:13" x14ac:dyDescent="0.25">
      <c r="A6" s="90"/>
      <c r="B6" s="90"/>
      <c r="C6" s="90"/>
      <c r="D6" s="90" t="s">
        <v>40</v>
      </c>
      <c r="E6" s="90"/>
      <c r="F6" s="90"/>
      <c r="G6" s="91"/>
      <c r="I6" s="131"/>
      <c r="J6" s="124" t="s">
        <v>131</v>
      </c>
      <c r="K6" s="124" t="e">
        <f>#REF!</f>
        <v>#REF!</v>
      </c>
      <c r="L6" s="124">
        <f>G8</f>
        <v>4238</v>
      </c>
      <c r="M6" s="146" t="e">
        <f t="shared" ref="M6:M11" si="0">K6-L6</f>
        <v>#REF!</v>
      </c>
    </row>
    <row r="7" spans="1:13" x14ac:dyDescent="0.25">
      <c r="A7" s="90"/>
      <c r="B7" s="90"/>
      <c r="C7" s="90"/>
      <c r="D7" s="90"/>
      <c r="E7" s="90" t="s">
        <v>41</v>
      </c>
      <c r="F7" s="90"/>
      <c r="G7" s="91">
        <v>-12809.2</v>
      </c>
      <c r="I7" s="131"/>
      <c r="J7" s="124" t="s">
        <v>45</v>
      </c>
      <c r="K7" s="124" t="e">
        <f>#REF!</f>
        <v>#REF!</v>
      </c>
      <c r="L7" s="124">
        <f>G9</f>
        <v>42322.2</v>
      </c>
      <c r="M7" s="146" t="e">
        <f t="shared" si="0"/>
        <v>#REF!</v>
      </c>
    </row>
    <row r="8" spans="1:13" x14ac:dyDescent="0.25">
      <c r="A8" s="90"/>
      <c r="B8" s="90"/>
      <c r="C8" s="90"/>
      <c r="D8" s="90"/>
      <c r="E8" s="90" t="s">
        <v>131</v>
      </c>
      <c r="F8" s="90"/>
      <c r="G8" s="91">
        <v>4238</v>
      </c>
      <c r="I8" s="131"/>
      <c r="J8" s="124" t="s">
        <v>46</v>
      </c>
      <c r="K8" s="124" t="e">
        <f>#REF!</f>
        <v>#REF!</v>
      </c>
      <c r="L8" s="124">
        <f>G10</f>
        <v>1156</v>
      </c>
      <c r="M8" s="146" t="e">
        <f t="shared" si="0"/>
        <v>#REF!</v>
      </c>
    </row>
    <row r="9" spans="1:13" x14ac:dyDescent="0.25">
      <c r="A9" s="90"/>
      <c r="B9" s="90"/>
      <c r="C9" s="90"/>
      <c r="D9" s="90"/>
      <c r="E9" s="90" t="s">
        <v>45</v>
      </c>
      <c r="F9" s="90"/>
      <c r="G9" s="91">
        <v>42322.2</v>
      </c>
      <c r="I9" s="131"/>
      <c r="J9" s="124" t="s">
        <v>47</v>
      </c>
      <c r="K9" s="124" t="e">
        <f>#REF!</f>
        <v>#REF!</v>
      </c>
      <c r="L9" s="124">
        <f>G11</f>
        <v>565187.76</v>
      </c>
      <c r="M9" s="146" t="e">
        <f t="shared" si="0"/>
        <v>#REF!</v>
      </c>
    </row>
    <row r="10" spans="1:13" x14ac:dyDescent="0.25">
      <c r="A10" s="90"/>
      <c r="B10" s="90"/>
      <c r="C10" s="90"/>
      <c r="D10" s="90"/>
      <c r="E10" s="90" t="s">
        <v>46</v>
      </c>
      <c r="F10" s="90"/>
      <c r="G10" s="91">
        <v>1156</v>
      </c>
      <c r="I10" s="149" t="s">
        <v>49</v>
      </c>
      <c r="J10" s="131"/>
      <c r="K10" s="133" t="e">
        <f>SUM(K5:K9)</f>
        <v>#REF!</v>
      </c>
      <c r="L10" s="133">
        <f>SUM(L5:L9)</f>
        <v>600094.76</v>
      </c>
      <c r="M10" s="146" t="e">
        <f t="shared" si="0"/>
        <v>#REF!</v>
      </c>
    </row>
    <row r="11" spans="1:13" ht="15.75" thickBot="1" x14ac:dyDescent="0.3">
      <c r="A11" s="90"/>
      <c r="B11" s="90"/>
      <c r="C11" s="90"/>
      <c r="D11" s="90"/>
      <c r="E11" s="90" t="s">
        <v>47</v>
      </c>
      <c r="F11" s="90"/>
      <c r="G11" s="92">
        <v>565187.76</v>
      </c>
      <c r="I11" s="123"/>
      <c r="J11" s="135" t="s">
        <v>169</v>
      </c>
      <c r="K11" s="134" t="e">
        <f>K10/1000</f>
        <v>#REF!</v>
      </c>
      <c r="L11" s="134">
        <f>L10/1000</f>
        <v>600.09476000000006</v>
      </c>
      <c r="M11" s="144" t="e">
        <f t="shared" si="0"/>
        <v>#REF!</v>
      </c>
    </row>
    <row r="12" spans="1:13" ht="45" x14ac:dyDescent="0.25">
      <c r="A12" s="90"/>
      <c r="B12" s="90"/>
      <c r="C12" s="90"/>
      <c r="D12" s="90" t="s">
        <v>49</v>
      </c>
      <c r="E12" s="90"/>
      <c r="F12" s="90"/>
      <c r="G12" s="91">
        <f>ROUND(SUM(G6:G11),5)</f>
        <v>600094.76</v>
      </c>
      <c r="K12" s="139" t="s">
        <v>171</v>
      </c>
    </row>
    <row r="13" spans="1:13" ht="30" customHeight="1" x14ac:dyDescent="0.25">
      <c r="A13" s="90"/>
      <c r="B13" s="90"/>
      <c r="C13" s="90"/>
      <c r="D13" s="90" t="s">
        <v>50</v>
      </c>
      <c r="E13" s="90"/>
      <c r="F13" s="90"/>
      <c r="G13" s="91"/>
    </row>
    <row r="14" spans="1:13" x14ac:dyDescent="0.25">
      <c r="A14" s="90"/>
      <c r="B14" s="90"/>
      <c r="C14" s="90"/>
      <c r="D14" s="90"/>
      <c r="E14" s="90" t="s">
        <v>51</v>
      </c>
      <c r="F14" s="90"/>
      <c r="G14" s="91">
        <v>1050</v>
      </c>
      <c r="I14" s="130" t="s">
        <v>174</v>
      </c>
      <c r="J14" s="130"/>
    </row>
    <row r="15" spans="1:13" x14ac:dyDescent="0.25">
      <c r="A15" s="90"/>
      <c r="B15" s="90"/>
      <c r="C15" s="90"/>
      <c r="D15" s="90"/>
      <c r="E15" s="90" t="s">
        <v>52</v>
      </c>
      <c r="F15" s="90"/>
      <c r="G15" s="91">
        <v>4428.74</v>
      </c>
      <c r="J15" s="154" t="s">
        <v>133</v>
      </c>
      <c r="K15" s="154" t="s">
        <v>153</v>
      </c>
      <c r="L15" s="155" t="s">
        <v>170</v>
      </c>
      <c r="M15" s="159"/>
    </row>
    <row r="16" spans="1:13" x14ac:dyDescent="0.25">
      <c r="A16" s="90"/>
      <c r="B16" s="90"/>
      <c r="C16" s="90"/>
      <c r="D16" s="90"/>
      <c r="E16" s="90" t="s">
        <v>54</v>
      </c>
      <c r="F16" s="90"/>
      <c r="G16" s="91"/>
      <c r="I16" s="151" t="s">
        <v>143</v>
      </c>
      <c r="J16" s="150" t="s">
        <v>149</v>
      </c>
      <c r="K16" s="150" t="s">
        <v>149</v>
      </c>
      <c r="L16" s="123"/>
      <c r="M16" s="6"/>
    </row>
    <row r="17" spans="1:13" x14ac:dyDescent="0.25">
      <c r="A17" s="90"/>
      <c r="B17" s="90"/>
      <c r="C17" s="90"/>
      <c r="D17" s="90"/>
      <c r="E17" s="90"/>
      <c r="F17" s="90" t="s">
        <v>42</v>
      </c>
      <c r="G17" s="91">
        <v>-5986.17</v>
      </c>
      <c r="I17" s="123" t="s">
        <v>152</v>
      </c>
      <c r="J17" s="152" t="e">
        <f>#REF!</f>
        <v>#REF!</v>
      </c>
      <c r="K17" s="124" t="e">
        <f>#REF!</f>
        <v>#REF!</v>
      </c>
      <c r="L17" s="156" t="e">
        <f>K17-J17</f>
        <v>#REF!</v>
      </c>
      <c r="M17" s="6"/>
    </row>
    <row r="18" spans="1:13" x14ac:dyDescent="0.25">
      <c r="A18" s="90"/>
      <c r="B18" s="90"/>
      <c r="C18" s="90"/>
      <c r="D18" s="90"/>
      <c r="E18" s="90"/>
      <c r="F18" s="90" t="s">
        <v>55</v>
      </c>
      <c r="G18" s="91">
        <v>53215.53</v>
      </c>
      <c r="I18" s="125" t="s">
        <v>150</v>
      </c>
      <c r="J18" s="152" t="e">
        <f>#REF!</f>
        <v>#REF!</v>
      </c>
      <c r="K18" s="124"/>
      <c r="L18" s="156" t="e">
        <f t="shared" ref="L18:L22" si="1">K18-J18</f>
        <v>#REF!</v>
      </c>
      <c r="M18" s="6"/>
    </row>
    <row r="19" spans="1:13" ht="15.75" thickBot="1" x14ac:dyDescent="0.3">
      <c r="A19" s="90"/>
      <c r="B19" s="90"/>
      <c r="C19" s="90"/>
      <c r="D19" s="90"/>
      <c r="E19" s="90"/>
      <c r="F19" s="90" t="s">
        <v>56</v>
      </c>
      <c r="G19" s="92">
        <v>173663.24</v>
      </c>
      <c r="I19" s="123" t="s">
        <v>113</v>
      </c>
      <c r="J19" s="152" t="e">
        <f>#REF!</f>
        <v>#REF!</v>
      </c>
      <c r="K19" s="124" t="e">
        <f>#REF!</f>
        <v>#REF!</v>
      </c>
      <c r="L19" s="156" t="e">
        <f t="shared" si="1"/>
        <v>#REF!</v>
      </c>
      <c r="M19" s="6"/>
    </row>
    <row r="20" spans="1:13" x14ac:dyDescent="0.25">
      <c r="A20" s="90"/>
      <c r="B20" s="90"/>
      <c r="C20" s="90"/>
      <c r="D20" s="90"/>
      <c r="E20" s="90" t="s">
        <v>57</v>
      </c>
      <c r="F20" s="90"/>
      <c r="G20" s="91">
        <f>ROUND(SUM(G16:G19),5)</f>
        <v>220892.6</v>
      </c>
      <c r="I20" s="123" t="s">
        <v>151</v>
      </c>
      <c r="J20" s="152" t="e">
        <f>#REF!</f>
        <v>#REF!</v>
      </c>
      <c r="K20" s="124" t="e">
        <f>#REF!</f>
        <v>#REF!</v>
      </c>
      <c r="L20" s="156" t="e">
        <f t="shared" si="1"/>
        <v>#REF!</v>
      </c>
      <c r="M20" s="6"/>
    </row>
    <row r="21" spans="1:13" ht="30" customHeight="1" x14ac:dyDescent="0.25">
      <c r="A21" s="90"/>
      <c r="B21" s="90"/>
      <c r="C21" s="90"/>
      <c r="D21" s="90"/>
      <c r="E21" s="90" t="s">
        <v>58</v>
      </c>
      <c r="F21" s="90"/>
      <c r="G21" s="91"/>
      <c r="I21" s="123"/>
      <c r="J21" s="152" t="e">
        <f>#REF!</f>
        <v>#REF!</v>
      </c>
      <c r="K21" s="124" t="e">
        <f>#REF!</f>
        <v>#REF!</v>
      </c>
      <c r="L21" s="156" t="e">
        <f t="shared" si="1"/>
        <v>#REF!</v>
      </c>
      <c r="M21" s="6"/>
    </row>
    <row r="22" spans="1:13" ht="17.25" x14ac:dyDescent="0.4">
      <c r="A22" s="90"/>
      <c r="B22" s="90"/>
      <c r="C22" s="90"/>
      <c r="D22" s="90"/>
      <c r="E22" s="90"/>
      <c r="F22" s="90" t="s">
        <v>59</v>
      </c>
      <c r="G22" s="91">
        <v>17170.990000000002</v>
      </c>
      <c r="I22" s="148" t="s">
        <v>148</v>
      </c>
      <c r="J22" s="149" t="e">
        <f>SUM(J17:J21)</f>
        <v>#REF!</v>
      </c>
      <c r="K22" s="149" t="e">
        <f>SUM(K17:K21)</f>
        <v>#REF!</v>
      </c>
      <c r="L22" s="157" t="e">
        <f t="shared" si="1"/>
        <v>#REF!</v>
      </c>
      <c r="M22" s="6"/>
    </row>
    <row r="23" spans="1:13" x14ac:dyDescent="0.25">
      <c r="A23" s="90"/>
      <c r="B23" s="90"/>
      <c r="C23" s="90"/>
      <c r="D23" s="90"/>
      <c r="E23" s="90"/>
      <c r="F23" s="90" t="s">
        <v>60</v>
      </c>
      <c r="G23" s="91">
        <v>1103.5</v>
      </c>
      <c r="I23" s="158" t="s">
        <v>175</v>
      </c>
      <c r="J23" s="134" t="e">
        <f>J22/1000</f>
        <v>#REF!</v>
      </c>
      <c r="K23" s="134" t="e">
        <f t="shared" ref="K23:L23" si="2">K22/1000</f>
        <v>#REF!</v>
      </c>
      <c r="L23" s="134" t="e">
        <f t="shared" si="2"/>
        <v>#REF!</v>
      </c>
      <c r="M23" s="6"/>
    </row>
    <row r="24" spans="1:13" x14ac:dyDescent="0.25">
      <c r="A24" s="90"/>
      <c r="B24" s="90"/>
      <c r="C24" s="90"/>
      <c r="D24" s="90"/>
      <c r="E24" s="90"/>
      <c r="F24" s="90" t="s">
        <v>61</v>
      </c>
      <c r="G24" s="91">
        <v>90661.16</v>
      </c>
    </row>
    <row r="25" spans="1:13" x14ac:dyDescent="0.25">
      <c r="A25" s="90"/>
      <c r="B25" s="90"/>
      <c r="C25" s="90"/>
      <c r="D25" s="90"/>
      <c r="E25" s="90"/>
      <c r="F25" s="90" t="s">
        <v>63</v>
      </c>
      <c r="G25" s="91">
        <v>5247.19</v>
      </c>
      <c r="I25" s="161" t="s">
        <v>176</v>
      </c>
    </row>
    <row r="26" spans="1:13" ht="15.75" thickBot="1" x14ac:dyDescent="0.3">
      <c r="A26" s="90"/>
      <c r="B26" s="90"/>
      <c r="C26" s="90"/>
      <c r="D26" s="90"/>
      <c r="E26" s="90"/>
      <c r="F26" s="90" t="s">
        <v>64</v>
      </c>
      <c r="G26" s="92">
        <v>75</v>
      </c>
      <c r="I26" s="162" t="s">
        <v>177</v>
      </c>
      <c r="J26" s="154" t="s">
        <v>133</v>
      </c>
      <c r="K26" s="154" t="s">
        <v>153</v>
      </c>
      <c r="L26" s="155" t="s">
        <v>170</v>
      </c>
    </row>
    <row r="27" spans="1:13" x14ac:dyDescent="0.25">
      <c r="A27" s="90"/>
      <c r="B27" s="90"/>
      <c r="C27" s="90"/>
      <c r="D27" s="90"/>
      <c r="E27" s="90" t="s">
        <v>65</v>
      </c>
      <c r="F27" s="90"/>
      <c r="G27" s="91">
        <f>ROUND(SUM(G21:G26),5)</f>
        <v>114257.84</v>
      </c>
      <c r="I27" s="123" t="s">
        <v>83</v>
      </c>
      <c r="J27" s="164" t="e">
        <f>#REF!</f>
        <v>#REF!</v>
      </c>
      <c r="K27" s="164" t="e">
        <f>#REF!</f>
        <v>#REF!</v>
      </c>
      <c r="L27" s="165" t="e">
        <f>K27-J27</f>
        <v>#REF!</v>
      </c>
    </row>
    <row r="28" spans="1:13" ht="30" customHeight="1" x14ac:dyDescent="0.25">
      <c r="A28" s="90"/>
      <c r="B28" s="90"/>
      <c r="C28" s="90"/>
      <c r="D28" s="90"/>
      <c r="E28" s="90" t="s">
        <v>67</v>
      </c>
      <c r="F28" s="90"/>
      <c r="G28" s="91"/>
      <c r="I28" s="123" t="s">
        <v>84</v>
      </c>
      <c r="J28" s="164" t="e">
        <f>#REF!</f>
        <v>#REF!</v>
      </c>
      <c r="K28" s="164" t="e">
        <f>#REF!</f>
        <v>#REF!</v>
      </c>
      <c r="L28" s="166" t="e">
        <f t="shared" ref="L28:L53" si="3">K28-J28</f>
        <v>#REF!</v>
      </c>
    </row>
    <row r="29" spans="1:13" x14ac:dyDescent="0.25">
      <c r="A29" s="90"/>
      <c r="B29" s="90"/>
      <c r="C29" s="90"/>
      <c r="D29" s="90"/>
      <c r="E29" s="90"/>
      <c r="F29" s="90" t="s">
        <v>68</v>
      </c>
      <c r="G29" s="91">
        <v>162</v>
      </c>
      <c r="I29" s="123" t="s">
        <v>85</v>
      </c>
      <c r="J29" s="164" t="e">
        <f>#REF!</f>
        <v>#REF!</v>
      </c>
      <c r="K29" s="164" t="e">
        <f>#REF!</f>
        <v>#REF!</v>
      </c>
      <c r="L29" s="166" t="e">
        <f t="shared" si="3"/>
        <v>#REF!</v>
      </c>
    </row>
    <row r="30" spans="1:13" ht="15.75" thickBot="1" x14ac:dyDescent="0.3">
      <c r="A30" s="90"/>
      <c r="B30" s="90"/>
      <c r="C30" s="90"/>
      <c r="D30" s="90"/>
      <c r="E30" s="90"/>
      <c r="F30" s="90" t="s">
        <v>69</v>
      </c>
      <c r="G30" s="92">
        <v>36584.769999999997</v>
      </c>
      <c r="I30" s="123" t="s">
        <v>90</v>
      </c>
      <c r="J30" s="164"/>
      <c r="K30" s="164"/>
      <c r="L30" s="165">
        <f t="shared" si="3"/>
        <v>0</v>
      </c>
    </row>
    <row r="31" spans="1:13" x14ac:dyDescent="0.25">
      <c r="A31" s="90"/>
      <c r="B31" s="90"/>
      <c r="C31" s="90"/>
      <c r="D31" s="90"/>
      <c r="E31" s="90" t="s">
        <v>70</v>
      </c>
      <c r="F31" s="90"/>
      <c r="G31" s="91">
        <f>ROUND(SUM(G28:G30),5)</f>
        <v>36746.769999999997</v>
      </c>
      <c r="I31" s="123" t="s">
        <v>91</v>
      </c>
      <c r="J31" s="164" t="e">
        <f>#REF!</f>
        <v>#REF!</v>
      </c>
      <c r="K31" s="164" t="e">
        <f>#REF!</f>
        <v>#REF!</v>
      </c>
      <c r="L31" s="165" t="e">
        <f t="shared" si="3"/>
        <v>#REF!</v>
      </c>
    </row>
    <row r="32" spans="1:13" ht="30" customHeight="1" x14ac:dyDescent="0.25">
      <c r="A32" s="90"/>
      <c r="B32" s="90"/>
      <c r="C32" s="90"/>
      <c r="D32" s="90"/>
      <c r="E32" s="90" t="s">
        <v>71</v>
      </c>
      <c r="F32" s="90"/>
      <c r="G32" s="91"/>
      <c r="I32" s="123" t="s">
        <v>92</v>
      </c>
      <c r="J32" s="167">
        <v>0</v>
      </c>
      <c r="K32" s="164" t="e">
        <f>#REF!</f>
        <v>#REF!</v>
      </c>
      <c r="L32" s="165" t="e">
        <f t="shared" si="3"/>
        <v>#REF!</v>
      </c>
    </row>
    <row r="33" spans="1:13" x14ac:dyDescent="0.25">
      <c r="A33" s="90"/>
      <c r="B33" s="90"/>
      <c r="C33" s="90"/>
      <c r="D33" s="90"/>
      <c r="E33" s="90"/>
      <c r="F33" s="90" t="s">
        <v>74</v>
      </c>
      <c r="G33" s="91">
        <v>46628.13</v>
      </c>
      <c r="I33" s="123" t="s">
        <v>93</v>
      </c>
      <c r="J33" s="164" t="e">
        <f>#REF!</f>
        <v>#REF!</v>
      </c>
      <c r="K33" s="164" t="e">
        <f>#REF!</f>
        <v>#REF!</v>
      </c>
      <c r="L33" s="165" t="e">
        <f t="shared" si="3"/>
        <v>#REF!</v>
      </c>
    </row>
    <row r="34" spans="1:13" ht="18" thickBot="1" x14ac:dyDescent="0.45">
      <c r="A34" s="90"/>
      <c r="B34" s="90"/>
      <c r="C34" s="90"/>
      <c r="D34" s="90"/>
      <c r="E34" s="90"/>
      <c r="F34" s="90" t="s">
        <v>75</v>
      </c>
      <c r="G34" s="93">
        <v>2328</v>
      </c>
      <c r="I34" s="123" t="s">
        <v>95</v>
      </c>
      <c r="J34" s="168" t="e">
        <f>#REF!</f>
        <v>#REF!</v>
      </c>
      <c r="K34" s="168" t="e">
        <f>#REF!</f>
        <v>#REF!</v>
      </c>
      <c r="L34" s="165" t="e">
        <f t="shared" si="3"/>
        <v>#REF!</v>
      </c>
    </row>
    <row r="35" spans="1:13" ht="15.75" thickBot="1" x14ac:dyDescent="0.3">
      <c r="A35" s="90"/>
      <c r="B35" s="90"/>
      <c r="C35" s="90"/>
      <c r="D35" s="90"/>
      <c r="E35" s="90" t="s">
        <v>76</v>
      </c>
      <c r="F35" s="90"/>
      <c r="G35" s="94">
        <f>ROUND(SUM(G32:G34),5)</f>
        <v>48956.13</v>
      </c>
      <c r="I35" s="123" t="s">
        <v>97</v>
      </c>
      <c r="J35" s="164">
        <v>0</v>
      </c>
      <c r="K35" s="164" t="e">
        <f>#REF!</f>
        <v>#REF!</v>
      </c>
      <c r="L35" s="165" t="e">
        <f t="shared" si="3"/>
        <v>#REF!</v>
      </c>
    </row>
    <row r="36" spans="1:13" ht="30" customHeight="1" thickBot="1" x14ac:dyDescent="0.3">
      <c r="A36" s="90"/>
      <c r="B36" s="90"/>
      <c r="C36" s="90"/>
      <c r="D36" s="90" t="s">
        <v>77</v>
      </c>
      <c r="E36" s="90"/>
      <c r="F36" s="90"/>
      <c r="G36" s="95">
        <f>ROUND(SUM(G13:G15)+G20+G27+G31+G35,5)</f>
        <v>426332.08</v>
      </c>
      <c r="I36" s="123" t="s">
        <v>98</v>
      </c>
      <c r="J36" s="164" t="e">
        <f>#REF!</f>
        <v>#REF!</v>
      </c>
      <c r="K36" s="164" t="e">
        <f>#REF!</f>
        <v>#REF!</v>
      </c>
      <c r="L36" s="165" t="e">
        <f t="shared" si="3"/>
        <v>#REF!</v>
      </c>
    </row>
    <row r="37" spans="1:13" ht="30" customHeight="1" x14ac:dyDescent="0.25">
      <c r="A37" s="90"/>
      <c r="B37" s="90"/>
      <c r="C37" s="90" t="s">
        <v>78</v>
      </c>
      <c r="D37" s="90"/>
      <c r="E37" s="90"/>
      <c r="F37" s="90"/>
      <c r="G37" s="91">
        <f>ROUND(G12-G36,5)</f>
        <v>173762.68</v>
      </c>
      <c r="I37" s="123" t="s">
        <v>100</v>
      </c>
      <c r="J37" s="164" t="e">
        <f>#REF!</f>
        <v>#REF!</v>
      </c>
      <c r="K37" s="164" t="e">
        <f>#REF!</f>
        <v>#REF!</v>
      </c>
      <c r="L37" s="169" t="e">
        <f t="shared" si="3"/>
        <v>#REF!</v>
      </c>
    </row>
    <row r="38" spans="1:13" ht="30" customHeight="1" x14ac:dyDescent="0.25">
      <c r="A38" s="90"/>
      <c r="B38" s="90"/>
      <c r="C38" s="90"/>
      <c r="D38" s="90" t="s">
        <v>79</v>
      </c>
      <c r="E38" s="90"/>
      <c r="F38" s="90"/>
      <c r="G38" s="91"/>
      <c r="I38" s="123" t="s">
        <v>102</v>
      </c>
      <c r="J38" s="164" t="e">
        <f>#REF!</f>
        <v>#REF!</v>
      </c>
      <c r="K38" s="164" t="e">
        <f>#REF!</f>
        <v>#REF!</v>
      </c>
      <c r="L38" s="165" t="e">
        <f t="shared" si="3"/>
        <v>#REF!</v>
      </c>
    </row>
    <row r="39" spans="1:13" x14ac:dyDescent="0.25">
      <c r="A39" s="90"/>
      <c r="B39" s="90"/>
      <c r="C39" s="90"/>
      <c r="D39" s="90"/>
      <c r="E39" s="90" t="s">
        <v>83</v>
      </c>
      <c r="F39" s="90"/>
      <c r="G39" s="91">
        <v>3480.81</v>
      </c>
      <c r="I39" s="123" t="s">
        <v>103</v>
      </c>
      <c r="J39" s="164">
        <v>0</v>
      </c>
      <c r="K39" s="164" t="e">
        <f>#REF!</f>
        <v>#REF!</v>
      </c>
      <c r="L39" s="165" t="e">
        <f t="shared" si="3"/>
        <v>#REF!</v>
      </c>
    </row>
    <row r="40" spans="1:13" x14ac:dyDescent="0.25">
      <c r="A40" s="90"/>
      <c r="B40" s="90"/>
      <c r="C40" s="90"/>
      <c r="D40" s="90"/>
      <c r="E40" s="90" t="s">
        <v>84</v>
      </c>
      <c r="F40" s="90"/>
      <c r="G40" s="91">
        <v>6214.48</v>
      </c>
      <c r="I40" s="123" t="s">
        <v>104</v>
      </c>
      <c r="J40" s="164" t="e">
        <f>#REF!</f>
        <v>#REF!</v>
      </c>
      <c r="K40" s="164" t="e">
        <f>#REF!</f>
        <v>#REF!</v>
      </c>
      <c r="L40" s="166" t="e">
        <f t="shared" si="3"/>
        <v>#REF!</v>
      </c>
      <c r="M40" s="160" t="e">
        <f>L40/1000</f>
        <v>#REF!</v>
      </c>
    </row>
    <row r="41" spans="1:13" x14ac:dyDescent="0.25">
      <c r="A41" s="90"/>
      <c r="B41" s="90"/>
      <c r="C41" s="90"/>
      <c r="D41" s="90"/>
      <c r="E41" s="90" t="s">
        <v>85</v>
      </c>
      <c r="F41" s="90"/>
      <c r="G41" s="91">
        <v>3794.63</v>
      </c>
      <c r="I41" s="123" t="s">
        <v>105</v>
      </c>
      <c r="J41" s="164" t="e">
        <f>#REF!</f>
        <v>#REF!</v>
      </c>
      <c r="K41" s="164" t="e">
        <f>#REF!</f>
        <v>#REF!</v>
      </c>
      <c r="L41" s="165" t="e">
        <f t="shared" si="3"/>
        <v>#REF!</v>
      </c>
    </row>
    <row r="42" spans="1:13" x14ac:dyDescent="0.25">
      <c r="A42" s="90"/>
      <c r="B42" s="90"/>
      <c r="C42" s="90"/>
      <c r="D42" s="90"/>
      <c r="E42" s="90" t="s">
        <v>88</v>
      </c>
      <c r="F42" s="90"/>
      <c r="G42" s="91">
        <v>-2436.41</v>
      </c>
      <c r="I42" s="123" t="s">
        <v>109</v>
      </c>
      <c r="J42" s="164" t="e">
        <f>#REF!</f>
        <v>#REF!</v>
      </c>
      <c r="K42" s="164" t="e">
        <f>#REF!</f>
        <v>#REF!</v>
      </c>
      <c r="L42" s="165" t="e">
        <f t="shared" si="3"/>
        <v>#REF!</v>
      </c>
    </row>
    <row r="43" spans="1:13" x14ac:dyDescent="0.25">
      <c r="A43" s="90"/>
      <c r="B43" s="90"/>
      <c r="C43" s="90"/>
      <c r="D43" s="90"/>
      <c r="E43" s="90" t="s">
        <v>90</v>
      </c>
      <c r="F43" s="90"/>
      <c r="G43" s="91"/>
      <c r="I43" s="123" t="s">
        <v>110</v>
      </c>
      <c r="J43" s="164" t="e">
        <f>#REF!</f>
        <v>#REF!</v>
      </c>
      <c r="K43" s="164" t="e">
        <f>#REF!</f>
        <v>#REF!</v>
      </c>
      <c r="L43" s="165" t="e">
        <f t="shared" si="3"/>
        <v>#REF!</v>
      </c>
    </row>
    <row r="44" spans="1:13" x14ac:dyDescent="0.25">
      <c r="A44" s="90"/>
      <c r="B44" s="90"/>
      <c r="C44" s="90"/>
      <c r="D44" s="90"/>
      <c r="E44" s="90"/>
      <c r="F44" s="90" t="s">
        <v>91</v>
      </c>
      <c r="G44" s="91">
        <v>16350</v>
      </c>
      <c r="I44" s="123" t="s">
        <v>111</v>
      </c>
      <c r="J44" s="164">
        <v>0</v>
      </c>
      <c r="K44" s="164" t="e">
        <f>#REF!</f>
        <v>#REF!</v>
      </c>
      <c r="L44" s="165" t="e">
        <f t="shared" si="3"/>
        <v>#REF!</v>
      </c>
    </row>
    <row r="45" spans="1:13" x14ac:dyDescent="0.25">
      <c r="A45" s="90"/>
      <c r="B45" s="90"/>
      <c r="C45" s="90"/>
      <c r="D45" s="90"/>
      <c r="E45" s="90"/>
      <c r="F45" s="90" t="s">
        <v>92</v>
      </c>
      <c r="G45" s="91">
        <v>1392.1</v>
      </c>
      <c r="I45" s="123" t="s">
        <v>112</v>
      </c>
      <c r="J45" s="164">
        <v>0</v>
      </c>
      <c r="K45" s="164" t="e">
        <f>#REF!</f>
        <v>#REF!</v>
      </c>
      <c r="L45" s="166" t="e">
        <f t="shared" si="3"/>
        <v>#REF!</v>
      </c>
      <c r="M45" s="160" t="e">
        <f>L45/1000</f>
        <v>#REF!</v>
      </c>
    </row>
    <row r="46" spans="1:13" ht="15.75" thickBot="1" x14ac:dyDescent="0.3">
      <c r="A46" s="90"/>
      <c r="B46" s="90"/>
      <c r="C46" s="90"/>
      <c r="D46" s="90"/>
      <c r="E46" s="90"/>
      <c r="F46" s="90" t="s">
        <v>93</v>
      </c>
      <c r="G46" s="92">
        <v>8500</v>
      </c>
      <c r="I46" s="123" t="s">
        <v>113</v>
      </c>
      <c r="J46" s="164" t="e">
        <f>#REF!</f>
        <v>#REF!</v>
      </c>
      <c r="K46" s="164" t="e">
        <f>#REF!</f>
        <v>#REF!</v>
      </c>
      <c r="L46" s="165" t="e">
        <f t="shared" si="3"/>
        <v>#REF!</v>
      </c>
    </row>
    <row r="47" spans="1:13" x14ac:dyDescent="0.25">
      <c r="A47" s="90"/>
      <c r="B47" s="90"/>
      <c r="C47" s="90"/>
      <c r="D47" s="90"/>
      <c r="E47" s="90" t="s">
        <v>95</v>
      </c>
      <c r="F47" s="90"/>
      <c r="G47" s="91">
        <f>ROUND(SUM(G43:G46),5)</f>
        <v>26242.1</v>
      </c>
      <c r="I47" s="123" t="s">
        <v>178</v>
      </c>
      <c r="J47" s="170" t="e">
        <f>#REF!</f>
        <v>#REF!</v>
      </c>
      <c r="K47" s="164" t="e">
        <f>#REF!</f>
        <v>#REF!</v>
      </c>
      <c r="L47" s="165" t="e">
        <f t="shared" si="3"/>
        <v>#REF!</v>
      </c>
    </row>
    <row r="48" spans="1:13" ht="30" customHeight="1" x14ac:dyDescent="0.25">
      <c r="A48" s="90"/>
      <c r="B48" s="90"/>
      <c r="C48" s="90"/>
      <c r="D48" s="90"/>
      <c r="E48" s="90" t="s">
        <v>97</v>
      </c>
      <c r="F48" s="90"/>
      <c r="G48" s="91">
        <v>150</v>
      </c>
      <c r="I48" s="123" t="s">
        <v>179</v>
      </c>
      <c r="J48" s="165" t="e">
        <f>#REF!</f>
        <v>#REF!</v>
      </c>
      <c r="K48" s="164" t="e">
        <f>#REF!</f>
        <v>#REF!</v>
      </c>
      <c r="L48" s="165" t="e">
        <f t="shared" si="3"/>
        <v>#REF!</v>
      </c>
    </row>
    <row r="49" spans="1:12" x14ac:dyDescent="0.25">
      <c r="A49" s="90"/>
      <c r="B49" s="90"/>
      <c r="C49" s="90"/>
      <c r="D49" s="90"/>
      <c r="E49" s="90" t="s">
        <v>98</v>
      </c>
      <c r="F49" s="90"/>
      <c r="G49" s="91">
        <v>2672.48</v>
      </c>
      <c r="I49" s="123" t="s">
        <v>82</v>
      </c>
      <c r="J49" s="171" t="e">
        <f>#REF!</f>
        <v>#REF!</v>
      </c>
      <c r="K49" s="164">
        <v>0</v>
      </c>
      <c r="L49" s="165" t="e">
        <f t="shared" si="3"/>
        <v>#REF!</v>
      </c>
    </row>
    <row r="50" spans="1:12" x14ac:dyDescent="0.25">
      <c r="A50" s="90"/>
      <c r="B50" s="90"/>
      <c r="C50" s="90"/>
      <c r="D50" s="90"/>
      <c r="E50" s="90" t="s">
        <v>100</v>
      </c>
      <c r="F50" s="90"/>
      <c r="G50" s="91">
        <v>8500</v>
      </c>
      <c r="I50" s="123" t="s">
        <v>89</v>
      </c>
      <c r="J50" s="171" t="e">
        <f>#REF!</f>
        <v>#REF!</v>
      </c>
      <c r="K50" s="164">
        <v>0</v>
      </c>
      <c r="L50" s="165" t="e">
        <f t="shared" si="3"/>
        <v>#REF!</v>
      </c>
    </row>
    <row r="51" spans="1:12" x14ac:dyDescent="0.25">
      <c r="A51" s="90"/>
      <c r="B51" s="90"/>
      <c r="C51" s="90"/>
      <c r="D51" s="90"/>
      <c r="E51" s="90" t="s">
        <v>101</v>
      </c>
      <c r="F51" s="90"/>
      <c r="G51" s="91">
        <v>9616.07</v>
      </c>
      <c r="I51" s="123" t="s">
        <v>99</v>
      </c>
      <c r="J51" s="171" t="e">
        <f>#REF!</f>
        <v>#REF!</v>
      </c>
      <c r="K51" s="164">
        <v>0</v>
      </c>
      <c r="L51" s="165" t="e">
        <f t="shared" si="3"/>
        <v>#REF!</v>
      </c>
    </row>
    <row r="52" spans="1:12" x14ac:dyDescent="0.25">
      <c r="A52" s="90"/>
      <c r="B52" s="90"/>
      <c r="C52" s="90"/>
      <c r="D52" s="90"/>
      <c r="E52" s="90" t="s">
        <v>102</v>
      </c>
      <c r="F52" s="90"/>
      <c r="G52" s="91">
        <v>225.24</v>
      </c>
      <c r="I52" s="123" t="s">
        <v>107</v>
      </c>
      <c r="J52" s="171" t="e">
        <f>#REF!</f>
        <v>#REF!</v>
      </c>
      <c r="K52" s="164">
        <v>0</v>
      </c>
      <c r="L52" s="165" t="e">
        <f t="shared" si="3"/>
        <v>#REF!</v>
      </c>
    </row>
    <row r="53" spans="1:12" x14ac:dyDescent="0.25">
      <c r="A53" s="90"/>
      <c r="B53" s="90"/>
      <c r="C53" s="90"/>
      <c r="D53" s="90"/>
      <c r="E53" s="90" t="s">
        <v>103</v>
      </c>
      <c r="F53" s="90"/>
      <c r="G53" s="91">
        <v>100</v>
      </c>
      <c r="I53" s="123" t="s">
        <v>180</v>
      </c>
      <c r="J53" s="171" t="e">
        <f>#REF!</f>
        <v>#REF!</v>
      </c>
      <c r="K53" s="164">
        <v>0</v>
      </c>
      <c r="L53" s="165" t="e">
        <f t="shared" si="3"/>
        <v>#REF!</v>
      </c>
    </row>
    <row r="54" spans="1:12" ht="17.25" x14ac:dyDescent="0.4">
      <c r="A54" s="90"/>
      <c r="B54" s="90"/>
      <c r="C54" s="90"/>
      <c r="D54" s="90"/>
      <c r="E54" s="90" t="s">
        <v>104</v>
      </c>
      <c r="F54" s="90"/>
      <c r="G54" s="91">
        <v>37886</v>
      </c>
      <c r="I54" s="153" t="s">
        <v>148</v>
      </c>
      <c r="J54" s="172" t="e">
        <f>SUM(J27:J53)-J31-J33</f>
        <v>#REF!</v>
      </c>
      <c r="K54" s="172" t="e">
        <f>SUM(K27:K53)-K31-K32-K33</f>
        <v>#REF!</v>
      </c>
      <c r="L54" s="163" t="e">
        <f>L27+L28+L29+L30+L31+L32+L33+L35+L36+L37+L38+L39+L40+L41+L42+L43+L44+L45+L46+L47+L48+L49+L50+L51+L52+L53</f>
        <v>#REF!</v>
      </c>
    </row>
    <row r="55" spans="1:12" x14ac:dyDescent="0.25">
      <c r="A55" s="90"/>
      <c r="B55" s="90"/>
      <c r="C55" s="90"/>
      <c r="D55" s="90"/>
      <c r="E55" s="90" t="s">
        <v>105</v>
      </c>
      <c r="F55" s="90"/>
      <c r="G55" s="91">
        <v>1341.49</v>
      </c>
      <c r="J55" s="126"/>
    </row>
    <row r="56" spans="1:12" x14ac:dyDescent="0.25">
      <c r="A56" s="90"/>
      <c r="B56" s="90"/>
      <c r="C56" s="90"/>
      <c r="D56" s="90"/>
      <c r="E56" s="90" t="s">
        <v>106</v>
      </c>
      <c r="F56" s="90"/>
      <c r="G56" s="91">
        <v>51846.69</v>
      </c>
    </row>
    <row r="57" spans="1:12" x14ac:dyDescent="0.25">
      <c r="A57" s="90"/>
      <c r="B57" s="90"/>
      <c r="C57" s="90"/>
      <c r="D57" s="90"/>
      <c r="E57" s="90" t="s">
        <v>109</v>
      </c>
      <c r="F57" s="90"/>
      <c r="G57" s="91">
        <v>16002.62</v>
      </c>
    </row>
    <row r="58" spans="1:12" x14ac:dyDescent="0.25">
      <c r="A58" s="90"/>
      <c r="B58" s="90"/>
      <c r="C58" s="90"/>
      <c r="D58" s="90"/>
      <c r="E58" s="90" t="s">
        <v>110</v>
      </c>
      <c r="F58" s="90"/>
      <c r="G58" s="91">
        <v>1178.1500000000001</v>
      </c>
    </row>
    <row r="59" spans="1:12" x14ac:dyDescent="0.25">
      <c r="A59" s="90"/>
      <c r="B59" s="90"/>
      <c r="C59" s="90"/>
      <c r="D59" s="90"/>
      <c r="E59" s="90" t="s">
        <v>111</v>
      </c>
      <c r="F59" s="90"/>
      <c r="G59" s="91">
        <v>2203.0300000000002</v>
      </c>
    </row>
    <row r="60" spans="1:12" x14ac:dyDescent="0.25">
      <c r="A60" s="90"/>
      <c r="B60" s="90"/>
      <c r="C60" s="90"/>
      <c r="D60" s="90"/>
      <c r="E60" s="90" t="s">
        <v>112</v>
      </c>
      <c r="F60" s="90"/>
      <c r="G60" s="91">
        <v>19198.59</v>
      </c>
    </row>
    <row r="61" spans="1:12" ht="15.75" thickBot="1" x14ac:dyDescent="0.3">
      <c r="A61" s="90"/>
      <c r="B61" s="90"/>
      <c r="C61" s="90"/>
      <c r="D61" s="90"/>
      <c r="E61" s="90" t="s">
        <v>113</v>
      </c>
      <c r="F61" s="90"/>
      <c r="G61" s="93">
        <v>7633.46</v>
      </c>
    </row>
    <row r="62" spans="1:12" ht="15.75" thickBot="1" x14ac:dyDescent="0.3">
      <c r="A62" s="90"/>
      <c r="B62" s="90"/>
      <c r="C62" s="90"/>
      <c r="D62" s="90" t="s">
        <v>114</v>
      </c>
      <c r="E62" s="90"/>
      <c r="F62" s="90"/>
      <c r="G62" s="95">
        <f>ROUND(SUM(G38:G42)+SUM(G47:G61),5)</f>
        <v>195849.43</v>
      </c>
    </row>
    <row r="63" spans="1:12" ht="30" customHeight="1" x14ac:dyDescent="0.25">
      <c r="A63" s="90"/>
      <c r="B63" s="90" t="s">
        <v>115</v>
      </c>
      <c r="C63" s="90"/>
      <c r="D63" s="90"/>
      <c r="E63" s="90"/>
      <c r="F63" s="90"/>
      <c r="G63" s="91">
        <f>ROUND(G5+G37-G62,5)</f>
        <v>-22086.75</v>
      </c>
    </row>
    <row r="64" spans="1:12" ht="30" customHeight="1" x14ac:dyDescent="0.25">
      <c r="A64" s="90"/>
      <c r="B64" s="90" t="s">
        <v>116</v>
      </c>
      <c r="C64" s="90"/>
      <c r="D64" s="90"/>
      <c r="E64" s="90"/>
      <c r="F64" s="90"/>
      <c r="G64" s="91"/>
    </row>
    <row r="65" spans="1:12" x14ac:dyDescent="0.25">
      <c r="A65" s="90"/>
      <c r="B65" s="90"/>
      <c r="C65" s="90" t="s">
        <v>119</v>
      </c>
      <c r="D65" s="90"/>
      <c r="E65" s="90"/>
      <c r="F65" s="90"/>
      <c r="G65" s="91"/>
    </row>
    <row r="66" spans="1:12" x14ac:dyDescent="0.25">
      <c r="A66" s="90"/>
      <c r="B66" s="90"/>
      <c r="C66" s="90"/>
      <c r="D66" s="90" t="s">
        <v>121</v>
      </c>
      <c r="E66" s="90"/>
      <c r="F66" s="90"/>
      <c r="G66" s="91">
        <v>4597.71</v>
      </c>
    </row>
    <row r="67" spans="1:12" ht="15.75" thickBot="1" x14ac:dyDescent="0.3">
      <c r="A67" s="90"/>
      <c r="B67" s="90"/>
      <c r="C67" s="90"/>
      <c r="D67" s="90" t="s">
        <v>122</v>
      </c>
      <c r="E67" s="90"/>
      <c r="F67" s="90"/>
      <c r="G67" s="93">
        <v>4</v>
      </c>
      <c r="I67" s="97"/>
      <c r="J67" s="97"/>
      <c r="K67" s="97"/>
      <c r="L67" s="97"/>
    </row>
    <row r="68" spans="1:12" ht="15.75" thickBot="1" x14ac:dyDescent="0.3">
      <c r="A68" s="90"/>
      <c r="B68" s="90"/>
      <c r="C68" s="90" t="s">
        <v>123</v>
      </c>
      <c r="D68" s="90"/>
      <c r="E68" s="90"/>
      <c r="F68" s="90"/>
      <c r="G68" s="94">
        <f>ROUND(SUM(G65:G67),5)</f>
        <v>4601.71</v>
      </c>
    </row>
    <row r="69" spans="1:12" ht="30" customHeight="1" thickBot="1" x14ac:dyDescent="0.3">
      <c r="A69" s="90"/>
      <c r="B69" s="90" t="s">
        <v>124</v>
      </c>
      <c r="C69" s="90"/>
      <c r="D69" s="90"/>
      <c r="E69" s="90"/>
      <c r="F69" s="90"/>
      <c r="G69" s="94">
        <f>ROUND(G64-G68,5)</f>
        <v>-4601.71</v>
      </c>
    </row>
    <row r="70" spans="1:12" s="97" customFormat="1" ht="30" customHeight="1" thickBot="1" x14ac:dyDescent="0.3">
      <c r="A70" s="90" t="s">
        <v>125</v>
      </c>
      <c r="B70" s="90"/>
      <c r="C70" s="90"/>
      <c r="D70" s="90"/>
      <c r="E70" s="90"/>
      <c r="F70" s="90"/>
      <c r="G70" s="96">
        <f>ROUND(G63+G69,5)</f>
        <v>-26688.46</v>
      </c>
      <c r="I70" s="7"/>
      <c r="J70" s="7"/>
      <c r="K70" s="7"/>
      <c r="L70" s="7"/>
    </row>
    <row r="71" spans="1:12" ht="15.75" thickTop="1" x14ac:dyDescent="0.25"/>
  </sheetData>
  <mergeCells count="1">
    <mergeCell ref="K2:L2"/>
  </mergeCells>
  <pageMargins left="0.7" right="0.7" top="0.75" bottom="0.75" header="0.25" footer="0.3"/>
  <pageSetup orientation="portrait" horizontalDpi="4294967292" verticalDpi="0" r:id="rId1"/>
  <headerFooter>
    <oddHeader>&amp;L&amp;"Arial,Bold"&amp;8 5:12 AM
&amp;"Arial,Bold"&amp;8 03/16/15
&amp;"Arial,Bold"&amp;8 Accrual Basis&amp;C&amp;"Arial,Bold"&amp;12 CIS INTERNATIONAL HOLDINGS (N.A)  CORP.
&amp;"Arial,Bold"&amp;14 Profit &amp;&amp; Loss
&amp;"Arial,Bold"&amp;10 January 30 through February 26, 2015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72706" r:id="rId4" name="HEADER">
          <controlPr defaultSize="0" autoLine="0" r:id="rId5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4</xdr:col>
                <xdr:colOff>114300</xdr:colOff>
                <xdr:row>4</xdr:row>
                <xdr:rowOff>28575</xdr:rowOff>
              </to>
            </anchor>
          </controlPr>
        </control>
      </mc:Choice>
      <mc:Fallback>
        <control shapeId="72706" r:id="rId4" name="HEADER"/>
      </mc:Fallback>
    </mc:AlternateContent>
    <mc:AlternateContent xmlns:mc="http://schemas.openxmlformats.org/markup-compatibility/2006">
      <mc:Choice Requires="x14">
        <control shapeId="72705" r:id="rId6" name="FILTER">
          <controlPr defaultSize="0" autoLine="0" r:id="rId7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4</xdr:col>
                <xdr:colOff>114300</xdr:colOff>
                <xdr:row>4</xdr:row>
                <xdr:rowOff>28575</xdr:rowOff>
              </to>
            </anchor>
          </controlPr>
        </control>
      </mc:Choice>
      <mc:Fallback>
        <control shapeId="72705" r:id="rId6" name="FILTER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0000"/>
  </sheetPr>
  <dimension ref="A1:N67"/>
  <sheetViews>
    <sheetView workbookViewId="0">
      <pane xSplit="6" ySplit="2" topLeftCell="G3" activePane="bottomRight" state="frozenSplit"/>
      <selection pane="topRight" activeCell="G1" sqref="G1"/>
      <selection pane="bottomLeft" activeCell="A2" sqref="A2"/>
      <selection pane="bottomRight" activeCell="K19" sqref="K19"/>
    </sheetView>
  </sheetViews>
  <sheetFormatPr defaultRowHeight="15" x14ac:dyDescent="0.25"/>
  <cols>
    <col min="1" max="2" width="3" style="98" customWidth="1"/>
    <col min="3" max="3" width="0.28515625" style="98" customWidth="1"/>
    <col min="4" max="5" width="3" style="98" customWidth="1"/>
    <col min="6" max="6" width="26.42578125" style="98" customWidth="1"/>
    <col min="7" max="7" width="10.7109375" style="75" bestFit="1" customWidth="1"/>
    <col min="8" max="9" width="9.140625" style="7"/>
    <col min="10" max="10" width="13.140625" style="7" customWidth="1"/>
    <col min="11" max="11" width="38.140625" style="7" customWidth="1"/>
    <col min="12" max="12" width="19.5703125" style="7" customWidth="1"/>
    <col min="13" max="13" width="21.5703125" style="7" customWidth="1"/>
    <col min="14" max="14" width="20" style="7" customWidth="1"/>
    <col min="15" max="16384" width="9.140625" style="7"/>
  </cols>
  <sheetData>
    <row r="1" spans="1:14" x14ac:dyDescent="0.25">
      <c r="A1" s="140" t="s">
        <v>165</v>
      </c>
      <c r="B1" s="140"/>
      <c r="C1" s="140"/>
      <c r="D1" s="140"/>
      <c r="E1" s="140"/>
      <c r="F1" s="140"/>
      <c r="G1" s="141"/>
    </row>
    <row r="2" spans="1:14" s="47" customFormat="1" ht="15.75" thickBot="1" x14ac:dyDescent="0.3">
      <c r="A2" s="88"/>
      <c r="B2" s="88"/>
      <c r="C2" s="88"/>
      <c r="D2" s="88"/>
      <c r="E2" s="88"/>
      <c r="F2" s="88"/>
      <c r="G2" s="89" t="s">
        <v>133</v>
      </c>
      <c r="J2" s="143" t="s">
        <v>166</v>
      </c>
      <c r="K2" s="143"/>
      <c r="L2" s="142"/>
      <c r="M2" s="7"/>
      <c r="N2" s="7"/>
    </row>
    <row r="3" spans="1:14" ht="15.75" thickTop="1" x14ac:dyDescent="0.25">
      <c r="A3" s="90"/>
      <c r="B3" s="90" t="s">
        <v>39</v>
      </c>
      <c r="C3" s="90"/>
      <c r="D3" s="90"/>
      <c r="E3" s="90"/>
      <c r="F3" s="90"/>
      <c r="G3" s="91"/>
      <c r="J3" s="136"/>
      <c r="K3" s="136"/>
      <c r="L3" s="245" t="s">
        <v>133</v>
      </c>
      <c r="M3" s="246"/>
      <c r="N3" s="138" t="s">
        <v>170</v>
      </c>
    </row>
    <row r="4" spans="1:14" ht="30" x14ac:dyDescent="0.25">
      <c r="A4" s="90"/>
      <c r="B4" s="90"/>
      <c r="C4" s="90"/>
      <c r="D4" s="90" t="s">
        <v>40</v>
      </c>
      <c r="E4" s="90"/>
      <c r="F4" s="90"/>
      <c r="G4" s="91"/>
      <c r="J4" s="123"/>
      <c r="K4" s="123"/>
      <c r="L4" s="132" t="s">
        <v>172</v>
      </c>
      <c r="M4" s="132" t="s">
        <v>167</v>
      </c>
      <c r="N4" s="123"/>
    </row>
    <row r="5" spans="1:14" x14ac:dyDescent="0.25">
      <c r="A5" s="90"/>
      <c r="B5" s="90"/>
      <c r="C5" s="90"/>
      <c r="D5" s="90"/>
      <c r="E5" s="90" t="s">
        <v>41</v>
      </c>
      <c r="F5" s="90"/>
      <c r="G5" s="91">
        <v>-15279.41</v>
      </c>
      <c r="J5" s="124" t="s">
        <v>40</v>
      </c>
      <c r="K5" s="131"/>
      <c r="L5" s="131"/>
      <c r="M5" s="123"/>
      <c r="N5" s="123"/>
    </row>
    <row r="6" spans="1:14" x14ac:dyDescent="0.25">
      <c r="A6" s="90"/>
      <c r="B6" s="90"/>
      <c r="C6" s="90"/>
      <c r="D6" s="90"/>
      <c r="E6" s="90" t="s">
        <v>131</v>
      </c>
      <c r="F6" s="90"/>
      <c r="G6" s="91">
        <v>1765</v>
      </c>
      <c r="J6" s="131"/>
      <c r="K6" s="124" t="s">
        <v>41</v>
      </c>
      <c r="L6" s="124" t="e">
        <f>#REF!</f>
        <v>#REF!</v>
      </c>
      <c r="M6" s="124">
        <f>G5</f>
        <v>-15279.41</v>
      </c>
      <c r="N6" s="147" t="e">
        <f>L6-M6</f>
        <v>#REF!</v>
      </c>
    </row>
    <row r="7" spans="1:14" x14ac:dyDescent="0.25">
      <c r="A7" s="90"/>
      <c r="B7" s="90"/>
      <c r="C7" s="90"/>
      <c r="D7" s="90"/>
      <c r="E7" s="90" t="s">
        <v>45</v>
      </c>
      <c r="F7" s="90"/>
      <c r="G7" s="91">
        <v>52266.5</v>
      </c>
      <c r="J7" s="131"/>
      <c r="K7" s="124" t="s">
        <v>131</v>
      </c>
      <c r="L7" s="124" t="e">
        <f>#REF!</f>
        <v>#REF!</v>
      </c>
      <c r="M7" s="124">
        <f>G6</f>
        <v>1765</v>
      </c>
      <c r="N7" s="147" t="e">
        <f t="shared" ref="N7:N12" si="0">L7-M7</f>
        <v>#REF!</v>
      </c>
    </row>
    <row r="8" spans="1:14" x14ac:dyDescent="0.25">
      <c r="A8" s="90"/>
      <c r="B8" s="90"/>
      <c r="C8" s="90"/>
      <c r="D8" s="90"/>
      <c r="E8" s="90" t="s">
        <v>46</v>
      </c>
      <c r="F8" s="90"/>
      <c r="G8" s="91">
        <v>940</v>
      </c>
      <c r="J8" s="131"/>
      <c r="K8" s="124" t="s">
        <v>45</v>
      </c>
      <c r="L8" s="124" t="e">
        <f>#REF!</f>
        <v>#REF!</v>
      </c>
      <c r="M8" s="124">
        <f>G7</f>
        <v>52266.5</v>
      </c>
      <c r="N8" s="147" t="e">
        <f t="shared" si="0"/>
        <v>#REF!</v>
      </c>
    </row>
    <row r="9" spans="1:14" ht="15.75" thickBot="1" x14ac:dyDescent="0.3">
      <c r="A9" s="90"/>
      <c r="B9" s="90"/>
      <c r="C9" s="90"/>
      <c r="D9" s="90"/>
      <c r="E9" s="90" t="s">
        <v>47</v>
      </c>
      <c r="F9" s="90"/>
      <c r="G9" s="92">
        <v>620103.06999999995</v>
      </c>
      <c r="J9" s="131"/>
      <c r="K9" s="124" t="s">
        <v>46</v>
      </c>
      <c r="L9" s="124" t="e">
        <f>#REF!</f>
        <v>#REF!</v>
      </c>
      <c r="M9" s="124">
        <f>G8</f>
        <v>940</v>
      </c>
      <c r="N9" s="147" t="e">
        <f t="shared" si="0"/>
        <v>#REF!</v>
      </c>
    </row>
    <row r="10" spans="1:14" x14ac:dyDescent="0.25">
      <c r="A10" s="90"/>
      <c r="B10" s="90"/>
      <c r="C10" s="90"/>
      <c r="D10" s="90" t="s">
        <v>49</v>
      </c>
      <c r="E10" s="90"/>
      <c r="F10" s="90"/>
      <c r="G10" s="91">
        <f>ROUND(SUM(G4:G9),5)</f>
        <v>659795.16</v>
      </c>
      <c r="J10" s="131"/>
      <c r="K10" s="124" t="s">
        <v>47</v>
      </c>
      <c r="L10" s="124" t="e">
        <f>#REF!</f>
        <v>#REF!</v>
      </c>
      <c r="M10" s="124">
        <f>G9</f>
        <v>620103.06999999995</v>
      </c>
      <c r="N10" s="147" t="e">
        <f t="shared" si="0"/>
        <v>#REF!</v>
      </c>
    </row>
    <row r="11" spans="1:14" ht="30" customHeight="1" x14ac:dyDescent="0.25">
      <c r="A11" s="90"/>
      <c r="B11" s="90"/>
      <c r="C11" s="90"/>
      <c r="D11" s="90" t="s">
        <v>50</v>
      </c>
      <c r="E11" s="90"/>
      <c r="F11" s="90"/>
      <c r="G11" s="91"/>
      <c r="J11" s="124" t="s">
        <v>49</v>
      </c>
      <c r="K11" s="131"/>
      <c r="L11" s="133" t="e">
        <f>SUM(L6:L10)</f>
        <v>#REF!</v>
      </c>
      <c r="M11" s="133">
        <f>SUM(M6:M10)</f>
        <v>659795.15999999992</v>
      </c>
      <c r="N11" s="147" t="e">
        <f t="shared" si="0"/>
        <v>#REF!</v>
      </c>
    </row>
    <row r="12" spans="1:14" x14ac:dyDescent="0.25">
      <c r="A12" s="90"/>
      <c r="B12" s="90"/>
      <c r="C12" s="90"/>
      <c r="D12" s="90"/>
      <c r="E12" s="90" t="s">
        <v>51</v>
      </c>
      <c r="F12" s="90"/>
      <c r="G12" s="91">
        <v>27851.8</v>
      </c>
      <c r="J12" s="123"/>
      <c r="K12" s="135" t="s">
        <v>169</v>
      </c>
      <c r="L12" s="134" t="e">
        <f>L11/1000</f>
        <v>#REF!</v>
      </c>
      <c r="M12" s="134">
        <f>M11/1000</f>
        <v>659.7951599999999</v>
      </c>
      <c r="N12" s="137" t="e">
        <f t="shared" si="0"/>
        <v>#REF!</v>
      </c>
    </row>
    <row r="13" spans="1:14" ht="45" x14ac:dyDescent="0.25">
      <c r="A13" s="90"/>
      <c r="B13" s="90"/>
      <c r="C13" s="90"/>
      <c r="D13" s="90"/>
      <c r="E13" s="90" t="s">
        <v>52</v>
      </c>
      <c r="F13" s="90"/>
      <c r="G13" s="91">
        <v>5804.52</v>
      </c>
      <c r="L13" s="139" t="s">
        <v>171</v>
      </c>
    </row>
    <row r="14" spans="1:14" x14ac:dyDescent="0.25">
      <c r="A14" s="90"/>
      <c r="B14" s="90"/>
      <c r="C14" s="90"/>
      <c r="D14" s="90"/>
      <c r="E14" s="90" t="s">
        <v>54</v>
      </c>
      <c r="F14" s="90"/>
      <c r="G14" s="91"/>
    </row>
    <row r="15" spans="1:14" x14ac:dyDescent="0.25">
      <c r="A15" s="90"/>
      <c r="B15" s="90"/>
      <c r="C15" s="90"/>
      <c r="D15" s="90"/>
      <c r="E15" s="90"/>
      <c r="F15" s="90" t="s">
        <v>42</v>
      </c>
      <c r="G15" s="91">
        <v>-3913.63</v>
      </c>
    </row>
    <row r="16" spans="1:14" x14ac:dyDescent="0.25">
      <c r="A16" s="90"/>
      <c r="B16" s="90"/>
      <c r="C16" s="90"/>
      <c r="D16" s="90"/>
      <c r="E16" s="90"/>
      <c r="F16" s="90" t="s">
        <v>55</v>
      </c>
      <c r="G16" s="91">
        <v>48997.37</v>
      </c>
    </row>
    <row r="17" spans="1:7" ht="15.75" thickBot="1" x14ac:dyDescent="0.3">
      <c r="A17" s="90"/>
      <c r="B17" s="90"/>
      <c r="C17" s="90"/>
      <c r="D17" s="90"/>
      <c r="E17" s="90"/>
      <c r="F17" s="90" t="s">
        <v>56</v>
      </c>
      <c r="G17" s="92">
        <v>163398.60999999999</v>
      </c>
    </row>
    <row r="18" spans="1:7" x14ac:dyDescent="0.25">
      <c r="A18" s="90"/>
      <c r="B18" s="90"/>
      <c r="C18" s="90"/>
      <c r="D18" s="90"/>
      <c r="E18" s="90" t="s">
        <v>57</v>
      </c>
      <c r="F18" s="90"/>
      <c r="G18" s="91">
        <f>ROUND(SUM(G14:G17),5)</f>
        <v>208482.35</v>
      </c>
    </row>
    <row r="19" spans="1:7" ht="30" customHeight="1" x14ac:dyDescent="0.25">
      <c r="A19" s="90"/>
      <c r="B19" s="90"/>
      <c r="C19" s="90"/>
      <c r="D19" s="90"/>
      <c r="E19" s="90" t="s">
        <v>58</v>
      </c>
      <c r="F19" s="90"/>
      <c r="G19" s="91"/>
    </row>
    <row r="20" spans="1:7" x14ac:dyDescent="0.25">
      <c r="A20" s="90"/>
      <c r="B20" s="90"/>
      <c r="C20" s="90"/>
      <c r="D20" s="90"/>
      <c r="E20" s="90"/>
      <c r="F20" s="90" t="s">
        <v>59</v>
      </c>
      <c r="G20" s="91">
        <v>13854.81</v>
      </c>
    </row>
    <row r="21" spans="1:7" x14ac:dyDescent="0.25">
      <c r="A21" s="90"/>
      <c r="B21" s="90"/>
      <c r="C21" s="90"/>
      <c r="D21" s="90"/>
      <c r="E21" s="90"/>
      <c r="F21" s="90" t="s">
        <v>60</v>
      </c>
      <c r="G21" s="91">
        <v>874.66</v>
      </c>
    </row>
    <row r="22" spans="1:7" x14ac:dyDescent="0.25">
      <c r="A22" s="90"/>
      <c r="B22" s="90"/>
      <c r="C22" s="90"/>
      <c r="D22" s="90"/>
      <c r="E22" s="90"/>
      <c r="F22" s="90" t="s">
        <v>61</v>
      </c>
      <c r="G22" s="91">
        <v>69285.279999999999</v>
      </c>
    </row>
    <row r="23" spans="1:7" ht="15.75" thickBot="1" x14ac:dyDescent="0.3">
      <c r="A23" s="90"/>
      <c r="B23" s="90"/>
      <c r="C23" s="90"/>
      <c r="D23" s="90"/>
      <c r="E23" s="90"/>
      <c r="F23" s="90" t="s">
        <v>63</v>
      </c>
      <c r="G23" s="92">
        <v>5693.19</v>
      </c>
    </row>
    <row r="24" spans="1:7" x14ac:dyDescent="0.25">
      <c r="A24" s="90"/>
      <c r="B24" s="90"/>
      <c r="C24" s="90"/>
      <c r="D24" s="90"/>
      <c r="E24" s="90" t="s">
        <v>65</v>
      </c>
      <c r="F24" s="90"/>
      <c r="G24" s="91">
        <f>ROUND(SUM(G19:G23),5)</f>
        <v>89707.94</v>
      </c>
    </row>
    <row r="25" spans="1:7" ht="30" customHeight="1" x14ac:dyDescent="0.25">
      <c r="A25" s="90"/>
      <c r="B25" s="90"/>
      <c r="C25" s="90"/>
      <c r="D25" s="90"/>
      <c r="E25" s="90" t="s">
        <v>67</v>
      </c>
      <c r="F25" s="90"/>
      <c r="G25" s="91"/>
    </row>
    <row r="26" spans="1:7" x14ac:dyDescent="0.25">
      <c r="A26" s="90"/>
      <c r="B26" s="90"/>
      <c r="C26" s="90"/>
      <c r="D26" s="90"/>
      <c r="E26" s="90"/>
      <c r="F26" s="90" t="s">
        <v>68</v>
      </c>
      <c r="G26" s="91">
        <v>664</v>
      </c>
    </row>
    <row r="27" spans="1:7" ht="15.75" thickBot="1" x14ac:dyDescent="0.3">
      <c r="A27" s="90"/>
      <c r="B27" s="90"/>
      <c r="C27" s="90"/>
      <c r="D27" s="90"/>
      <c r="E27" s="90"/>
      <c r="F27" s="90" t="s">
        <v>69</v>
      </c>
      <c r="G27" s="92">
        <v>40635.25</v>
      </c>
    </row>
    <row r="28" spans="1:7" x14ac:dyDescent="0.25">
      <c r="A28" s="90"/>
      <c r="B28" s="90"/>
      <c r="C28" s="90"/>
      <c r="D28" s="90"/>
      <c r="E28" s="90" t="s">
        <v>70</v>
      </c>
      <c r="F28" s="90"/>
      <c r="G28" s="91">
        <f>ROUND(SUM(G25:G27),5)</f>
        <v>41299.25</v>
      </c>
    </row>
    <row r="29" spans="1:7" ht="30" customHeight="1" x14ac:dyDescent="0.25">
      <c r="A29" s="90"/>
      <c r="B29" s="90"/>
      <c r="C29" s="90"/>
      <c r="D29" s="90"/>
      <c r="E29" s="90" t="s">
        <v>71</v>
      </c>
      <c r="F29" s="90"/>
      <c r="G29" s="91"/>
    </row>
    <row r="30" spans="1:7" x14ac:dyDescent="0.25">
      <c r="A30" s="90"/>
      <c r="B30" s="90"/>
      <c r="C30" s="90"/>
      <c r="D30" s="90"/>
      <c r="E30" s="90"/>
      <c r="F30" s="90" t="s">
        <v>74</v>
      </c>
      <c r="G30" s="91">
        <v>55428.84</v>
      </c>
    </row>
    <row r="31" spans="1:7" ht="15.75" thickBot="1" x14ac:dyDescent="0.3">
      <c r="A31" s="90"/>
      <c r="B31" s="90"/>
      <c r="C31" s="90"/>
      <c r="D31" s="90"/>
      <c r="E31" s="90"/>
      <c r="F31" s="90" t="s">
        <v>75</v>
      </c>
      <c r="G31" s="93">
        <v>25</v>
      </c>
    </row>
    <row r="32" spans="1:7" ht="15.75" thickBot="1" x14ac:dyDescent="0.3">
      <c r="A32" s="90"/>
      <c r="B32" s="90"/>
      <c r="C32" s="90"/>
      <c r="D32" s="90"/>
      <c r="E32" s="90" t="s">
        <v>76</v>
      </c>
      <c r="F32" s="90"/>
      <c r="G32" s="94">
        <f>ROUND(SUM(G29:G31),5)</f>
        <v>55453.84</v>
      </c>
    </row>
    <row r="33" spans="1:7" ht="30" customHeight="1" thickBot="1" x14ac:dyDescent="0.3">
      <c r="A33" s="90"/>
      <c r="B33" s="90"/>
      <c r="C33" s="90"/>
      <c r="D33" s="90" t="s">
        <v>77</v>
      </c>
      <c r="E33" s="90"/>
      <c r="F33" s="90"/>
      <c r="G33" s="95">
        <f>ROUND(SUM(G11:G13)+G18+G24+G28+G32,5)</f>
        <v>428599.7</v>
      </c>
    </row>
    <row r="34" spans="1:7" ht="30" customHeight="1" x14ac:dyDescent="0.25">
      <c r="A34" s="90"/>
      <c r="B34" s="90"/>
      <c r="C34" s="90" t="s">
        <v>78</v>
      </c>
      <c r="D34" s="90"/>
      <c r="E34" s="90"/>
      <c r="F34" s="90"/>
      <c r="G34" s="91">
        <f>ROUND(G10-G33,5)</f>
        <v>231195.46</v>
      </c>
    </row>
    <row r="35" spans="1:7" ht="30" customHeight="1" x14ac:dyDescent="0.25">
      <c r="A35" s="90"/>
      <c r="B35" s="90"/>
      <c r="C35" s="90"/>
      <c r="D35" s="90" t="s">
        <v>79</v>
      </c>
      <c r="E35" s="90"/>
      <c r="F35" s="90"/>
      <c r="G35" s="91"/>
    </row>
    <row r="36" spans="1:7" x14ac:dyDescent="0.25">
      <c r="A36" s="90"/>
      <c r="B36" s="90"/>
      <c r="C36" s="90"/>
      <c r="D36" s="90"/>
      <c r="E36" s="90" t="s">
        <v>82</v>
      </c>
      <c r="F36" s="90"/>
      <c r="G36" s="91">
        <v>84.96</v>
      </c>
    </row>
    <row r="37" spans="1:7" x14ac:dyDescent="0.25">
      <c r="A37" s="90"/>
      <c r="B37" s="90"/>
      <c r="C37" s="90"/>
      <c r="D37" s="90"/>
      <c r="E37" s="90" t="s">
        <v>83</v>
      </c>
      <c r="F37" s="90"/>
      <c r="G37" s="91">
        <v>4205.4799999999996</v>
      </c>
    </row>
    <row r="38" spans="1:7" x14ac:dyDescent="0.25">
      <c r="A38" s="90"/>
      <c r="B38" s="90"/>
      <c r="C38" s="90"/>
      <c r="D38" s="90"/>
      <c r="E38" s="90" t="s">
        <v>84</v>
      </c>
      <c r="F38" s="90"/>
      <c r="G38" s="91">
        <v>4161.47</v>
      </c>
    </row>
    <row r="39" spans="1:7" x14ac:dyDescent="0.25">
      <c r="A39" s="90"/>
      <c r="B39" s="90"/>
      <c r="C39" s="90"/>
      <c r="D39" s="90"/>
      <c r="E39" s="90" t="s">
        <v>85</v>
      </c>
      <c r="F39" s="90"/>
      <c r="G39" s="91">
        <v>1263.3699999999999</v>
      </c>
    </row>
    <row r="40" spans="1:7" x14ac:dyDescent="0.25">
      <c r="A40" s="90"/>
      <c r="B40" s="90"/>
      <c r="C40" s="90"/>
      <c r="D40" s="90"/>
      <c r="E40" s="90" t="s">
        <v>88</v>
      </c>
      <c r="F40" s="90"/>
      <c r="G40" s="91">
        <v>919.4</v>
      </c>
    </row>
    <row r="41" spans="1:7" x14ac:dyDescent="0.25">
      <c r="A41" s="90"/>
      <c r="B41" s="90"/>
      <c r="C41" s="90"/>
      <c r="D41" s="90"/>
      <c r="E41" s="90" t="s">
        <v>89</v>
      </c>
      <c r="F41" s="90"/>
      <c r="G41" s="91">
        <v>4070.94</v>
      </c>
    </row>
    <row r="42" spans="1:7" x14ac:dyDescent="0.25">
      <c r="A42" s="90"/>
      <c r="B42" s="90"/>
      <c r="C42" s="90"/>
      <c r="D42" s="90"/>
      <c r="E42" s="90" t="s">
        <v>90</v>
      </c>
      <c r="F42" s="90"/>
      <c r="G42" s="91"/>
    </row>
    <row r="43" spans="1:7" ht="15.75" thickBot="1" x14ac:dyDescent="0.3">
      <c r="A43" s="90"/>
      <c r="B43" s="90"/>
      <c r="C43" s="90"/>
      <c r="D43" s="90"/>
      <c r="E43" s="90"/>
      <c r="F43" s="90" t="s">
        <v>91</v>
      </c>
      <c r="G43" s="92">
        <v>0</v>
      </c>
    </row>
    <row r="44" spans="1:7" x14ac:dyDescent="0.25">
      <c r="A44" s="90"/>
      <c r="B44" s="90"/>
      <c r="C44" s="90"/>
      <c r="D44" s="90"/>
      <c r="E44" s="90" t="s">
        <v>95</v>
      </c>
      <c r="F44" s="90"/>
      <c r="G44" s="91">
        <f>ROUND(SUM(G42:G43),5)</f>
        <v>0</v>
      </c>
    </row>
    <row r="45" spans="1:7" ht="30" customHeight="1" x14ac:dyDescent="0.25">
      <c r="A45" s="90"/>
      <c r="B45" s="90"/>
      <c r="C45" s="90"/>
      <c r="D45" s="90"/>
      <c r="E45" s="90" t="s">
        <v>98</v>
      </c>
      <c r="F45" s="90"/>
      <c r="G45" s="91">
        <v>4651.8900000000003</v>
      </c>
    </row>
    <row r="46" spans="1:7" x14ac:dyDescent="0.25">
      <c r="A46" s="90"/>
      <c r="B46" s="90"/>
      <c r="C46" s="90"/>
      <c r="D46" s="90"/>
      <c r="E46" s="90" t="s">
        <v>99</v>
      </c>
      <c r="F46" s="90"/>
      <c r="G46" s="91">
        <v>587.5</v>
      </c>
    </row>
    <row r="47" spans="1:7" x14ac:dyDescent="0.25">
      <c r="A47" s="90"/>
      <c r="B47" s="90"/>
      <c r="C47" s="90"/>
      <c r="D47" s="90"/>
      <c r="E47" s="90" t="s">
        <v>100</v>
      </c>
      <c r="F47" s="90"/>
      <c r="G47" s="91">
        <v>5000</v>
      </c>
    </row>
    <row r="48" spans="1:7" x14ac:dyDescent="0.25">
      <c r="A48" s="90"/>
      <c r="B48" s="90"/>
      <c r="C48" s="90"/>
      <c r="D48" s="90"/>
      <c r="E48" s="90" t="s">
        <v>101</v>
      </c>
      <c r="F48" s="90"/>
      <c r="G48" s="91">
        <v>14004.75</v>
      </c>
    </row>
    <row r="49" spans="1:7" x14ac:dyDescent="0.25">
      <c r="A49" s="90"/>
      <c r="B49" s="90"/>
      <c r="C49" s="90"/>
      <c r="D49" s="90"/>
      <c r="E49" s="90" t="s">
        <v>102</v>
      </c>
      <c r="F49" s="90"/>
      <c r="G49" s="91">
        <v>1075.94</v>
      </c>
    </row>
    <row r="50" spans="1:7" x14ac:dyDescent="0.25">
      <c r="A50" s="90"/>
      <c r="B50" s="90"/>
      <c r="C50" s="90"/>
      <c r="D50" s="90"/>
      <c r="E50" s="90" t="s">
        <v>104</v>
      </c>
      <c r="F50" s="90"/>
      <c r="G50" s="91">
        <v>13486</v>
      </c>
    </row>
    <row r="51" spans="1:7" x14ac:dyDescent="0.25">
      <c r="A51" s="90"/>
      <c r="B51" s="90"/>
      <c r="C51" s="90"/>
      <c r="D51" s="90"/>
      <c r="E51" s="90" t="s">
        <v>105</v>
      </c>
      <c r="F51" s="90"/>
      <c r="G51" s="91">
        <v>6711.35</v>
      </c>
    </row>
    <row r="52" spans="1:7" x14ac:dyDescent="0.25">
      <c r="A52" s="90"/>
      <c r="B52" s="90"/>
      <c r="C52" s="90"/>
      <c r="D52" s="90"/>
      <c r="E52" s="90" t="s">
        <v>106</v>
      </c>
      <c r="F52" s="90"/>
      <c r="G52" s="91">
        <v>37349.919999999998</v>
      </c>
    </row>
    <row r="53" spans="1:7" x14ac:dyDescent="0.25">
      <c r="A53" s="90"/>
      <c r="B53" s="90"/>
      <c r="C53" s="90"/>
      <c r="D53" s="90"/>
      <c r="E53" s="90" t="s">
        <v>107</v>
      </c>
      <c r="F53" s="90"/>
      <c r="G53" s="91">
        <v>442.15</v>
      </c>
    </row>
    <row r="54" spans="1:7" x14ac:dyDescent="0.25">
      <c r="A54" s="90"/>
      <c r="B54" s="90"/>
      <c r="C54" s="90"/>
      <c r="D54" s="90"/>
      <c r="E54" s="90" t="s">
        <v>108</v>
      </c>
      <c r="F54" s="90"/>
      <c r="G54" s="91">
        <v>730.25</v>
      </c>
    </row>
    <row r="55" spans="1:7" x14ac:dyDescent="0.25">
      <c r="A55" s="90"/>
      <c r="B55" s="90"/>
      <c r="C55" s="90"/>
      <c r="D55" s="90"/>
      <c r="E55" s="90" t="s">
        <v>109</v>
      </c>
      <c r="F55" s="90"/>
      <c r="G55" s="91">
        <v>7566.68</v>
      </c>
    </row>
    <row r="56" spans="1:7" x14ac:dyDescent="0.25">
      <c r="A56" s="90"/>
      <c r="B56" s="90"/>
      <c r="C56" s="90"/>
      <c r="D56" s="90"/>
      <c r="E56" s="90" t="s">
        <v>110</v>
      </c>
      <c r="F56" s="90"/>
      <c r="G56" s="91">
        <v>57.96</v>
      </c>
    </row>
    <row r="57" spans="1:7" ht="15.75" thickBot="1" x14ac:dyDescent="0.3">
      <c r="A57" s="90"/>
      <c r="B57" s="90"/>
      <c r="C57" s="90"/>
      <c r="D57" s="90"/>
      <c r="E57" s="90" t="s">
        <v>113</v>
      </c>
      <c r="F57" s="90"/>
      <c r="G57" s="93">
        <v>8624.5400000000009</v>
      </c>
    </row>
    <row r="58" spans="1:7" ht="15.75" thickBot="1" x14ac:dyDescent="0.3">
      <c r="A58" s="90"/>
      <c r="B58" s="90"/>
      <c r="C58" s="90"/>
      <c r="D58" s="90" t="s">
        <v>114</v>
      </c>
      <c r="E58" s="90"/>
      <c r="F58" s="90"/>
      <c r="G58" s="95">
        <f>ROUND(SUM(G35:G41)+SUM(G44:G57),5)</f>
        <v>114994.55</v>
      </c>
    </row>
    <row r="59" spans="1:7" ht="30" customHeight="1" x14ac:dyDescent="0.25">
      <c r="A59" s="90"/>
      <c r="B59" s="90" t="s">
        <v>115</v>
      </c>
      <c r="C59" s="90"/>
      <c r="D59" s="90"/>
      <c r="E59" s="90"/>
      <c r="F59" s="90"/>
      <c r="G59" s="91">
        <f>ROUND(G3+G34-G58,5)</f>
        <v>116200.91</v>
      </c>
    </row>
    <row r="60" spans="1:7" ht="30" customHeight="1" x14ac:dyDescent="0.25">
      <c r="A60" s="90"/>
      <c r="B60" s="90" t="s">
        <v>116</v>
      </c>
      <c r="C60" s="90"/>
      <c r="D60" s="90"/>
      <c r="E60" s="90"/>
      <c r="F60" s="90"/>
      <c r="G60" s="91"/>
    </row>
    <row r="61" spans="1:7" x14ac:dyDescent="0.25">
      <c r="A61" s="90"/>
      <c r="B61" s="90"/>
      <c r="C61" s="90" t="s">
        <v>119</v>
      </c>
      <c r="D61" s="90"/>
      <c r="E61" s="90"/>
      <c r="F61" s="90"/>
      <c r="G61" s="91"/>
    </row>
    <row r="62" spans="1:7" x14ac:dyDescent="0.25">
      <c r="A62" s="90"/>
      <c r="B62" s="90"/>
      <c r="C62" s="90"/>
      <c r="D62" s="90" t="s">
        <v>121</v>
      </c>
      <c r="E62" s="90"/>
      <c r="F62" s="90"/>
      <c r="G62" s="91">
        <v>4628.5</v>
      </c>
    </row>
    <row r="63" spans="1:7" ht="15.75" thickBot="1" x14ac:dyDescent="0.3">
      <c r="A63" s="90"/>
      <c r="B63" s="90"/>
      <c r="C63" s="90"/>
      <c r="D63" s="90" t="s">
        <v>122</v>
      </c>
      <c r="E63" s="90"/>
      <c r="F63" s="90"/>
      <c r="G63" s="93">
        <v>335.52</v>
      </c>
    </row>
    <row r="64" spans="1:7" ht="15.75" thickBot="1" x14ac:dyDescent="0.3">
      <c r="A64" s="90"/>
      <c r="B64" s="90"/>
      <c r="C64" s="90" t="s">
        <v>123</v>
      </c>
      <c r="D64" s="90"/>
      <c r="E64" s="90"/>
      <c r="F64" s="90"/>
      <c r="G64" s="94">
        <f>ROUND(SUM(G61:G63),5)</f>
        <v>4964.0200000000004</v>
      </c>
    </row>
    <row r="65" spans="1:7" ht="30" customHeight="1" thickBot="1" x14ac:dyDescent="0.3">
      <c r="A65" s="90"/>
      <c r="B65" s="90" t="s">
        <v>124</v>
      </c>
      <c r="C65" s="90"/>
      <c r="D65" s="90"/>
      <c r="E65" s="90"/>
      <c r="F65" s="90"/>
      <c r="G65" s="94">
        <f>ROUND(G60-G64,5)</f>
        <v>-4964.0200000000004</v>
      </c>
    </row>
    <row r="66" spans="1:7" s="97" customFormat="1" ht="30" customHeight="1" thickBot="1" x14ac:dyDescent="0.25">
      <c r="A66" s="90" t="s">
        <v>125</v>
      </c>
      <c r="B66" s="90"/>
      <c r="C66" s="90"/>
      <c r="D66" s="90"/>
      <c r="E66" s="90"/>
      <c r="F66" s="90"/>
      <c r="G66" s="96">
        <f>ROUND(G59+G65,5)</f>
        <v>111236.89</v>
      </c>
    </row>
    <row r="67" spans="1:7" ht="15.75" thickTop="1" x14ac:dyDescent="0.25"/>
  </sheetData>
  <mergeCells count="1">
    <mergeCell ref="L3:M3"/>
  </mergeCells>
  <pageMargins left="0.7" right="0.7" top="0.75" bottom="0.75" header="0.25" footer="0.3"/>
  <pageSetup orientation="portrait" horizontalDpi="4294967292" verticalDpi="0" r:id="rId1"/>
  <headerFooter>
    <oddHeader>&amp;L&amp;"Arial,Bold"&amp;8 6:01 AM
&amp;"Arial,Bold"&amp;8 03/16/15
&amp;"Arial,Bold"&amp;8 Accrual Basis&amp;C&amp;"Arial,Bold"&amp;12 CIS INTERNATIONAL HOLDINGS (N.A)  CORP.
&amp;"Arial,Bold"&amp;14 Profit &amp;&amp; Loss
&amp;"Arial,Bold"&amp;10 January 2 - 29, 2015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73730" r:id="rId4" name="HEADER">
          <controlPr defaultSize="0" autoLin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5</xdr:col>
                <xdr:colOff>95250</xdr:colOff>
                <xdr:row>2</xdr:row>
                <xdr:rowOff>28575</xdr:rowOff>
              </to>
            </anchor>
          </controlPr>
        </control>
      </mc:Choice>
      <mc:Fallback>
        <control shapeId="73730" r:id="rId4" name="HEADER"/>
      </mc:Fallback>
    </mc:AlternateContent>
    <mc:AlternateContent xmlns:mc="http://schemas.openxmlformats.org/markup-compatibility/2006">
      <mc:Choice Requires="x14">
        <control shapeId="73729" r:id="rId6" name="FILTER">
          <controlPr defaultSize="0" autoLine="0" r:id="rId7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5</xdr:col>
                <xdr:colOff>95250</xdr:colOff>
                <xdr:row>2</xdr:row>
                <xdr:rowOff>28575</xdr:rowOff>
              </to>
            </anchor>
          </controlPr>
        </control>
      </mc:Choice>
      <mc:Fallback>
        <control shapeId="73729" r:id="rId6" name="FILTER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zoomScaleNormal="100" workbookViewId="0">
      <selection activeCell="G11" sqref="G11"/>
    </sheetView>
  </sheetViews>
  <sheetFormatPr defaultRowHeight="15" x14ac:dyDescent="0.25"/>
  <cols>
    <col min="1" max="1" width="41.85546875" customWidth="1"/>
    <col min="2" max="2" width="18.140625" customWidth="1"/>
    <col min="3" max="3" width="15" customWidth="1"/>
    <col min="4" max="4" width="13.5703125" customWidth="1"/>
  </cols>
  <sheetData>
    <row r="1" spans="1:5" ht="31.5" x14ac:dyDescent="0.3">
      <c r="A1" s="8" t="s">
        <v>21</v>
      </c>
      <c r="B1" s="23" t="s">
        <v>22</v>
      </c>
      <c r="C1" s="7"/>
      <c r="D1" s="7"/>
      <c r="E1" s="6"/>
    </row>
    <row r="2" spans="1:5" ht="23.25" x14ac:dyDescent="0.3">
      <c r="A2" s="10" t="s">
        <v>23</v>
      </c>
      <c r="B2" s="23" t="s">
        <v>24</v>
      </c>
      <c r="C2" s="7"/>
      <c r="D2" s="7"/>
      <c r="E2" s="6"/>
    </row>
    <row r="3" spans="1:5" x14ac:dyDescent="0.25">
      <c r="A3" s="7"/>
      <c r="B3" s="26" t="s">
        <v>25</v>
      </c>
      <c r="C3" s="24"/>
      <c r="D3" s="24"/>
      <c r="E3" s="6"/>
    </row>
    <row r="4" spans="1:5" ht="18.75" x14ac:dyDescent="0.25">
      <c r="A4" s="11" t="s">
        <v>26</v>
      </c>
      <c r="B4" s="15" t="s">
        <v>27</v>
      </c>
      <c r="C4" s="15" t="s">
        <v>27</v>
      </c>
      <c r="D4" s="16"/>
      <c r="E4" s="6"/>
    </row>
    <row r="5" spans="1:5" ht="18.75" x14ac:dyDescent="0.3">
      <c r="A5" s="14"/>
      <c r="B5" s="17">
        <v>2012</v>
      </c>
      <c r="C5" s="17">
        <v>2013</v>
      </c>
      <c r="D5" s="17">
        <v>2014</v>
      </c>
      <c r="E5" s="6"/>
    </row>
    <row r="6" spans="1:5" x14ac:dyDescent="0.25">
      <c r="A6" s="27"/>
      <c r="B6" s="28" t="s">
        <v>5</v>
      </c>
      <c r="C6" s="29" t="s">
        <v>5</v>
      </c>
      <c r="D6" s="30" t="s">
        <v>16</v>
      </c>
      <c r="E6" s="6"/>
    </row>
    <row r="7" spans="1:5" x14ac:dyDescent="0.25">
      <c r="A7" s="31" t="s">
        <v>6</v>
      </c>
      <c r="B7" s="32">
        <v>5025768.67</v>
      </c>
      <c r="C7" s="33">
        <f>SUM('P&amp;L''13 LA'!G12)</f>
        <v>5922987.4400000004</v>
      </c>
      <c r="D7" s="34">
        <v>7700000</v>
      </c>
      <c r="E7" s="6"/>
    </row>
    <row r="8" spans="1:5" x14ac:dyDescent="0.25">
      <c r="A8" s="31" t="s">
        <v>28</v>
      </c>
      <c r="B8" s="32">
        <v>2441904.2699999996</v>
      </c>
      <c r="C8" s="33">
        <f>SUM('P&amp;L''13 LA'!G41-'P&amp;L''13 LA'!G29-'P&amp;L''13 LA'!G34)</f>
        <v>2377341.81</v>
      </c>
      <c r="D8" s="35">
        <f>SUM(D7*C9)</f>
        <v>3090591.0442045443</v>
      </c>
      <c r="E8" s="6"/>
    </row>
    <row r="9" spans="1:5" x14ac:dyDescent="0.25">
      <c r="A9" s="31" t="s">
        <v>29</v>
      </c>
      <c r="B9" s="18">
        <f>SUM(B8/B7)</f>
        <v>0.48587677434823112</v>
      </c>
      <c r="C9" s="18">
        <f>SUM(C8/C7)</f>
        <v>0.40137546028630444</v>
      </c>
      <c r="D9" s="18">
        <f>SUM(D8/D7)</f>
        <v>0.40137546028630444</v>
      </c>
      <c r="E9" s="6"/>
    </row>
    <row r="10" spans="1:5" x14ac:dyDescent="0.25">
      <c r="A10" s="31" t="s">
        <v>17</v>
      </c>
      <c r="B10" s="32">
        <v>809832.65</v>
      </c>
      <c r="C10" s="36">
        <f>SUM('P&amp;L''13 LA'!G29)</f>
        <v>958042.61</v>
      </c>
      <c r="D10" s="37">
        <f>SUM(C11*D7)</f>
        <v>1245474.2090420504</v>
      </c>
      <c r="E10" s="6"/>
    </row>
    <row r="11" spans="1:5" x14ac:dyDescent="0.25">
      <c r="A11" s="31" t="s">
        <v>0</v>
      </c>
      <c r="B11" s="19">
        <f>SUM(B10/B7)</f>
        <v>0.16113607751866543</v>
      </c>
      <c r="C11" s="19">
        <f>SUM(C10/C7)</f>
        <v>0.16174989727818836</v>
      </c>
      <c r="D11" s="19">
        <f>SUM(D10/D7)</f>
        <v>0.16174989727818836</v>
      </c>
      <c r="E11" s="6"/>
    </row>
    <row r="12" spans="1:5" x14ac:dyDescent="0.25">
      <c r="A12" s="31" t="s">
        <v>30</v>
      </c>
      <c r="B12" s="43">
        <v>3266750</v>
      </c>
      <c r="C12" s="43">
        <f>SUM(C8+C10)</f>
        <v>3335384.42</v>
      </c>
      <c r="D12" s="43">
        <f>SUM(C13*D7)</f>
        <v>4336065.2532465942</v>
      </c>
      <c r="E12" s="6"/>
    </row>
    <row r="13" spans="1:5" x14ac:dyDescent="0.25">
      <c r="A13" s="31" t="s">
        <v>31</v>
      </c>
      <c r="B13" s="18">
        <f>SUM(B12/B7)</f>
        <v>0.65000007252621916</v>
      </c>
      <c r="C13" s="18">
        <f>SUM(C12/C7)</f>
        <v>0.56312535756449278</v>
      </c>
      <c r="D13" s="18">
        <f>SUM(D12/D7)</f>
        <v>0.56312535756449278</v>
      </c>
      <c r="E13" s="6"/>
    </row>
    <row r="14" spans="1:5" x14ac:dyDescent="0.25">
      <c r="A14" s="31" t="s">
        <v>10</v>
      </c>
      <c r="B14" s="32">
        <v>340018.94</v>
      </c>
      <c r="C14" s="38">
        <f>SUM('P&amp;L''13 LA'!G34)</f>
        <v>363355.23</v>
      </c>
      <c r="D14" s="35">
        <f>SUM(C15*D7)</f>
        <v>472368.93532902712</v>
      </c>
      <c r="E14" s="6"/>
    </row>
    <row r="15" spans="1:5" x14ac:dyDescent="0.25">
      <c r="A15" s="31" t="s">
        <v>1</v>
      </c>
      <c r="B15" s="20">
        <f>SUM(B14/B7)</f>
        <v>6.7655111551324143E-2</v>
      </c>
      <c r="C15" s="20">
        <f>SUM(C14/C7)</f>
        <v>6.1346614977795727E-2</v>
      </c>
      <c r="D15" s="20">
        <f>SUM(D14/D7)</f>
        <v>6.1346614977795727E-2</v>
      </c>
      <c r="E15" s="6"/>
    </row>
    <row r="16" spans="1:5" x14ac:dyDescent="0.25">
      <c r="A16" s="31" t="s">
        <v>11</v>
      </c>
      <c r="B16" s="32">
        <v>420933.95</v>
      </c>
      <c r="C16" s="32">
        <f>SUM('P&amp;L''13 LA'!G63+'P&amp;L''13 LA'!G68)</f>
        <v>522036.93</v>
      </c>
      <c r="D16" s="35">
        <f>SUM(C17*D7)</f>
        <v>665786.81416128553</v>
      </c>
      <c r="E16" s="6"/>
    </row>
    <row r="17" spans="1:5" x14ac:dyDescent="0.25">
      <c r="A17" s="31" t="s">
        <v>2</v>
      </c>
      <c r="B17" s="20">
        <f>SUM(B16/B7)</f>
        <v>8.3755138296088744E-2</v>
      </c>
      <c r="C17" s="20">
        <v>8.6465820020946174E-2</v>
      </c>
      <c r="D17" s="20">
        <v>8.6465820020946174E-2</v>
      </c>
      <c r="E17" s="6"/>
    </row>
    <row r="18" spans="1:5" x14ac:dyDescent="0.25">
      <c r="A18" s="31" t="s">
        <v>19</v>
      </c>
      <c r="B18" s="44">
        <f>SUM(B14+B16)</f>
        <v>760952.89</v>
      </c>
      <c r="C18" s="44">
        <f>SUM(C14+C16)</f>
        <v>885392.15999999992</v>
      </c>
      <c r="D18" s="44">
        <f>SUM(C19*D7)</f>
        <v>1151027.1971807524</v>
      </c>
      <c r="E18" s="6"/>
    </row>
    <row r="19" spans="1:5" x14ac:dyDescent="0.25">
      <c r="A19" s="31" t="s">
        <v>3</v>
      </c>
      <c r="B19" s="20">
        <f>SUM(B18/B7)</f>
        <v>0.15141024984741289</v>
      </c>
      <c r="C19" s="20">
        <f>SUM(C18/C7)</f>
        <v>0.14948405158191588</v>
      </c>
      <c r="D19" s="20">
        <f>SUM(D18/D7)</f>
        <v>0.14948405158191591</v>
      </c>
      <c r="E19" s="6"/>
    </row>
    <row r="20" spans="1:5" x14ac:dyDescent="0.25">
      <c r="A20" s="31"/>
      <c r="B20" s="39"/>
      <c r="C20" s="40"/>
      <c r="D20" s="41"/>
      <c r="E20" s="6"/>
    </row>
    <row r="21" spans="1:5" x14ac:dyDescent="0.25">
      <c r="A21" s="31" t="s">
        <v>4</v>
      </c>
      <c r="B21" s="39">
        <v>925408.18</v>
      </c>
      <c r="C21" s="32">
        <f>SUM('P&amp;L''13 LA'!G76+'P&amp;L''13 LA'!G86-'P&amp;L''13 LA'!G81-'Summary-LA'!C16)</f>
        <v>1281018.83</v>
      </c>
      <c r="D21" s="35">
        <f>SUM(C22*D7)</f>
        <v>1665349.6383237308</v>
      </c>
      <c r="E21" s="6"/>
    </row>
    <row r="22" spans="1:5" x14ac:dyDescent="0.25">
      <c r="A22" s="31" t="s">
        <v>7</v>
      </c>
      <c r="B22" s="20">
        <f>SUM(B21/B7)</f>
        <v>0.184132665222731</v>
      </c>
      <c r="C22" s="20">
        <f>SUM(C21/C7)</f>
        <v>0.21627917380827671</v>
      </c>
      <c r="D22" s="20">
        <f>SUM(D21/D7)</f>
        <v>0.21627917380827671</v>
      </c>
      <c r="E22" s="6"/>
    </row>
    <row r="23" spans="1:5" x14ac:dyDescent="0.25">
      <c r="A23" s="31"/>
      <c r="B23" s="39"/>
      <c r="C23" s="40"/>
      <c r="D23" s="41"/>
      <c r="E23" s="6"/>
    </row>
    <row r="24" spans="1:5" x14ac:dyDescent="0.25">
      <c r="A24" s="31" t="s">
        <v>32</v>
      </c>
      <c r="B24" s="39">
        <v>88199.62</v>
      </c>
      <c r="C24" s="32">
        <f>SUM('P&amp;L''13 LA'!G88)</f>
        <v>421192.03</v>
      </c>
      <c r="D24" s="37">
        <f>SUM(C25*D7)</f>
        <v>547557.91124892212</v>
      </c>
      <c r="E24" s="6"/>
    </row>
    <row r="25" spans="1:5" x14ac:dyDescent="0.25">
      <c r="A25" s="42" t="s">
        <v>33</v>
      </c>
      <c r="B25" s="61">
        <f>SUM(B24/B7)</f>
        <v>1.7549478655172562E-2</v>
      </c>
      <c r="C25" s="21">
        <f>SUM(C24/C7)</f>
        <v>7.1111417045314554E-2</v>
      </c>
      <c r="D25" s="21">
        <f>SUM(D24/D7)</f>
        <v>7.1111417045314554E-2</v>
      </c>
      <c r="E25" s="6"/>
    </row>
    <row r="26" spans="1:5" x14ac:dyDescent="0.25">
      <c r="A26" s="12" t="s">
        <v>34</v>
      </c>
      <c r="B26" s="22" t="s">
        <v>35</v>
      </c>
      <c r="C26" s="25">
        <f>SUM(C7-C12-C18-C21)</f>
        <v>421192.03000000049</v>
      </c>
      <c r="D26" s="25">
        <f>SUM(D7-D12-D18-D21)</f>
        <v>547557.91124892235</v>
      </c>
      <c r="E26" s="6"/>
    </row>
    <row r="27" spans="1:5" x14ac:dyDescent="0.25">
      <c r="A27" s="7"/>
      <c r="B27" s="247" t="s">
        <v>36</v>
      </c>
      <c r="C27" s="247"/>
      <c r="D27" s="7"/>
      <c r="E27" s="6"/>
    </row>
    <row r="28" spans="1:5" ht="15.75" thickBot="1" x14ac:dyDescent="0.3">
      <c r="A28" s="7"/>
      <c r="B28" s="13">
        <v>237313.14</v>
      </c>
      <c r="C28" s="9"/>
      <c r="D28" s="7"/>
      <c r="E28" s="6"/>
    </row>
    <row r="29" spans="1:5" x14ac:dyDescent="0.25">
      <c r="A29" s="6"/>
      <c r="B29" s="6"/>
      <c r="C29" s="6"/>
      <c r="D29" s="6"/>
      <c r="E29" s="6"/>
    </row>
  </sheetData>
  <mergeCells count="1">
    <mergeCell ref="B27:C2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0"/>
  <sheetViews>
    <sheetView topLeftCell="D1" workbookViewId="0">
      <selection activeCell="N12" sqref="N12"/>
    </sheetView>
  </sheetViews>
  <sheetFormatPr defaultRowHeight="15" x14ac:dyDescent="0.25"/>
  <cols>
    <col min="6" max="6" width="27.7109375" customWidth="1"/>
    <col min="7" max="7" width="14.5703125" customWidth="1"/>
    <col min="8" max="8" width="9.140625" style="78"/>
    <col min="9" max="9" width="11.5703125" style="78" bestFit="1" customWidth="1"/>
    <col min="10" max="10" width="13.140625" style="78" customWidth="1"/>
    <col min="13" max="13" width="13.28515625" customWidth="1"/>
  </cols>
  <sheetData>
    <row r="1" spans="1:43" ht="15.75" thickBot="1" x14ac:dyDescent="0.3">
      <c r="A1" s="45"/>
      <c r="B1" s="45"/>
      <c r="C1" s="45"/>
      <c r="D1" s="45"/>
      <c r="E1" s="45"/>
      <c r="F1" s="45"/>
      <c r="G1" s="46" t="s">
        <v>37</v>
      </c>
      <c r="H1" s="77" t="s">
        <v>38</v>
      </c>
      <c r="I1" s="77"/>
      <c r="J1" s="82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</row>
    <row r="2" spans="1:43" ht="15.75" thickTop="1" x14ac:dyDescent="0.25">
      <c r="A2" s="48"/>
      <c r="B2" s="48" t="s">
        <v>39</v>
      </c>
      <c r="C2" s="48"/>
      <c r="D2" s="48"/>
      <c r="E2" s="48"/>
      <c r="F2" s="48"/>
      <c r="G2" s="49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</row>
    <row r="3" spans="1:43" x14ac:dyDescent="0.25">
      <c r="A3" s="48"/>
      <c r="B3" s="48"/>
      <c r="C3" s="48"/>
      <c r="D3" s="48" t="s">
        <v>40</v>
      </c>
      <c r="E3" s="48"/>
      <c r="F3" s="48"/>
      <c r="G3" s="49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</row>
    <row r="4" spans="1:43" x14ac:dyDescent="0.25">
      <c r="A4" s="48"/>
      <c r="B4" s="48"/>
      <c r="C4" s="48"/>
      <c r="D4" s="48"/>
      <c r="E4" s="48" t="s">
        <v>41</v>
      </c>
      <c r="F4" s="48"/>
      <c r="G4" s="49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</row>
    <row r="5" spans="1:43" x14ac:dyDescent="0.25">
      <c r="A5" s="48"/>
      <c r="B5" s="48"/>
      <c r="C5" s="48"/>
      <c r="D5" s="48"/>
      <c r="E5" s="48"/>
      <c r="F5" s="48" t="s">
        <v>42</v>
      </c>
      <c r="G5" s="49">
        <v>0</v>
      </c>
      <c r="H5" s="79"/>
      <c r="I5" s="79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</row>
    <row r="6" spans="1:43" ht="15.75" thickBot="1" x14ac:dyDescent="0.3">
      <c r="A6" s="48"/>
      <c r="B6" s="48"/>
      <c r="C6" s="48"/>
      <c r="D6" s="48"/>
      <c r="E6" s="48"/>
      <c r="F6" s="48" t="s">
        <v>43</v>
      </c>
      <c r="G6" s="50">
        <v>-101381.02</v>
      </c>
      <c r="H6" s="79"/>
      <c r="I6" s="79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</row>
    <row r="7" spans="1:43" x14ac:dyDescent="0.25">
      <c r="A7" s="48"/>
      <c r="B7" s="48"/>
      <c r="C7" s="48"/>
      <c r="D7" s="48"/>
      <c r="E7" s="48" t="s">
        <v>44</v>
      </c>
      <c r="F7" s="48"/>
      <c r="G7" s="49">
        <f>ROUND(SUM(G4:G6),5)</f>
        <v>-101381.02</v>
      </c>
      <c r="H7" s="79"/>
      <c r="I7" s="79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</row>
    <row r="8" spans="1:43" x14ac:dyDescent="0.25">
      <c r="A8" s="48"/>
      <c r="B8" s="48"/>
      <c r="C8" s="48"/>
      <c r="D8" s="48"/>
      <c r="E8" s="48" t="s">
        <v>45</v>
      </c>
      <c r="F8" s="48"/>
      <c r="G8" s="49">
        <v>561573.5</v>
      </c>
      <c r="H8" s="79"/>
      <c r="I8" s="79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</row>
    <row r="9" spans="1:43" x14ac:dyDescent="0.25">
      <c r="A9" s="48"/>
      <c r="B9" s="48"/>
      <c r="C9" s="48"/>
      <c r="D9" s="48"/>
      <c r="E9" s="48" t="s">
        <v>46</v>
      </c>
      <c r="F9" s="48"/>
      <c r="G9" s="49">
        <v>11554.66</v>
      </c>
      <c r="H9" s="79"/>
      <c r="I9" s="79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</row>
    <row r="10" spans="1:43" x14ac:dyDescent="0.25">
      <c r="A10" s="48"/>
      <c r="B10" s="48"/>
      <c r="C10" s="48"/>
      <c r="D10" s="48"/>
      <c r="E10" s="48" t="s">
        <v>47</v>
      </c>
      <c r="F10" s="48"/>
      <c r="G10" s="49">
        <v>5438037.0499999998</v>
      </c>
      <c r="H10" s="79"/>
      <c r="I10" s="79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</row>
    <row r="11" spans="1:43" ht="15.75" thickBot="1" x14ac:dyDescent="0.3">
      <c r="A11" s="48"/>
      <c r="B11" s="48"/>
      <c r="C11" s="48"/>
      <c r="D11" s="48"/>
      <c r="E11" s="48" t="s">
        <v>48</v>
      </c>
      <c r="F11" s="48"/>
      <c r="G11" s="50">
        <v>13203.25</v>
      </c>
      <c r="H11" s="79"/>
      <c r="I11" s="79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</row>
    <row r="12" spans="1:43" x14ac:dyDescent="0.25">
      <c r="A12" s="48"/>
      <c r="B12" s="48"/>
      <c r="C12" s="48"/>
      <c r="D12" s="48" t="s">
        <v>49</v>
      </c>
      <c r="E12" s="48"/>
      <c r="F12" s="48"/>
      <c r="G12" s="49">
        <f>ROUND(G3+SUM(G7:G11),5)</f>
        <v>5922987.4400000004</v>
      </c>
      <c r="H12" s="79"/>
      <c r="I12" s="85">
        <f>SUM(G12/12)</f>
        <v>493582.28666666668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</row>
    <row r="13" spans="1:43" x14ac:dyDescent="0.25">
      <c r="A13" s="48"/>
      <c r="B13" s="48"/>
      <c r="C13" s="48"/>
      <c r="D13" s="48" t="s">
        <v>50</v>
      </c>
      <c r="E13" s="48"/>
      <c r="F13" s="48"/>
      <c r="G13" s="49"/>
      <c r="H13" s="79"/>
      <c r="I13" s="85">
        <f t="shared" ref="I13:I76" si="0">SUM(G13/12)</f>
        <v>0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</row>
    <row r="14" spans="1:43" x14ac:dyDescent="0.25">
      <c r="A14" s="48"/>
      <c r="B14" s="48"/>
      <c r="C14" s="48"/>
      <c r="D14" s="48"/>
      <c r="E14" s="48" t="s">
        <v>51</v>
      </c>
      <c r="F14" s="48"/>
      <c r="G14" s="49">
        <v>5436.73</v>
      </c>
      <c r="H14" s="79"/>
      <c r="I14" s="85">
        <f t="shared" si="0"/>
        <v>453.06083333333328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</row>
    <row r="15" spans="1:43" x14ac:dyDescent="0.25">
      <c r="A15" s="48"/>
      <c r="B15" s="48"/>
      <c r="C15" s="48"/>
      <c r="D15" s="48"/>
      <c r="E15" s="48" t="s">
        <v>52</v>
      </c>
      <c r="F15" s="48"/>
      <c r="G15" s="49">
        <v>22962.36</v>
      </c>
      <c r="H15" s="79"/>
      <c r="I15" s="85">
        <f t="shared" si="0"/>
        <v>1913.53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</row>
    <row r="16" spans="1:43" x14ac:dyDescent="0.25">
      <c r="A16" s="48"/>
      <c r="B16" s="48"/>
      <c r="C16" s="48"/>
      <c r="D16" s="48"/>
      <c r="E16" s="48" t="s">
        <v>53</v>
      </c>
      <c r="F16" s="48"/>
      <c r="G16" s="49">
        <v>30357.29</v>
      </c>
      <c r="H16" s="79"/>
      <c r="I16" s="85">
        <f t="shared" si="0"/>
        <v>2529.7741666666666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</row>
    <row r="17" spans="1:43" x14ac:dyDescent="0.25">
      <c r="A17" s="48"/>
      <c r="B17" s="48"/>
      <c r="C17" s="48"/>
      <c r="D17" s="48"/>
      <c r="E17" s="48" t="s">
        <v>54</v>
      </c>
      <c r="F17" s="48"/>
      <c r="G17" s="49"/>
      <c r="H17" s="79"/>
      <c r="I17" s="85">
        <f t="shared" si="0"/>
        <v>0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</row>
    <row r="18" spans="1:43" x14ac:dyDescent="0.25">
      <c r="A18" s="48"/>
      <c r="B18" s="48"/>
      <c r="C18" s="48"/>
      <c r="D18" s="48"/>
      <c r="E18" s="48"/>
      <c r="F18" s="48" t="s">
        <v>42</v>
      </c>
      <c r="G18" s="49">
        <v>-8638.7000000000007</v>
      </c>
      <c r="H18" s="79"/>
      <c r="I18" s="85">
        <f t="shared" si="0"/>
        <v>-719.89166666666677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</row>
    <row r="19" spans="1:43" x14ac:dyDescent="0.25">
      <c r="A19" s="48"/>
      <c r="B19" s="48"/>
      <c r="C19" s="48"/>
      <c r="D19" s="48"/>
      <c r="E19" s="48"/>
      <c r="F19" s="48" t="s">
        <v>55</v>
      </c>
      <c r="G19" s="49">
        <v>199132.53</v>
      </c>
      <c r="H19" s="79"/>
      <c r="I19" s="85">
        <f t="shared" si="0"/>
        <v>16594.377499999999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</row>
    <row r="20" spans="1:43" ht="15.75" thickBot="1" x14ac:dyDescent="0.3">
      <c r="A20" s="48"/>
      <c r="B20" s="48"/>
      <c r="C20" s="48"/>
      <c r="D20" s="48"/>
      <c r="E20" s="48"/>
      <c r="F20" s="48" t="s">
        <v>56</v>
      </c>
      <c r="G20" s="50">
        <v>1577355.18</v>
      </c>
      <c r="H20" s="79"/>
      <c r="I20" s="85">
        <f t="shared" si="0"/>
        <v>131446.26499999998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</row>
    <row r="21" spans="1:43" x14ac:dyDescent="0.25">
      <c r="A21" s="48"/>
      <c r="B21" s="48"/>
      <c r="C21" s="48"/>
      <c r="D21" s="48"/>
      <c r="E21" s="48" t="s">
        <v>57</v>
      </c>
      <c r="F21" s="48"/>
      <c r="G21" s="49">
        <f>ROUND(SUM(G17:G20),5)</f>
        <v>1767849.01</v>
      </c>
      <c r="H21" s="79"/>
      <c r="I21" s="85">
        <f t="shared" si="0"/>
        <v>147320.75083333332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</row>
    <row r="22" spans="1:43" x14ac:dyDescent="0.25">
      <c r="A22" s="48"/>
      <c r="B22" s="48"/>
      <c r="C22" s="48"/>
      <c r="D22" s="48"/>
      <c r="E22" s="48" t="s">
        <v>58</v>
      </c>
      <c r="F22" s="48"/>
      <c r="G22" s="49"/>
      <c r="H22" s="79"/>
      <c r="I22" s="85">
        <f t="shared" si="0"/>
        <v>0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</row>
    <row r="23" spans="1:43" x14ac:dyDescent="0.25">
      <c r="A23" s="48"/>
      <c r="B23" s="48"/>
      <c r="C23" s="48"/>
      <c r="D23" s="48"/>
      <c r="E23" s="48"/>
      <c r="F23" s="48" t="s">
        <v>59</v>
      </c>
      <c r="G23" s="49">
        <v>40471.24</v>
      </c>
      <c r="H23" s="79"/>
      <c r="I23" s="85">
        <f t="shared" si="0"/>
        <v>3372.603333333333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</row>
    <row r="24" spans="1:43" x14ac:dyDescent="0.25">
      <c r="A24" s="48"/>
      <c r="B24" s="48"/>
      <c r="C24" s="48"/>
      <c r="D24" s="48"/>
      <c r="E24" s="48"/>
      <c r="F24" s="48" t="s">
        <v>60</v>
      </c>
      <c r="G24" s="55">
        <v>8399.76</v>
      </c>
      <c r="H24" s="79"/>
      <c r="I24" s="85">
        <f t="shared" si="0"/>
        <v>699.98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</row>
    <row r="25" spans="1:43" x14ac:dyDescent="0.25">
      <c r="A25" s="48"/>
      <c r="B25" s="48"/>
      <c r="C25" s="48"/>
      <c r="D25" s="48"/>
      <c r="E25" s="48"/>
      <c r="F25" s="48" t="s">
        <v>61</v>
      </c>
      <c r="G25" s="49">
        <v>826306.41</v>
      </c>
      <c r="H25" s="79"/>
      <c r="I25" s="85">
        <f t="shared" si="0"/>
        <v>68858.867500000008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</row>
    <row r="26" spans="1:43" x14ac:dyDescent="0.25">
      <c r="A26" s="48"/>
      <c r="B26" s="48"/>
      <c r="C26" s="48"/>
      <c r="D26" s="48"/>
      <c r="E26" s="48"/>
      <c r="F26" s="48" t="s">
        <v>62</v>
      </c>
      <c r="G26" s="49">
        <v>-46.38</v>
      </c>
      <c r="H26" s="79"/>
      <c r="I26" s="85">
        <f t="shared" si="0"/>
        <v>-3.8650000000000002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</row>
    <row r="27" spans="1:43" x14ac:dyDescent="0.25">
      <c r="A27" s="48"/>
      <c r="B27" s="48"/>
      <c r="C27" s="48"/>
      <c r="D27" s="48"/>
      <c r="E27" s="48"/>
      <c r="F27" s="48" t="s">
        <v>63</v>
      </c>
      <c r="G27" s="49">
        <v>35347.269999999997</v>
      </c>
      <c r="H27" s="79"/>
      <c r="I27" s="85">
        <f t="shared" si="0"/>
        <v>2945.6058333333331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</row>
    <row r="28" spans="1:43" ht="15.75" thickBot="1" x14ac:dyDescent="0.3">
      <c r="A28" s="48"/>
      <c r="B28" s="48"/>
      <c r="C28" s="48"/>
      <c r="D28" s="48"/>
      <c r="E28" s="48"/>
      <c r="F28" s="48" t="s">
        <v>64</v>
      </c>
      <c r="G28" s="50">
        <v>47564.31</v>
      </c>
      <c r="H28" s="79"/>
      <c r="I28" s="85">
        <f t="shared" si="0"/>
        <v>3963.6924999999997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</row>
    <row r="29" spans="1:43" x14ac:dyDescent="0.25">
      <c r="A29" s="48"/>
      <c r="B29" s="48"/>
      <c r="C29" s="48"/>
      <c r="D29" s="48"/>
      <c r="E29" s="48" t="s">
        <v>65</v>
      </c>
      <c r="F29" s="48"/>
      <c r="G29" s="49">
        <f>ROUND(SUM(G22:G28),5)</f>
        <v>958042.61</v>
      </c>
      <c r="H29" s="79"/>
      <c r="I29" s="85">
        <f t="shared" si="0"/>
        <v>79836.88416666667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</row>
    <row r="30" spans="1:43" x14ac:dyDescent="0.25">
      <c r="A30" s="48"/>
      <c r="B30" s="48"/>
      <c r="C30" s="48"/>
      <c r="D30" s="48"/>
      <c r="E30" s="48" t="s">
        <v>66</v>
      </c>
      <c r="F30" s="48"/>
      <c r="G30" s="49">
        <v>18377.5</v>
      </c>
      <c r="H30" s="79"/>
      <c r="I30" s="85">
        <f t="shared" si="0"/>
        <v>1531.4583333333333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</row>
    <row r="31" spans="1:43" x14ac:dyDescent="0.25">
      <c r="A31" s="48"/>
      <c r="B31" s="48"/>
      <c r="C31" s="48"/>
      <c r="D31" s="48"/>
      <c r="E31" s="48" t="s">
        <v>67</v>
      </c>
      <c r="F31" s="48"/>
      <c r="G31" s="49"/>
      <c r="H31" s="79"/>
      <c r="I31" s="85">
        <f t="shared" si="0"/>
        <v>0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</row>
    <row r="32" spans="1:43" x14ac:dyDescent="0.25">
      <c r="A32" s="48"/>
      <c r="B32" s="48"/>
      <c r="C32" s="48"/>
      <c r="D32" s="48"/>
      <c r="E32" s="48"/>
      <c r="F32" s="48" t="s">
        <v>68</v>
      </c>
      <c r="G32" s="49">
        <v>39275.79</v>
      </c>
      <c r="H32" s="79"/>
      <c r="I32" s="85">
        <f t="shared" si="0"/>
        <v>3272.9825000000001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</row>
    <row r="33" spans="1:43" ht="15.75" thickBot="1" x14ac:dyDescent="0.3">
      <c r="A33" s="48"/>
      <c r="B33" s="48"/>
      <c r="C33" s="48"/>
      <c r="D33" s="48"/>
      <c r="E33" s="48"/>
      <c r="F33" s="48" t="s">
        <v>69</v>
      </c>
      <c r="G33" s="51">
        <f>N33+O33+H33</f>
        <v>324079.44</v>
      </c>
      <c r="H33" s="80">
        <v>4331.62</v>
      </c>
      <c r="I33" s="85">
        <f t="shared" si="0"/>
        <v>27006.62</v>
      </c>
      <c r="K33" s="7"/>
      <c r="L33" s="7"/>
      <c r="M33" s="7"/>
      <c r="N33" s="7">
        <v>319747.82</v>
      </c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</row>
    <row r="34" spans="1:43" x14ac:dyDescent="0.25">
      <c r="A34" s="48"/>
      <c r="B34" s="48"/>
      <c r="C34" s="48"/>
      <c r="D34" s="48"/>
      <c r="E34" s="48" t="s">
        <v>70</v>
      </c>
      <c r="F34" s="48"/>
      <c r="G34" s="49">
        <f>ROUND(SUM(G31:G33),5)</f>
        <v>363355.23</v>
      </c>
      <c r="H34" s="80"/>
      <c r="I34" s="85">
        <f t="shared" si="0"/>
        <v>30279.602499999997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</row>
    <row r="35" spans="1:43" x14ac:dyDescent="0.25">
      <c r="A35" s="48"/>
      <c r="B35" s="48"/>
      <c r="C35" s="48"/>
      <c r="D35" s="48"/>
      <c r="E35" s="48" t="s">
        <v>71</v>
      </c>
      <c r="F35" s="48"/>
      <c r="G35" s="49"/>
      <c r="H35" s="80"/>
      <c r="I35" s="85">
        <f t="shared" si="0"/>
        <v>0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</row>
    <row r="36" spans="1:43" x14ac:dyDescent="0.25">
      <c r="A36" s="48"/>
      <c r="B36" s="48"/>
      <c r="C36" s="48"/>
      <c r="D36" s="48"/>
      <c r="E36" s="48"/>
      <c r="F36" s="48" t="s">
        <v>72</v>
      </c>
      <c r="G36" s="49">
        <v>24669.26</v>
      </c>
      <c r="H36" s="80"/>
      <c r="I36" s="85">
        <f t="shared" si="0"/>
        <v>2055.7716666666665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</row>
    <row r="37" spans="1:43" x14ac:dyDescent="0.25">
      <c r="A37" s="48"/>
      <c r="B37" s="48"/>
      <c r="C37" s="48"/>
      <c r="D37" s="48"/>
      <c r="E37" s="48"/>
      <c r="F37" s="48" t="s">
        <v>73</v>
      </c>
      <c r="G37" s="49">
        <v>80383.28</v>
      </c>
      <c r="H37" s="80"/>
      <c r="I37" s="85">
        <f t="shared" si="0"/>
        <v>6698.6066666666666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</row>
    <row r="38" spans="1:43" x14ac:dyDescent="0.25">
      <c r="A38" s="48"/>
      <c r="B38" s="48"/>
      <c r="C38" s="48"/>
      <c r="D38" s="48"/>
      <c r="E38" s="48"/>
      <c r="F38" s="48" t="s">
        <v>74</v>
      </c>
      <c r="G38" s="49">
        <v>67504.95</v>
      </c>
      <c r="H38" s="80"/>
      <c r="I38" s="85">
        <f t="shared" si="0"/>
        <v>5625.4124999999995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</row>
    <row r="39" spans="1:43" ht="15.75" thickBot="1" x14ac:dyDescent="0.3">
      <c r="A39" s="48"/>
      <c r="B39" s="48"/>
      <c r="C39" s="48"/>
      <c r="D39" s="48"/>
      <c r="E39" s="48"/>
      <c r="F39" s="48" t="s">
        <v>75</v>
      </c>
      <c r="G39" s="52">
        <v>359801.43</v>
      </c>
      <c r="H39" s="80"/>
      <c r="I39" s="85">
        <f t="shared" si="0"/>
        <v>29983.452499999999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</row>
    <row r="40" spans="1:43" ht="15.75" thickBot="1" x14ac:dyDescent="0.3">
      <c r="A40" s="48"/>
      <c r="B40" s="48"/>
      <c r="C40" s="48"/>
      <c r="D40" s="48"/>
      <c r="E40" s="48" t="s">
        <v>76</v>
      </c>
      <c r="F40" s="48"/>
      <c r="G40" s="53">
        <f>ROUND(SUM(G35:G39),5)</f>
        <v>532358.92000000004</v>
      </c>
      <c r="H40" s="80"/>
      <c r="I40" s="85">
        <f t="shared" si="0"/>
        <v>44363.243333333339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</row>
    <row r="41" spans="1:43" ht="15.75" thickBot="1" x14ac:dyDescent="0.3">
      <c r="A41" s="48"/>
      <c r="B41" s="48"/>
      <c r="C41" s="48"/>
      <c r="D41" s="48" t="s">
        <v>77</v>
      </c>
      <c r="E41" s="48"/>
      <c r="F41" s="48"/>
      <c r="G41" s="54">
        <f>ROUND(SUM(G13:G16)+G21+SUM(G29:G30)+G34+G40,5)</f>
        <v>3698739.65</v>
      </c>
      <c r="H41" s="80"/>
      <c r="I41" s="85">
        <f t="shared" si="0"/>
        <v>308228.30416666664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</row>
    <row r="42" spans="1:43" x14ac:dyDescent="0.25">
      <c r="A42" s="48"/>
      <c r="B42" s="48"/>
      <c r="C42" s="48" t="s">
        <v>78</v>
      </c>
      <c r="D42" s="48"/>
      <c r="E42" s="48"/>
      <c r="F42" s="48"/>
      <c r="G42" s="49">
        <f>ROUND(G12-G41,5)</f>
        <v>2224247.79</v>
      </c>
      <c r="H42" s="80"/>
      <c r="I42" s="85">
        <f t="shared" si="0"/>
        <v>185353.98250000001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</row>
    <row r="43" spans="1:43" x14ac:dyDescent="0.25">
      <c r="A43" s="48"/>
      <c r="B43" s="48"/>
      <c r="C43" s="48"/>
      <c r="D43" s="48" t="s">
        <v>79</v>
      </c>
      <c r="E43" s="48"/>
      <c r="F43" s="48"/>
      <c r="G43" s="49"/>
      <c r="H43" s="80"/>
      <c r="I43" s="85">
        <f t="shared" si="0"/>
        <v>0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</row>
    <row r="44" spans="1:43" x14ac:dyDescent="0.25">
      <c r="A44" s="48"/>
      <c r="B44" s="48"/>
      <c r="C44" s="48"/>
      <c r="D44" s="48"/>
      <c r="E44" s="48" t="s">
        <v>80</v>
      </c>
      <c r="F44" s="48"/>
      <c r="G44" s="49">
        <v>25</v>
      </c>
      <c r="H44" s="80"/>
      <c r="I44" s="85">
        <f t="shared" si="0"/>
        <v>2.0833333333333335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</row>
    <row r="45" spans="1:43" x14ac:dyDescent="0.25">
      <c r="A45" s="48"/>
      <c r="B45" s="48"/>
      <c r="C45" s="48"/>
      <c r="D45" s="48"/>
      <c r="E45" s="48" t="s">
        <v>81</v>
      </c>
      <c r="F45" s="48"/>
      <c r="G45" s="49">
        <v>69</v>
      </c>
      <c r="H45" s="80"/>
      <c r="I45" s="85">
        <f t="shared" si="0"/>
        <v>5.75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</row>
    <row r="46" spans="1:43" x14ac:dyDescent="0.25">
      <c r="A46" s="48"/>
      <c r="B46" s="48"/>
      <c r="C46" s="48"/>
      <c r="D46" s="48"/>
      <c r="E46" s="48" t="s">
        <v>82</v>
      </c>
      <c r="F46" s="48"/>
      <c r="G46" s="49">
        <v>370.34</v>
      </c>
      <c r="H46" s="80"/>
      <c r="I46" s="85">
        <f t="shared" si="0"/>
        <v>30.861666666666665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</row>
    <row r="47" spans="1:43" x14ac:dyDescent="0.25">
      <c r="A47" s="48"/>
      <c r="B47" s="48"/>
      <c r="C47" s="48"/>
      <c r="D47" s="48"/>
      <c r="E47" s="48" t="s">
        <v>83</v>
      </c>
      <c r="F47" s="48"/>
      <c r="G47" s="49">
        <v>14113.63</v>
      </c>
      <c r="H47" s="80"/>
      <c r="I47" s="85">
        <f t="shared" si="0"/>
        <v>1176.1358333333333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</row>
    <row r="48" spans="1:43" x14ac:dyDescent="0.25">
      <c r="A48" s="48"/>
      <c r="B48" s="48"/>
      <c r="C48" s="48"/>
      <c r="D48" s="48"/>
      <c r="E48" s="48" t="s">
        <v>84</v>
      </c>
      <c r="F48" s="48"/>
      <c r="G48" s="49">
        <v>11810.31</v>
      </c>
      <c r="H48" s="80"/>
      <c r="I48" s="85">
        <f t="shared" si="0"/>
        <v>984.1925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</row>
    <row r="49" spans="1:43" x14ac:dyDescent="0.25">
      <c r="A49" s="48"/>
      <c r="B49" s="48"/>
      <c r="C49" s="48"/>
      <c r="D49" s="48"/>
      <c r="E49" s="48" t="s">
        <v>85</v>
      </c>
      <c r="F49" s="48"/>
      <c r="G49" s="55">
        <f>34714.85+H49</f>
        <v>36139.85</v>
      </c>
      <c r="H49" s="80">
        <v>1425</v>
      </c>
      <c r="I49" s="85">
        <f t="shared" si="0"/>
        <v>3011.6541666666667</v>
      </c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</row>
    <row r="50" spans="1:43" x14ac:dyDescent="0.25">
      <c r="A50" s="48"/>
      <c r="B50" s="48"/>
      <c r="C50" s="48"/>
      <c r="D50" s="48"/>
      <c r="E50" s="48" t="s">
        <v>86</v>
      </c>
      <c r="F50" s="48"/>
      <c r="G50" s="49">
        <v>104440</v>
      </c>
      <c r="H50" s="80"/>
      <c r="I50" s="87">
        <f t="shared" si="0"/>
        <v>8703.3333333333339</v>
      </c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</row>
    <row r="51" spans="1:43" x14ac:dyDescent="0.25">
      <c r="A51" s="48"/>
      <c r="B51" s="48"/>
      <c r="C51" s="48"/>
      <c r="D51" s="48"/>
      <c r="E51" s="48" t="s">
        <v>87</v>
      </c>
      <c r="F51" s="48"/>
      <c r="G51" s="49">
        <v>1912</v>
      </c>
      <c r="H51" s="80"/>
      <c r="I51" s="85">
        <f t="shared" si="0"/>
        <v>159.33333333333334</v>
      </c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</row>
    <row r="52" spans="1:43" x14ac:dyDescent="0.25">
      <c r="A52" s="48"/>
      <c r="B52" s="48"/>
      <c r="C52" s="48"/>
      <c r="D52" s="48"/>
      <c r="E52" s="48" t="s">
        <v>88</v>
      </c>
      <c r="F52" s="48"/>
      <c r="G52" s="49">
        <v>6203.4</v>
      </c>
      <c r="H52" s="80"/>
      <c r="I52" s="85">
        <f t="shared" si="0"/>
        <v>516.94999999999993</v>
      </c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</row>
    <row r="53" spans="1:43" x14ac:dyDescent="0.25">
      <c r="A53" s="48"/>
      <c r="B53" s="48"/>
      <c r="C53" s="48"/>
      <c r="D53" s="48"/>
      <c r="E53" s="48" t="s">
        <v>89</v>
      </c>
      <c r="F53" s="48"/>
      <c r="G53" s="55">
        <f>80937.28+H53</f>
        <v>83592.28</v>
      </c>
      <c r="H53" s="80">
        <v>2655</v>
      </c>
      <c r="I53" s="85">
        <f t="shared" si="0"/>
        <v>6966.0233333333335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</row>
    <row r="54" spans="1:43" ht="15.75" thickBot="1" x14ac:dyDescent="0.3">
      <c r="A54" s="48"/>
      <c r="B54" s="48"/>
      <c r="C54" s="48"/>
      <c r="D54" s="48"/>
      <c r="E54" s="48" t="s">
        <v>90</v>
      </c>
      <c r="F54" s="48"/>
      <c r="G54" s="56">
        <f>M57</f>
        <v>253800</v>
      </c>
      <c r="H54" s="80"/>
      <c r="I54" s="85">
        <f t="shared" si="0"/>
        <v>21150</v>
      </c>
      <c r="K54" s="7"/>
      <c r="L54" s="7"/>
      <c r="M54" s="7"/>
      <c r="N54" s="7"/>
      <c r="O54" s="62" t="s">
        <v>126</v>
      </c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</row>
    <row r="55" spans="1:43" x14ac:dyDescent="0.25">
      <c r="A55" s="48"/>
      <c r="B55" s="48"/>
      <c r="C55" s="48"/>
      <c r="D55" s="48"/>
      <c r="E55" s="48"/>
      <c r="F55" s="48" t="s">
        <v>91</v>
      </c>
      <c r="G55" s="49">
        <v>200813.12</v>
      </c>
      <c r="H55" s="80"/>
      <c r="I55" s="85">
        <f t="shared" si="0"/>
        <v>16734.426666666666</v>
      </c>
      <c r="K55" s="7"/>
      <c r="L55" s="7"/>
      <c r="M55" s="7"/>
      <c r="N55" s="7"/>
      <c r="O55" s="63" t="s">
        <v>127</v>
      </c>
      <c r="P55" s="64">
        <v>8500</v>
      </c>
      <c r="Q55" s="64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</row>
    <row r="56" spans="1:43" ht="15.75" thickBot="1" x14ac:dyDescent="0.3">
      <c r="A56" s="48"/>
      <c r="B56" s="48"/>
      <c r="C56" s="48"/>
      <c r="D56" s="48"/>
      <c r="E56" s="48"/>
      <c r="F56" s="48" t="s">
        <v>92</v>
      </c>
      <c r="G56" s="49">
        <v>16664.43</v>
      </c>
      <c r="H56" s="80"/>
      <c r="I56" s="85">
        <f t="shared" si="0"/>
        <v>1388.7025000000001</v>
      </c>
      <c r="K56" s="7"/>
      <c r="L56" s="7"/>
      <c r="M56" s="7"/>
      <c r="N56" s="7"/>
      <c r="O56" s="63" t="s">
        <v>90</v>
      </c>
      <c r="P56" s="64">
        <v>16350</v>
      </c>
      <c r="Q56" s="64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</row>
    <row r="57" spans="1:43" ht="61.5" thickBot="1" x14ac:dyDescent="0.3">
      <c r="A57" s="48"/>
      <c r="B57" s="48"/>
      <c r="C57" s="48"/>
      <c r="D57" s="48"/>
      <c r="E57" s="48"/>
      <c r="F57" s="48" t="s">
        <v>93</v>
      </c>
      <c r="G57" s="50">
        <v>118366.95</v>
      </c>
      <c r="H57" s="80"/>
      <c r="I57" s="85">
        <f t="shared" si="0"/>
        <v>9863.9125000000004</v>
      </c>
      <c r="J57" s="83" t="s">
        <v>94</v>
      </c>
      <c r="K57" s="65"/>
      <c r="L57" s="66" t="s">
        <v>128</v>
      </c>
      <c r="M57" s="67">
        <v>253800</v>
      </c>
      <c r="N57" s="7"/>
      <c r="O57" s="63" t="s">
        <v>129</v>
      </c>
      <c r="P57" s="64">
        <v>4000</v>
      </c>
      <c r="Q57" s="68">
        <f>P57+P55+P56</f>
        <v>28850</v>
      </c>
      <c r="R57" s="69" t="s">
        <v>130</v>
      </c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</row>
    <row r="58" spans="1:43" ht="15.75" thickBot="1" x14ac:dyDescent="0.3">
      <c r="A58" s="48"/>
      <c r="B58" s="48"/>
      <c r="C58" s="48"/>
      <c r="D58" s="48"/>
      <c r="E58" s="48" t="s">
        <v>95</v>
      </c>
      <c r="F58" s="48"/>
      <c r="G58" s="57">
        <f>ROUND(SUM(G54:G57),5)</f>
        <v>589644.5</v>
      </c>
      <c r="H58" s="80"/>
      <c r="I58" s="85">
        <f t="shared" si="0"/>
        <v>49137.041666666664</v>
      </c>
      <c r="J58" s="84" t="s">
        <v>96</v>
      </c>
      <c r="K58" s="70"/>
      <c r="L58" s="70"/>
      <c r="M58" s="71"/>
      <c r="N58" s="7"/>
      <c r="O58" s="63"/>
      <c r="P58" s="7"/>
      <c r="Q58" s="72">
        <v>50000</v>
      </c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</row>
    <row r="59" spans="1:43" x14ac:dyDescent="0.25">
      <c r="A59" s="48"/>
      <c r="B59" s="48"/>
      <c r="C59" s="48"/>
      <c r="D59" s="48"/>
      <c r="E59" s="48" t="s">
        <v>97</v>
      </c>
      <c r="F59" s="48"/>
      <c r="G59" s="49">
        <v>10253.35</v>
      </c>
      <c r="H59" s="80"/>
      <c r="I59" s="85">
        <f t="shared" si="0"/>
        <v>854.44583333333333</v>
      </c>
      <c r="K59" s="7"/>
      <c r="L59" s="7"/>
      <c r="M59" s="7"/>
      <c r="N59" s="7"/>
      <c r="O59" s="7"/>
      <c r="P59" s="7"/>
      <c r="Q59" s="73">
        <f>Q58-Q57</f>
        <v>21150</v>
      </c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</row>
    <row r="60" spans="1:43" x14ac:dyDescent="0.25">
      <c r="A60" s="48"/>
      <c r="B60" s="48"/>
      <c r="C60" s="48"/>
      <c r="D60" s="48"/>
      <c r="E60" s="48" t="s">
        <v>98</v>
      </c>
      <c r="F60" s="48"/>
      <c r="G60" s="49">
        <v>4976.9799999999996</v>
      </c>
      <c r="H60" s="80"/>
      <c r="I60" s="85">
        <f t="shared" si="0"/>
        <v>414.74833333333328</v>
      </c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</row>
    <row r="61" spans="1:43" x14ac:dyDescent="0.25">
      <c r="A61" s="48"/>
      <c r="B61" s="48"/>
      <c r="C61" s="48"/>
      <c r="D61" s="48"/>
      <c r="E61" s="48" t="s">
        <v>99</v>
      </c>
      <c r="F61" s="48"/>
      <c r="G61" s="49">
        <v>19973.580000000002</v>
      </c>
      <c r="H61" s="80"/>
      <c r="I61" s="85">
        <f t="shared" si="0"/>
        <v>1664.4650000000001</v>
      </c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</row>
    <row r="62" spans="1:43" x14ac:dyDescent="0.25">
      <c r="A62" s="48"/>
      <c r="B62" s="48"/>
      <c r="C62" s="48"/>
      <c r="D62" s="48"/>
      <c r="E62" s="48" t="s">
        <v>100</v>
      </c>
      <c r="F62" s="48"/>
      <c r="G62" s="49">
        <v>24500</v>
      </c>
      <c r="H62" s="80"/>
      <c r="I62" s="85">
        <f t="shared" si="0"/>
        <v>2041.6666666666667</v>
      </c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</row>
    <row r="63" spans="1:43" x14ac:dyDescent="0.25">
      <c r="A63" s="48"/>
      <c r="B63" s="48"/>
      <c r="C63" s="48"/>
      <c r="D63" s="48"/>
      <c r="E63" s="48" t="s">
        <v>101</v>
      </c>
      <c r="F63" s="48"/>
      <c r="G63" s="49">
        <v>102951.33</v>
      </c>
      <c r="H63" s="80"/>
      <c r="I63" s="85">
        <f t="shared" si="0"/>
        <v>8579.2775000000001</v>
      </c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</row>
    <row r="64" spans="1:43" x14ac:dyDescent="0.25">
      <c r="A64" s="48"/>
      <c r="B64" s="48"/>
      <c r="C64" s="48"/>
      <c r="D64" s="48"/>
      <c r="E64" s="48" t="s">
        <v>102</v>
      </c>
      <c r="F64" s="48"/>
      <c r="G64" s="49">
        <v>23298.55</v>
      </c>
      <c r="H64" s="80"/>
      <c r="I64" s="85">
        <f t="shared" si="0"/>
        <v>1941.5458333333333</v>
      </c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</row>
    <row r="65" spans="1:43" x14ac:dyDescent="0.25">
      <c r="A65" s="48"/>
      <c r="B65" s="48"/>
      <c r="C65" s="48"/>
      <c r="D65" s="48"/>
      <c r="E65" s="48" t="s">
        <v>103</v>
      </c>
      <c r="F65" s="48"/>
      <c r="G65" s="49">
        <v>1550</v>
      </c>
      <c r="H65" s="80"/>
      <c r="I65" s="85">
        <f t="shared" si="0"/>
        <v>129.16666666666666</v>
      </c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</row>
    <row r="66" spans="1:43" x14ac:dyDescent="0.25">
      <c r="A66" s="48"/>
      <c r="B66" s="48"/>
      <c r="C66" s="48"/>
      <c r="D66" s="48"/>
      <c r="E66" s="48" t="s">
        <v>104</v>
      </c>
      <c r="F66" s="48"/>
      <c r="G66" s="49">
        <v>160075.70000000001</v>
      </c>
      <c r="H66" s="80"/>
      <c r="I66" s="85">
        <f t="shared" si="0"/>
        <v>13339.641666666668</v>
      </c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</row>
    <row r="67" spans="1:43" x14ac:dyDescent="0.25">
      <c r="A67" s="48"/>
      <c r="B67" s="48"/>
      <c r="C67" s="48"/>
      <c r="D67" s="48"/>
      <c r="E67" s="48" t="s">
        <v>105</v>
      </c>
      <c r="F67" s="48"/>
      <c r="G67" s="49">
        <v>22247.54</v>
      </c>
      <c r="H67" s="80"/>
      <c r="I67" s="85">
        <f t="shared" si="0"/>
        <v>1853.9616666666668</v>
      </c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</row>
    <row r="68" spans="1:43" x14ac:dyDescent="0.25">
      <c r="A68" s="48"/>
      <c r="B68" s="48"/>
      <c r="C68" s="48"/>
      <c r="D68" s="48"/>
      <c r="E68" s="48" t="s">
        <v>106</v>
      </c>
      <c r="F68" s="48"/>
      <c r="G68" s="55">
        <f>410061.49+H68</f>
        <v>419085.6</v>
      </c>
      <c r="H68" s="80">
        <v>9024.11</v>
      </c>
      <c r="I68" s="85">
        <f t="shared" si="0"/>
        <v>34923.799999999996</v>
      </c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</row>
    <row r="69" spans="1:43" x14ac:dyDescent="0.25">
      <c r="A69" s="48"/>
      <c r="B69" s="48"/>
      <c r="C69" s="48"/>
      <c r="D69" s="48"/>
      <c r="E69" s="48" t="s">
        <v>107</v>
      </c>
      <c r="F69" s="48"/>
      <c r="G69" s="49">
        <v>2708.22</v>
      </c>
      <c r="H69" s="80"/>
      <c r="I69" s="85">
        <f t="shared" si="0"/>
        <v>225.68499999999997</v>
      </c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</row>
    <row r="70" spans="1:43" x14ac:dyDescent="0.25">
      <c r="A70" s="48"/>
      <c r="B70" s="48"/>
      <c r="C70" s="48"/>
      <c r="D70" s="48"/>
      <c r="E70" s="48" t="s">
        <v>108</v>
      </c>
      <c r="F70" s="48"/>
      <c r="G70" s="49">
        <v>7028.16</v>
      </c>
      <c r="H70" s="80"/>
      <c r="I70" s="85">
        <f t="shared" si="0"/>
        <v>585.67999999999995</v>
      </c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</row>
    <row r="71" spans="1:43" x14ac:dyDescent="0.25">
      <c r="A71" s="48"/>
      <c r="B71" s="48"/>
      <c r="C71" s="48"/>
      <c r="D71" s="48"/>
      <c r="E71" s="48" t="s">
        <v>109</v>
      </c>
      <c r="F71" s="48"/>
      <c r="G71" s="49">
        <v>33629.86</v>
      </c>
      <c r="H71" s="80"/>
      <c r="I71" s="85">
        <f t="shared" si="0"/>
        <v>2802.4883333333332</v>
      </c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</row>
    <row r="72" spans="1:43" x14ac:dyDescent="0.25">
      <c r="A72" s="48"/>
      <c r="B72" s="48"/>
      <c r="C72" s="48"/>
      <c r="D72" s="48"/>
      <c r="E72" s="48" t="s">
        <v>110</v>
      </c>
      <c r="F72" s="48"/>
      <c r="G72" s="49">
        <v>3389.34</v>
      </c>
      <c r="H72" s="80"/>
      <c r="I72" s="85">
        <f t="shared" si="0"/>
        <v>282.44499999999999</v>
      </c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</row>
    <row r="73" spans="1:43" x14ac:dyDescent="0.25">
      <c r="A73" s="48"/>
      <c r="B73" s="48"/>
      <c r="C73" s="48"/>
      <c r="D73" s="48"/>
      <c r="E73" s="48" t="s">
        <v>111</v>
      </c>
      <c r="F73" s="48"/>
      <c r="G73" s="49">
        <v>17594.11</v>
      </c>
      <c r="H73" s="80"/>
      <c r="I73" s="85">
        <f t="shared" si="0"/>
        <v>1466.1758333333335</v>
      </c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</row>
    <row r="74" spans="1:43" x14ac:dyDescent="0.25">
      <c r="A74" s="48"/>
      <c r="B74" s="48"/>
      <c r="C74" s="48"/>
      <c r="D74" s="48"/>
      <c r="E74" s="48" t="s">
        <v>112</v>
      </c>
      <c r="F74" s="48"/>
      <c r="G74" s="49">
        <f>4706.2+H74</f>
        <v>5928.23</v>
      </c>
      <c r="H74" s="80">
        <v>1222.03</v>
      </c>
      <c r="I74" s="85">
        <f t="shared" si="0"/>
        <v>494.01916666666665</v>
      </c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</row>
    <row r="75" spans="1:43" ht="15.75" thickBot="1" x14ac:dyDescent="0.3">
      <c r="A75" s="48"/>
      <c r="B75" s="48"/>
      <c r="C75" s="48"/>
      <c r="D75" s="48"/>
      <c r="E75" s="48" t="s">
        <v>113</v>
      </c>
      <c r="F75" s="48"/>
      <c r="G75" s="58">
        <f>54284.71+H75</f>
        <v>55405.93</v>
      </c>
      <c r="H75" s="80">
        <v>1121.22</v>
      </c>
      <c r="I75" s="85">
        <f t="shared" si="0"/>
        <v>4617.1608333333334</v>
      </c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</row>
    <row r="76" spans="1:43" ht="15.75" thickBot="1" x14ac:dyDescent="0.3">
      <c r="A76" s="48"/>
      <c r="B76" s="48"/>
      <c r="C76" s="48"/>
      <c r="D76" s="48" t="s">
        <v>114</v>
      </c>
      <c r="E76" s="48"/>
      <c r="F76" s="48"/>
      <c r="G76" s="54">
        <f>ROUND(SUM(G43:G53)+SUM(G58:G75),5)</f>
        <v>1762916.79</v>
      </c>
      <c r="H76" s="80"/>
      <c r="I76" s="85">
        <f t="shared" si="0"/>
        <v>146909.73250000001</v>
      </c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</row>
    <row r="77" spans="1:43" x14ac:dyDescent="0.25">
      <c r="A77" s="48"/>
      <c r="B77" s="48" t="s">
        <v>115</v>
      </c>
      <c r="C77" s="48"/>
      <c r="D77" s="48"/>
      <c r="E77" s="48"/>
      <c r="F77" s="48"/>
      <c r="G77" s="49">
        <f>ROUND(G2+G42-G76,5)</f>
        <v>461331</v>
      </c>
      <c r="H77" s="80"/>
      <c r="I77" s="85">
        <f t="shared" ref="I77:I88" si="1">SUM(G77/12)</f>
        <v>38444.25</v>
      </c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</row>
    <row r="78" spans="1:43" x14ac:dyDescent="0.25">
      <c r="A78" s="48"/>
      <c r="B78" s="48" t="s">
        <v>116</v>
      </c>
      <c r="C78" s="48"/>
      <c r="D78" s="48"/>
      <c r="E78" s="48"/>
      <c r="F78" s="48"/>
      <c r="G78" s="49"/>
      <c r="H78" s="80"/>
      <c r="I78" s="85">
        <f t="shared" si="1"/>
        <v>0</v>
      </c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</row>
    <row r="79" spans="1:43" x14ac:dyDescent="0.25">
      <c r="A79" s="48"/>
      <c r="B79" s="48"/>
      <c r="C79" s="48" t="s">
        <v>117</v>
      </c>
      <c r="D79" s="48"/>
      <c r="E79" s="48"/>
      <c r="F79" s="48"/>
      <c r="G79" s="49"/>
      <c r="H79" s="80"/>
      <c r="I79" s="85">
        <f t="shared" si="1"/>
        <v>0</v>
      </c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</row>
    <row r="80" spans="1:43" ht="15.75" thickBot="1" x14ac:dyDescent="0.3">
      <c r="A80" s="48"/>
      <c r="B80" s="48"/>
      <c r="C80" s="48"/>
      <c r="D80" s="48" t="s">
        <v>117</v>
      </c>
      <c r="E80" s="48"/>
      <c r="F80" s="48"/>
      <c r="G80" s="50">
        <v>264</v>
      </c>
      <c r="H80" s="80"/>
      <c r="I80" s="85">
        <f t="shared" si="1"/>
        <v>22</v>
      </c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</row>
    <row r="81" spans="1:43" x14ac:dyDescent="0.25">
      <c r="A81" s="48"/>
      <c r="B81" s="48"/>
      <c r="C81" s="48" t="s">
        <v>118</v>
      </c>
      <c r="D81" s="48"/>
      <c r="E81" s="48"/>
      <c r="F81" s="48"/>
      <c r="G81" s="49">
        <f>ROUND(SUM(G79:G80),5)</f>
        <v>264</v>
      </c>
      <c r="H81" s="80"/>
      <c r="I81" s="85">
        <f t="shared" si="1"/>
        <v>22</v>
      </c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</row>
    <row r="82" spans="1:43" x14ac:dyDescent="0.25">
      <c r="A82" s="48"/>
      <c r="B82" s="48"/>
      <c r="C82" s="48" t="s">
        <v>119</v>
      </c>
      <c r="D82" s="48"/>
      <c r="E82" s="48"/>
      <c r="F82" s="48"/>
      <c r="G82" s="49"/>
      <c r="H82" s="80"/>
      <c r="I82" s="85">
        <f t="shared" si="1"/>
        <v>0</v>
      </c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</row>
    <row r="83" spans="1:43" x14ac:dyDescent="0.25">
      <c r="A83" s="48"/>
      <c r="B83" s="48"/>
      <c r="C83" s="48"/>
      <c r="D83" s="48" t="s">
        <v>120</v>
      </c>
      <c r="E83" s="48"/>
      <c r="F83" s="48"/>
      <c r="G83" s="49">
        <v>11024</v>
      </c>
      <c r="H83" s="80"/>
      <c r="I83" s="85">
        <f t="shared" si="1"/>
        <v>918.66666666666663</v>
      </c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</row>
    <row r="84" spans="1:43" x14ac:dyDescent="0.25">
      <c r="A84" s="48"/>
      <c r="B84" s="48"/>
      <c r="C84" s="48"/>
      <c r="D84" s="48" t="s">
        <v>121</v>
      </c>
      <c r="E84" s="48"/>
      <c r="F84" s="48"/>
      <c r="G84" s="49">
        <v>28355.09</v>
      </c>
      <c r="H84" s="80"/>
      <c r="I84" s="85">
        <f t="shared" si="1"/>
        <v>2362.9241666666667</v>
      </c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</row>
    <row r="85" spans="1:43" ht="15.75" thickBot="1" x14ac:dyDescent="0.3">
      <c r="A85" s="48"/>
      <c r="B85" s="48"/>
      <c r="C85" s="48"/>
      <c r="D85" s="48" t="s">
        <v>122</v>
      </c>
      <c r="E85" s="48"/>
      <c r="F85" s="48"/>
      <c r="G85" s="52">
        <v>1023.88</v>
      </c>
      <c r="H85" s="80"/>
      <c r="I85" s="85">
        <f t="shared" si="1"/>
        <v>85.323333333333338</v>
      </c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</row>
    <row r="86" spans="1:43" ht="15.75" thickBot="1" x14ac:dyDescent="0.3">
      <c r="A86" s="48"/>
      <c r="B86" s="48"/>
      <c r="C86" s="48" t="s">
        <v>123</v>
      </c>
      <c r="D86" s="48"/>
      <c r="E86" s="48"/>
      <c r="F86" s="48"/>
      <c r="G86" s="53">
        <f>ROUND(SUM(G82:G85),5)</f>
        <v>40402.97</v>
      </c>
      <c r="H86" s="80"/>
      <c r="I86" s="85">
        <f t="shared" si="1"/>
        <v>3366.9141666666669</v>
      </c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</row>
    <row r="87" spans="1:43" ht="15.75" thickBot="1" x14ac:dyDescent="0.3">
      <c r="A87" s="48"/>
      <c r="B87" s="48" t="s">
        <v>124</v>
      </c>
      <c r="C87" s="48"/>
      <c r="D87" s="48"/>
      <c r="E87" s="48"/>
      <c r="F87" s="48"/>
      <c r="G87" s="53">
        <f>ROUND(G78+G81-G86,5)</f>
        <v>-40138.97</v>
      </c>
      <c r="H87" s="80"/>
      <c r="I87" s="85">
        <f t="shared" si="1"/>
        <v>-3344.9141666666669</v>
      </c>
      <c r="J87" s="86">
        <f>G86+G76</f>
        <v>1803319.76</v>
      </c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</row>
    <row r="88" spans="1:43" ht="15.75" thickBot="1" x14ac:dyDescent="0.3">
      <c r="A88" s="48" t="s">
        <v>125</v>
      </c>
      <c r="B88" s="48"/>
      <c r="C88" s="48"/>
      <c r="D88" s="48"/>
      <c r="E88" s="48"/>
      <c r="F88" s="48"/>
      <c r="G88" s="59">
        <f>ROUND(G77+G87,5)</f>
        <v>421192.03</v>
      </c>
      <c r="H88" s="81"/>
      <c r="I88" s="85">
        <f t="shared" si="1"/>
        <v>35099.335833333338</v>
      </c>
      <c r="J88" s="86">
        <f>G87+G77</f>
        <v>421192.03</v>
      </c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</row>
    <row r="89" spans="1:43" ht="15.75" thickTop="1" x14ac:dyDescent="0.25">
      <c r="A89" s="74"/>
      <c r="B89" s="74"/>
      <c r="C89" s="74"/>
      <c r="D89" s="74"/>
      <c r="E89" s="74"/>
      <c r="F89" s="74"/>
      <c r="G89" s="75"/>
      <c r="H89" s="79"/>
      <c r="I89" s="79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</row>
    <row r="90" spans="1:43" x14ac:dyDescent="0.25">
      <c r="A90" s="74"/>
      <c r="B90" s="74"/>
      <c r="C90" s="74"/>
      <c r="D90" s="74"/>
      <c r="E90" s="74"/>
      <c r="F90" s="74"/>
      <c r="G90" s="75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J9"/>
  <sheetViews>
    <sheetView workbookViewId="0">
      <selection activeCell="J7" sqref="J7"/>
    </sheetView>
  </sheetViews>
  <sheetFormatPr defaultRowHeight="15" x14ac:dyDescent="0.25"/>
  <cols>
    <col min="1" max="7" width="9.140625" style="7"/>
    <col min="8" max="8" width="10" style="7" bestFit="1" customWidth="1"/>
    <col min="9" max="9" width="9.140625" style="7"/>
    <col min="10" max="10" width="10.7109375" style="7" bestFit="1" customWidth="1"/>
    <col min="11" max="16384" width="9.140625" style="7"/>
  </cols>
  <sheetData>
    <row r="2" spans="1:10" x14ac:dyDescent="0.25">
      <c r="A2" s="111" t="s">
        <v>134</v>
      </c>
      <c r="B2" s="111"/>
      <c r="C2" s="111"/>
      <c r="D2" s="111"/>
      <c r="E2" s="111"/>
      <c r="F2" s="111"/>
    </row>
    <row r="3" spans="1:10" ht="15.75" thickBot="1" x14ac:dyDescent="0.3"/>
    <row r="4" spans="1:10" ht="15.75" thickBot="1" x14ac:dyDescent="0.3">
      <c r="A4" s="112" t="s">
        <v>135</v>
      </c>
      <c r="B4" s="113" t="s">
        <v>136</v>
      </c>
      <c r="C4" s="113" t="s">
        <v>137</v>
      </c>
      <c r="D4" s="113" t="s">
        <v>138</v>
      </c>
      <c r="E4" s="113" t="s">
        <v>139</v>
      </c>
      <c r="F4" s="113" t="s">
        <v>140</v>
      </c>
      <c r="G4" s="113" t="s">
        <v>141</v>
      </c>
      <c r="H4" s="113" t="s">
        <v>142</v>
      </c>
      <c r="I4" s="113" t="s">
        <v>113</v>
      </c>
      <c r="J4" s="114" t="s">
        <v>143</v>
      </c>
    </row>
    <row r="5" spans="1:10" x14ac:dyDescent="0.25">
      <c r="A5" s="115" t="s">
        <v>144</v>
      </c>
      <c r="B5" s="116">
        <v>0.25</v>
      </c>
      <c r="C5" s="116">
        <v>0.2</v>
      </c>
      <c r="D5" s="116">
        <v>0.1</v>
      </c>
      <c r="E5" s="116">
        <v>0.15</v>
      </c>
      <c r="F5" s="116">
        <v>0.2</v>
      </c>
      <c r="G5" s="116">
        <v>0.1</v>
      </c>
      <c r="H5" s="116">
        <v>0.1</v>
      </c>
      <c r="I5" s="116">
        <v>0.5</v>
      </c>
      <c r="J5" s="116">
        <v>0.55000000000000004</v>
      </c>
    </row>
    <row r="6" spans="1:10" x14ac:dyDescent="0.25">
      <c r="A6" s="117" t="s">
        <v>145</v>
      </c>
      <c r="B6" s="118">
        <v>0.5</v>
      </c>
      <c r="C6" s="118">
        <v>0.3</v>
      </c>
      <c r="D6" s="118">
        <v>0.45</v>
      </c>
      <c r="E6" s="118">
        <v>0.45</v>
      </c>
      <c r="F6" s="118">
        <v>0.5</v>
      </c>
      <c r="G6" s="118">
        <v>0.35</v>
      </c>
      <c r="H6" s="118">
        <v>0.15</v>
      </c>
      <c r="I6" s="118">
        <v>0.35</v>
      </c>
      <c r="J6" s="118">
        <v>0.3</v>
      </c>
    </row>
    <row r="7" spans="1:10" x14ac:dyDescent="0.25">
      <c r="A7" s="119" t="s">
        <v>146</v>
      </c>
      <c r="B7" s="120">
        <v>0.2</v>
      </c>
      <c r="C7" s="120">
        <v>0.45</v>
      </c>
      <c r="D7" s="120">
        <v>0.3</v>
      </c>
      <c r="E7" s="120">
        <v>0.35</v>
      </c>
      <c r="F7" s="120">
        <v>0.2</v>
      </c>
      <c r="G7" s="120">
        <v>0.45</v>
      </c>
      <c r="H7" s="120">
        <v>0.7</v>
      </c>
      <c r="I7" s="120">
        <v>0.1</v>
      </c>
      <c r="J7" s="120">
        <v>0.1</v>
      </c>
    </row>
    <row r="8" spans="1:10" x14ac:dyDescent="0.25">
      <c r="A8" s="119" t="s">
        <v>147</v>
      </c>
      <c r="B8" s="120">
        <v>0.05</v>
      </c>
      <c r="C8" s="120">
        <v>0.05</v>
      </c>
      <c r="D8" s="120">
        <v>0.15</v>
      </c>
      <c r="E8" s="120">
        <v>0.05</v>
      </c>
      <c r="F8" s="120">
        <v>0.1</v>
      </c>
      <c r="G8" s="120">
        <v>0.1</v>
      </c>
      <c r="H8" s="120">
        <v>0.05</v>
      </c>
      <c r="I8" s="120">
        <v>0.05</v>
      </c>
      <c r="J8" s="120">
        <v>0.05</v>
      </c>
    </row>
    <row r="9" spans="1:10" x14ac:dyDescent="0.25">
      <c r="A9" s="121" t="s">
        <v>148</v>
      </c>
      <c r="B9" s="122">
        <f t="shared" ref="B9:J9" si="0">SUM(B5:B8)</f>
        <v>1</v>
      </c>
      <c r="C9" s="122">
        <f t="shared" si="0"/>
        <v>1</v>
      </c>
      <c r="D9" s="122">
        <f t="shared" si="0"/>
        <v>1</v>
      </c>
      <c r="E9" s="122">
        <f t="shared" si="0"/>
        <v>1</v>
      </c>
      <c r="F9" s="122">
        <f t="shared" si="0"/>
        <v>0.99999999999999989</v>
      </c>
      <c r="G9" s="122">
        <f t="shared" si="0"/>
        <v>0.99999999999999989</v>
      </c>
      <c r="H9" s="122">
        <f t="shared" si="0"/>
        <v>1</v>
      </c>
      <c r="I9" s="122">
        <f t="shared" si="0"/>
        <v>1</v>
      </c>
      <c r="J9" s="122">
        <f t="shared" si="0"/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A20"/>
  <sheetViews>
    <sheetView workbookViewId="0">
      <selection activeCell="O13" sqref="O13"/>
    </sheetView>
  </sheetViews>
  <sheetFormatPr defaultRowHeight="15" x14ac:dyDescent="0.25"/>
  <sheetData>
    <row r="1" spans="1:1" x14ac:dyDescent="0.25">
      <c r="A1" s="128" t="s">
        <v>154</v>
      </c>
    </row>
    <row r="2" spans="1:1" x14ac:dyDescent="0.25">
      <c r="A2" s="128" t="s">
        <v>155</v>
      </c>
    </row>
    <row r="3" spans="1:1" x14ac:dyDescent="0.25">
      <c r="A3" s="128"/>
    </row>
    <row r="4" spans="1:1" x14ac:dyDescent="0.25">
      <c r="A4" s="128" t="s">
        <v>156</v>
      </c>
    </row>
    <row r="5" spans="1:1" x14ac:dyDescent="0.25">
      <c r="A5" s="128" t="s">
        <v>157</v>
      </c>
    </row>
    <row r="6" spans="1:1" x14ac:dyDescent="0.25">
      <c r="A6" s="128"/>
    </row>
    <row r="7" spans="1:1" x14ac:dyDescent="0.25">
      <c r="A7" s="128" t="s">
        <v>158</v>
      </c>
    </row>
    <row r="8" spans="1:1" x14ac:dyDescent="0.25">
      <c r="A8" s="128"/>
    </row>
    <row r="9" spans="1:1" x14ac:dyDescent="0.25">
      <c r="A9" s="128"/>
    </row>
    <row r="10" spans="1:1" x14ac:dyDescent="0.25">
      <c r="A10" s="128" t="s">
        <v>159</v>
      </c>
    </row>
    <row r="11" spans="1:1" x14ac:dyDescent="0.25">
      <c r="A11" s="128"/>
    </row>
    <row r="12" spans="1:1" x14ac:dyDescent="0.25">
      <c r="A12" s="128" t="s">
        <v>160</v>
      </c>
    </row>
    <row r="13" spans="1:1" x14ac:dyDescent="0.25">
      <c r="A13" s="128" t="s">
        <v>161</v>
      </c>
    </row>
    <row r="14" spans="1:1" x14ac:dyDescent="0.25">
      <c r="A14" s="128"/>
    </row>
    <row r="15" spans="1:1" x14ac:dyDescent="0.25">
      <c r="A15" s="128" t="s">
        <v>162</v>
      </c>
    </row>
    <row r="16" spans="1:1" x14ac:dyDescent="0.25">
      <c r="A16" s="128"/>
    </row>
    <row r="17" spans="1:1" x14ac:dyDescent="0.25">
      <c r="A17" s="128" t="s">
        <v>163</v>
      </c>
    </row>
    <row r="18" spans="1:1" x14ac:dyDescent="0.25">
      <c r="A18" s="128"/>
    </row>
    <row r="19" spans="1:1" x14ac:dyDescent="0.25">
      <c r="A19" s="128" t="s">
        <v>164</v>
      </c>
    </row>
    <row r="20" spans="1:1" x14ac:dyDescent="0.25">
      <c r="A20" s="128"/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theme="5" tint="-0.499984740745262"/>
  </sheetPr>
  <dimension ref="A1:O73"/>
  <sheetViews>
    <sheetView workbookViewId="0">
      <pane xSplit="6" ySplit="1" topLeftCell="G2" activePane="bottomRight" state="frozenSplit"/>
      <selection pane="topRight" activeCell="G1" sqref="G1"/>
      <selection pane="bottomLeft" activeCell="A2" sqref="A2"/>
      <selection pane="bottomRight" activeCell="K16" sqref="K16"/>
    </sheetView>
  </sheetViews>
  <sheetFormatPr defaultRowHeight="15" x14ac:dyDescent="0.25"/>
  <cols>
    <col min="1" max="5" width="3" style="98" customWidth="1"/>
    <col min="6" max="6" width="30.42578125" style="98" customWidth="1"/>
    <col min="7" max="7" width="20.85546875" style="75" customWidth="1"/>
    <col min="8" max="8" width="17.5703125" style="75" customWidth="1"/>
    <col min="9" max="9" width="15.140625" style="75" customWidth="1"/>
    <col min="10" max="11" width="9.140625" style="7"/>
    <col min="12" max="12" width="27.7109375" style="7" customWidth="1"/>
    <col min="13" max="13" width="17.5703125" style="7" customWidth="1"/>
    <col min="14" max="14" width="14.42578125" style="7" customWidth="1"/>
    <col min="15" max="15" width="12.42578125" style="7" customWidth="1"/>
    <col min="16" max="16384" width="9.140625" style="7"/>
  </cols>
  <sheetData>
    <row r="1" spans="1:15" s="47" customFormat="1" ht="15.75" thickBot="1" x14ac:dyDescent="0.3">
      <c r="A1" s="88"/>
      <c r="B1" s="88"/>
      <c r="C1" s="88"/>
      <c r="D1" s="88"/>
      <c r="E1" s="88"/>
      <c r="F1" s="88"/>
      <c r="G1" s="89" t="s">
        <v>213</v>
      </c>
      <c r="H1" s="89" t="s">
        <v>221</v>
      </c>
      <c r="I1" s="89" t="s">
        <v>222</v>
      </c>
    </row>
    <row r="2" spans="1:15" ht="30.75" thickTop="1" x14ac:dyDescent="0.25">
      <c r="A2" s="90"/>
      <c r="B2" s="90" t="s">
        <v>39</v>
      </c>
      <c r="C2" s="90"/>
      <c r="D2" s="90"/>
      <c r="E2" s="90"/>
      <c r="F2" s="90"/>
      <c r="G2" s="91"/>
      <c r="H2" s="91"/>
      <c r="I2" s="91"/>
      <c r="L2" s="187" t="s">
        <v>189</v>
      </c>
      <c r="M2" s="188" t="s">
        <v>149</v>
      </c>
      <c r="N2" s="189" t="s">
        <v>190</v>
      </c>
      <c r="O2" s="188" t="s">
        <v>191</v>
      </c>
    </row>
    <row r="3" spans="1:15" x14ac:dyDescent="0.25">
      <c r="A3" s="90"/>
      <c r="B3" s="90"/>
      <c r="C3" s="90"/>
      <c r="D3" s="90" t="s">
        <v>40</v>
      </c>
      <c r="E3" s="90"/>
      <c r="F3" s="90"/>
      <c r="G3" s="91"/>
      <c r="H3" s="91"/>
      <c r="I3" s="91"/>
      <c r="L3" s="123" t="s">
        <v>192</v>
      </c>
      <c r="M3" s="124">
        <f>I56+H49</f>
        <v>102813.15</v>
      </c>
      <c r="N3" s="123"/>
      <c r="O3" s="123" t="s">
        <v>193</v>
      </c>
    </row>
    <row r="4" spans="1:15" x14ac:dyDescent="0.25">
      <c r="A4" s="90"/>
      <c r="B4" s="90"/>
      <c r="C4" s="90"/>
      <c r="D4" s="90"/>
      <c r="E4" s="90" t="s">
        <v>183</v>
      </c>
      <c r="F4" s="90"/>
      <c r="G4" s="91">
        <v>0</v>
      </c>
      <c r="H4" s="91">
        <v>-9260.57</v>
      </c>
      <c r="I4" s="91">
        <f t="shared" ref="I4:I9" si="0">ROUND(SUM(G4:H4),5)</f>
        <v>-9260.57</v>
      </c>
      <c r="L4" s="190"/>
      <c r="M4" s="190"/>
      <c r="N4" s="190"/>
      <c r="O4" s="190"/>
    </row>
    <row r="5" spans="1:15" x14ac:dyDescent="0.25">
      <c r="A5" s="90"/>
      <c r="B5" s="90"/>
      <c r="C5" s="90"/>
      <c r="D5" s="90"/>
      <c r="E5" s="90" t="s">
        <v>41</v>
      </c>
      <c r="F5" s="90"/>
      <c r="G5" s="91">
        <v>-22.66</v>
      </c>
      <c r="H5" s="91">
        <v>-5104.1499999999996</v>
      </c>
      <c r="I5" s="91">
        <f t="shared" si="0"/>
        <v>-5126.8100000000004</v>
      </c>
    </row>
    <row r="6" spans="1:15" ht="30" x14ac:dyDescent="0.25">
      <c r="A6" s="90"/>
      <c r="B6" s="90"/>
      <c r="C6" s="90"/>
      <c r="D6" s="90"/>
      <c r="E6" s="90" t="s">
        <v>131</v>
      </c>
      <c r="F6" s="90"/>
      <c r="G6" s="91">
        <v>1145</v>
      </c>
      <c r="H6" s="91">
        <v>0</v>
      </c>
      <c r="I6" s="91">
        <f t="shared" si="0"/>
        <v>1145</v>
      </c>
      <c r="L6" s="187" t="s">
        <v>194</v>
      </c>
      <c r="M6" s="188" t="s">
        <v>149</v>
      </c>
      <c r="N6" s="189" t="s">
        <v>190</v>
      </c>
      <c r="O6" s="188" t="s">
        <v>191</v>
      </c>
    </row>
    <row r="7" spans="1:15" x14ac:dyDescent="0.25">
      <c r="A7" s="90"/>
      <c r="B7" s="90"/>
      <c r="C7" s="90"/>
      <c r="D7" s="90"/>
      <c r="E7" s="90" t="s">
        <v>45</v>
      </c>
      <c r="F7" s="90"/>
      <c r="G7" s="91">
        <v>510</v>
      </c>
      <c r="H7" s="91">
        <v>49824.5</v>
      </c>
      <c r="I7" s="91">
        <f t="shared" si="0"/>
        <v>50334.5</v>
      </c>
      <c r="L7" s="123" t="s">
        <v>152</v>
      </c>
      <c r="M7" s="124">
        <f>+I62+I70-M3</f>
        <v>132289.59</v>
      </c>
      <c r="N7" s="123"/>
      <c r="O7" s="123" t="s">
        <v>193</v>
      </c>
    </row>
    <row r="8" spans="1:15" ht="15.75" thickBot="1" x14ac:dyDescent="0.3">
      <c r="A8" s="90"/>
      <c r="B8" s="90"/>
      <c r="C8" s="90"/>
      <c r="D8" s="90"/>
      <c r="E8" s="90" t="s">
        <v>47</v>
      </c>
      <c r="F8" s="90"/>
      <c r="G8" s="92">
        <v>17136.990000000002</v>
      </c>
      <c r="H8" s="92">
        <v>443172.51</v>
      </c>
      <c r="I8" s="92">
        <f t="shared" si="0"/>
        <v>460309.5</v>
      </c>
    </row>
    <row r="9" spans="1:15" x14ac:dyDescent="0.25">
      <c r="A9" s="90"/>
      <c r="B9" s="90"/>
      <c r="C9" s="90"/>
      <c r="D9" s="90" t="s">
        <v>49</v>
      </c>
      <c r="E9" s="90"/>
      <c r="F9" s="90"/>
      <c r="G9" s="91">
        <f>ROUND(SUM(G3:G8),5)</f>
        <v>18769.330000000002</v>
      </c>
      <c r="H9" s="91">
        <f>ROUND(SUM(H3:H8),5)</f>
        <v>478632.29</v>
      </c>
      <c r="I9" s="91">
        <f t="shared" si="0"/>
        <v>497401.62</v>
      </c>
    </row>
    <row r="10" spans="1:15" ht="30" customHeight="1" x14ac:dyDescent="0.25">
      <c r="A10" s="90"/>
      <c r="B10" s="90"/>
      <c r="C10" s="90"/>
      <c r="D10" s="90" t="s">
        <v>50</v>
      </c>
      <c r="E10" s="90"/>
      <c r="F10" s="90"/>
      <c r="G10" s="91"/>
      <c r="H10" s="91"/>
      <c r="I10" s="91"/>
    </row>
    <row r="11" spans="1:15" x14ac:dyDescent="0.25">
      <c r="A11" s="90"/>
      <c r="B11" s="90"/>
      <c r="C11" s="90"/>
      <c r="D11" s="90"/>
      <c r="E11" s="90" t="s">
        <v>51</v>
      </c>
      <c r="F11" s="90"/>
      <c r="G11" s="91">
        <v>0</v>
      </c>
      <c r="H11" s="91">
        <v>14334.17</v>
      </c>
      <c r="I11" s="91">
        <f>ROUND(SUM(G11:H11),5)</f>
        <v>14334.17</v>
      </c>
    </row>
    <row r="12" spans="1:15" x14ac:dyDescent="0.25">
      <c r="A12" s="90"/>
      <c r="B12" s="90"/>
      <c r="C12" s="90"/>
      <c r="D12" s="90"/>
      <c r="E12" s="90" t="s">
        <v>54</v>
      </c>
      <c r="F12" s="90"/>
      <c r="G12" s="91"/>
      <c r="H12" s="91"/>
      <c r="I12" s="91"/>
    </row>
    <row r="13" spans="1:15" x14ac:dyDescent="0.25">
      <c r="A13" s="90"/>
      <c r="B13" s="90"/>
      <c r="C13" s="90"/>
      <c r="D13" s="90"/>
      <c r="E13" s="90"/>
      <c r="F13" s="90" t="s">
        <v>184</v>
      </c>
      <c r="G13" s="91">
        <v>16316.37</v>
      </c>
      <c r="H13" s="91">
        <v>0</v>
      </c>
      <c r="I13" s="91">
        <f>ROUND(SUM(G13:H13),5)</f>
        <v>16316.37</v>
      </c>
    </row>
    <row r="14" spans="1:15" x14ac:dyDescent="0.25">
      <c r="A14" s="90"/>
      <c r="B14" s="90"/>
      <c r="C14" s="90"/>
      <c r="D14" s="90"/>
      <c r="E14" s="90"/>
      <c r="F14" s="90" t="s">
        <v>42</v>
      </c>
      <c r="G14" s="91">
        <v>6.99</v>
      </c>
      <c r="H14" s="91">
        <v>-3065.37</v>
      </c>
      <c r="I14" s="91">
        <f>ROUND(SUM(G14:H14),5)</f>
        <v>-3058.38</v>
      </c>
    </row>
    <row r="15" spans="1:15" x14ac:dyDescent="0.25">
      <c r="A15" s="90"/>
      <c r="B15" s="90"/>
      <c r="C15" s="90"/>
      <c r="D15" s="90"/>
      <c r="E15" s="90"/>
      <c r="F15" s="90" t="s">
        <v>55</v>
      </c>
      <c r="G15" s="91">
        <v>0</v>
      </c>
      <c r="H15" s="91">
        <v>1004.56</v>
      </c>
      <c r="I15" s="91">
        <f>ROUND(SUM(G15:H15),5)</f>
        <v>1004.56</v>
      </c>
    </row>
    <row r="16" spans="1:15" ht="15.75" thickBot="1" x14ac:dyDescent="0.3">
      <c r="A16" s="90"/>
      <c r="B16" s="90"/>
      <c r="C16" s="90"/>
      <c r="D16" s="90"/>
      <c r="E16" s="90"/>
      <c r="F16" s="90" t="s">
        <v>56</v>
      </c>
      <c r="G16" s="92">
        <v>0</v>
      </c>
      <c r="H16" s="92">
        <v>129511.53</v>
      </c>
      <c r="I16" s="92">
        <f>ROUND(SUM(G16:H16),5)</f>
        <v>129511.53</v>
      </c>
    </row>
    <row r="17" spans="1:9" x14ac:dyDescent="0.25">
      <c r="A17" s="90"/>
      <c r="B17" s="90"/>
      <c r="C17" s="90"/>
      <c r="D17" s="90"/>
      <c r="E17" s="90" t="s">
        <v>57</v>
      </c>
      <c r="F17" s="90"/>
      <c r="G17" s="91">
        <f>ROUND(SUM(G12:G16),5)</f>
        <v>16323.36</v>
      </c>
      <c r="H17" s="91">
        <f>ROUND(SUM(H12:H16),5)</f>
        <v>127450.72</v>
      </c>
      <c r="I17" s="91">
        <f>ROUND(SUM(G17:H17),5)</f>
        <v>143774.07999999999</v>
      </c>
    </row>
    <row r="18" spans="1:9" ht="30" customHeight="1" x14ac:dyDescent="0.25">
      <c r="A18" s="90"/>
      <c r="B18" s="90"/>
      <c r="C18" s="90"/>
      <c r="D18" s="90"/>
      <c r="E18" s="90" t="s">
        <v>58</v>
      </c>
      <c r="F18" s="90"/>
      <c r="G18" s="91"/>
      <c r="H18" s="91"/>
      <c r="I18" s="91"/>
    </row>
    <row r="19" spans="1:9" x14ac:dyDescent="0.25">
      <c r="A19" s="90"/>
      <c r="B19" s="90"/>
      <c r="C19" s="90"/>
      <c r="D19" s="90"/>
      <c r="E19" s="90"/>
      <c r="F19" s="90" t="s">
        <v>59</v>
      </c>
      <c r="G19" s="91">
        <v>624.63</v>
      </c>
      <c r="H19" s="91">
        <v>5155.74</v>
      </c>
      <c r="I19" s="91">
        <f>ROUND(SUM(G19:H19),5)</f>
        <v>5780.37</v>
      </c>
    </row>
    <row r="20" spans="1:9" x14ac:dyDescent="0.25">
      <c r="A20" s="90"/>
      <c r="B20" s="90"/>
      <c r="C20" s="90"/>
      <c r="D20" s="90"/>
      <c r="E20" s="90"/>
      <c r="F20" s="90" t="s">
        <v>60</v>
      </c>
      <c r="G20" s="91">
        <v>2037.22</v>
      </c>
      <c r="H20" s="91">
        <v>468.94</v>
      </c>
      <c r="I20" s="91">
        <f>ROUND(SUM(G20:H20),5)</f>
        <v>2506.16</v>
      </c>
    </row>
    <row r="21" spans="1:9" x14ac:dyDescent="0.25">
      <c r="A21" s="90"/>
      <c r="B21" s="90"/>
      <c r="C21" s="90"/>
      <c r="D21" s="90"/>
      <c r="E21" s="90"/>
      <c r="F21" s="90" t="s">
        <v>61</v>
      </c>
      <c r="G21" s="91">
        <v>9648.98</v>
      </c>
      <c r="H21" s="91">
        <v>43265.16</v>
      </c>
      <c r="I21" s="91">
        <f>ROUND(SUM(G21:H21),5)</f>
        <v>52914.14</v>
      </c>
    </row>
    <row r="22" spans="1:9" ht="15.75" thickBot="1" x14ac:dyDescent="0.3">
      <c r="A22" s="90"/>
      <c r="B22" s="90"/>
      <c r="C22" s="90"/>
      <c r="D22" s="90"/>
      <c r="E22" s="90"/>
      <c r="F22" s="90" t="s">
        <v>63</v>
      </c>
      <c r="G22" s="92">
        <v>24.32</v>
      </c>
      <c r="H22" s="92">
        <v>633.45000000000005</v>
      </c>
      <c r="I22" s="92">
        <f>ROUND(SUM(G22:H22),5)</f>
        <v>657.77</v>
      </c>
    </row>
    <row r="23" spans="1:9" x14ac:dyDescent="0.25">
      <c r="A23" s="90"/>
      <c r="B23" s="90"/>
      <c r="C23" s="90"/>
      <c r="D23" s="90"/>
      <c r="E23" s="90" t="s">
        <v>65</v>
      </c>
      <c r="F23" s="90"/>
      <c r="G23" s="91">
        <f>ROUND(SUM(G18:G22),5)</f>
        <v>12335.15</v>
      </c>
      <c r="H23" s="91">
        <f>ROUND(SUM(H18:H22),5)</f>
        <v>49523.29</v>
      </c>
      <c r="I23" s="91">
        <f>ROUND(SUM(G23:H23),5)</f>
        <v>61858.44</v>
      </c>
    </row>
    <row r="24" spans="1:9" ht="30" customHeight="1" x14ac:dyDescent="0.25">
      <c r="A24" s="90"/>
      <c r="B24" s="90"/>
      <c r="C24" s="90"/>
      <c r="D24" s="90"/>
      <c r="E24" s="90" t="s">
        <v>67</v>
      </c>
      <c r="F24" s="90"/>
      <c r="G24" s="91"/>
      <c r="H24" s="91"/>
      <c r="I24" s="91"/>
    </row>
    <row r="25" spans="1:9" ht="15.75" thickBot="1" x14ac:dyDescent="0.3">
      <c r="A25" s="90"/>
      <c r="B25" s="90"/>
      <c r="C25" s="90"/>
      <c r="D25" s="90"/>
      <c r="E25" s="90"/>
      <c r="F25" s="90"/>
      <c r="G25" s="92">
        <v>0</v>
      </c>
      <c r="H25" s="240">
        <v>24457.98</v>
      </c>
      <c r="I25" s="92">
        <f>ROUND(SUM(G25:H25),5)</f>
        <v>24457.98</v>
      </c>
    </row>
    <row r="26" spans="1:9" x14ac:dyDescent="0.25">
      <c r="A26" s="90"/>
      <c r="B26" s="90"/>
      <c r="C26" s="90"/>
      <c r="D26" s="90"/>
      <c r="E26" s="90" t="s">
        <v>70</v>
      </c>
      <c r="F26" s="90"/>
      <c r="G26" s="91">
        <f>ROUND(SUM(G24:G25),5)</f>
        <v>0</v>
      </c>
      <c r="H26" s="91">
        <f>ROUND(SUM(H24:H25),5)</f>
        <v>24457.98</v>
      </c>
      <c r="I26" s="91">
        <f>ROUND(SUM(G26:H26),5)</f>
        <v>24457.98</v>
      </c>
    </row>
    <row r="27" spans="1:9" ht="30" customHeight="1" x14ac:dyDescent="0.25">
      <c r="A27" s="90"/>
      <c r="B27" s="90"/>
      <c r="C27" s="90"/>
      <c r="D27" s="90"/>
      <c r="E27" s="90" t="s">
        <v>71</v>
      </c>
      <c r="F27" s="90"/>
      <c r="G27" s="91"/>
      <c r="H27" s="91"/>
      <c r="I27" s="91"/>
    </row>
    <row r="28" spans="1:9" x14ac:dyDescent="0.25">
      <c r="A28" s="90"/>
      <c r="B28" s="90"/>
      <c r="C28" s="90"/>
      <c r="D28" s="90"/>
      <c r="E28" s="90"/>
      <c r="F28" s="90" t="s">
        <v>72</v>
      </c>
      <c r="G28" s="91">
        <v>0</v>
      </c>
      <c r="H28" s="91">
        <v>2045.92</v>
      </c>
      <c r="I28" s="91">
        <f t="shared" ref="I28:I34" si="1">ROUND(SUM(G28:H28),5)</f>
        <v>2045.92</v>
      </c>
    </row>
    <row r="29" spans="1:9" x14ac:dyDescent="0.25">
      <c r="A29" s="90"/>
      <c r="B29" s="90"/>
      <c r="C29" s="90"/>
      <c r="D29" s="90"/>
      <c r="E29" s="90"/>
      <c r="F29" s="90" t="s">
        <v>73</v>
      </c>
      <c r="G29" s="91">
        <v>0</v>
      </c>
      <c r="H29" s="91">
        <v>2814.44</v>
      </c>
      <c r="I29" s="91">
        <f t="shared" si="1"/>
        <v>2814.44</v>
      </c>
    </row>
    <row r="30" spans="1:9" x14ac:dyDescent="0.25">
      <c r="A30" s="90"/>
      <c r="B30" s="90"/>
      <c r="C30" s="90"/>
      <c r="D30" s="90"/>
      <c r="E30" s="90"/>
      <c r="F30" s="90" t="s">
        <v>74</v>
      </c>
      <c r="G30" s="91">
        <v>2245.04</v>
      </c>
      <c r="H30" s="91">
        <v>7726.42</v>
      </c>
      <c r="I30" s="91">
        <f t="shared" si="1"/>
        <v>9971.4599999999991</v>
      </c>
    </row>
    <row r="31" spans="1:9" ht="15.75" thickBot="1" x14ac:dyDescent="0.3">
      <c r="A31" s="90"/>
      <c r="B31" s="90"/>
      <c r="C31" s="90"/>
      <c r="D31" s="90"/>
      <c r="E31" s="90"/>
      <c r="F31" s="90" t="s">
        <v>75</v>
      </c>
      <c r="G31" s="93">
        <v>0</v>
      </c>
      <c r="H31" s="93">
        <v>22528.16</v>
      </c>
      <c r="I31" s="93">
        <f t="shared" si="1"/>
        <v>22528.16</v>
      </c>
    </row>
    <row r="32" spans="1:9" ht="15.75" thickBot="1" x14ac:dyDescent="0.3">
      <c r="A32" s="90"/>
      <c r="B32" s="90"/>
      <c r="C32" s="90"/>
      <c r="D32" s="90"/>
      <c r="E32" s="90" t="s">
        <v>76</v>
      </c>
      <c r="F32" s="90"/>
      <c r="G32" s="94">
        <f>ROUND(SUM(G27:G31),5)</f>
        <v>2245.04</v>
      </c>
      <c r="H32" s="94">
        <f>ROUND(SUM(H27:H31),5)</f>
        <v>35114.94</v>
      </c>
      <c r="I32" s="94">
        <f t="shared" si="1"/>
        <v>37359.980000000003</v>
      </c>
    </row>
    <row r="33" spans="1:9" ht="30" customHeight="1" thickBot="1" x14ac:dyDescent="0.3">
      <c r="A33" s="90"/>
      <c r="B33" s="90"/>
      <c r="C33" s="90"/>
      <c r="D33" s="90" t="s">
        <v>77</v>
      </c>
      <c r="E33" s="90"/>
      <c r="F33" s="90"/>
      <c r="G33" s="95">
        <f>ROUND(SUM(G10:G11)+G17+G23+G26+G32,5)</f>
        <v>30903.55</v>
      </c>
      <c r="H33" s="95">
        <f>ROUND(SUM(H10:H11)+H17+H23+H26+H32,5)</f>
        <v>250881.1</v>
      </c>
      <c r="I33" s="95">
        <f t="shared" si="1"/>
        <v>281784.65000000002</v>
      </c>
    </row>
    <row r="34" spans="1:9" ht="30" customHeight="1" x14ac:dyDescent="0.25">
      <c r="A34" s="90"/>
      <c r="B34" s="90"/>
      <c r="C34" s="90" t="s">
        <v>78</v>
      </c>
      <c r="D34" s="90"/>
      <c r="E34" s="90"/>
      <c r="F34" s="90"/>
      <c r="G34" s="91">
        <f>ROUND(G9-G33,5)</f>
        <v>-12134.22</v>
      </c>
      <c r="H34" s="91">
        <f>ROUND(H9-H33,5)</f>
        <v>227751.19</v>
      </c>
      <c r="I34" s="91">
        <f t="shared" si="1"/>
        <v>215616.97</v>
      </c>
    </row>
    <row r="35" spans="1:9" ht="30" customHeight="1" x14ac:dyDescent="0.25">
      <c r="A35" s="90"/>
      <c r="B35" s="90"/>
      <c r="C35" s="90"/>
      <c r="D35" s="90" t="s">
        <v>79</v>
      </c>
      <c r="E35" s="90"/>
      <c r="F35" s="90"/>
      <c r="G35" s="91"/>
      <c r="H35" s="91"/>
      <c r="I35" s="91"/>
    </row>
    <row r="36" spans="1:9" x14ac:dyDescent="0.25">
      <c r="A36" s="90"/>
      <c r="B36" s="90"/>
      <c r="C36" s="90"/>
      <c r="D36" s="90"/>
      <c r="E36" s="90" t="s">
        <v>82</v>
      </c>
      <c r="F36" s="90"/>
      <c r="G36" s="91">
        <v>0</v>
      </c>
      <c r="H36" s="91">
        <v>63.44</v>
      </c>
      <c r="I36" s="91">
        <f t="shared" ref="I36:I41" si="2">ROUND(SUM(G36:H36),5)</f>
        <v>63.44</v>
      </c>
    </row>
    <row r="37" spans="1:9" x14ac:dyDescent="0.25">
      <c r="A37" s="90"/>
      <c r="B37" s="90"/>
      <c r="C37" s="90"/>
      <c r="D37" s="90"/>
      <c r="E37" s="90" t="s">
        <v>185</v>
      </c>
      <c r="F37" s="90"/>
      <c r="G37" s="91">
        <v>0</v>
      </c>
      <c r="H37" s="91">
        <v>50</v>
      </c>
      <c r="I37" s="91">
        <f t="shared" si="2"/>
        <v>50</v>
      </c>
    </row>
    <row r="38" spans="1:9" x14ac:dyDescent="0.25">
      <c r="A38" s="90"/>
      <c r="B38" s="90"/>
      <c r="C38" s="90"/>
      <c r="D38" s="90"/>
      <c r="E38" s="90" t="s">
        <v>83</v>
      </c>
      <c r="F38" s="90"/>
      <c r="G38" s="91">
        <v>0</v>
      </c>
      <c r="H38" s="91">
        <v>2136.25</v>
      </c>
      <c r="I38" s="91">
        <f t="shared" si="2"/>
        <v>2136.25</v>
      </c>
    </row>
    <row r="39" spans="1:9" x14ac:dyDescent="0.25">
      <c r="A39" s="90"/>
      <c r="B39" s="90"/>
      <c r="C39" s="90"/>
      <c r="D39" s="90"/>
      <c r="E39" s="90" t="s">
        <v>84</v>
      </c>
      <c r="F39" s="90"/>
      <c r="G39" s="91">
        <v>0</v>
      </c>
      <c r="H39" s="91">
        <v>1040.25</v>
      </c>
      <c r="I39" s="91">
        <f t="shared" si="2"/>
        <v>1040.25</v>
      </c>
    </row>
    <row r="40" spans="1:9" x14ac:dyDescent="0.25">
      <c r="A40" s="90"/>
      <c r="B40" s="90"/>
      <c r="C40" s="90"/>
      <c r="D40" s="90"/>
      <c r="E40" s="90" t="s">
        <v>85</v>
      </c>
      <c r="F40" s="90"/>
      <c r="G40" s="91">
        <v>0</v>
      </c>
      <c r="H40" s="91">
        <v>3730.95</v>
      </c>
      <c r="I40" s="91">
        <f t="shared" si="2"/>
        <v>3730.95</v>
      </c>
    </row>
    <row r="41" spans="1:9" x14ac:dyDescent="0.25">
      <c r="A41" s="90"/>
      <c r="B41" s="90"/>
      <c r="C41" s="90"/>
      <c r="D41" s="90"/>
      <c r="E41" s="90" t="s">
        <v>89</v>
      </c>
      <c r="F41" s="90"/>
      <c r="G41" s="91">
        <v>0</v>
      </c>
      <c r="H41" s="91">
        <v>4685.99</v>
      </c>
      <c r="I41" s="91">
        <f t="shared" si="2"/>
        <v>4685.99</v>
      </c>
    </row>
    <row r="42" spans="1:9" x14ac:dyDescent="0.25">
      <c r="A42" s="90"/>
      <c r="B42" s="90"/>
      <c r="C42" s="90"/>
      <c r="D42" s="90"/>
      <c r="E42" s="90" t="s">
        <v>90</v>
      </c>
      <c r="F42" s="90"/>
      <c r="G42" s="91"/>
      <c r="H42" s="91"/>
      <c r="I42" s="91"/>
    </row>
    <row r="43" spans="1:9" x14ac:dyDescent="0.25">
      <c r="A43" s="90"/>
      <c r="B43" s="90"/>
      <c r="C43" s="90"/>
      <c r="D43" s="90"/>
      <c r="E43" s="90"/>
      <c r="F43" s="90" t="s">
        <v>91</v>
      </c>
      <c r="G43" s="91">
        <v>0</v>
      </c>
      <c r="H43" s="91">
        <v>22350</v>
      </c>
      <c r="I43" s="91">
        <f t="shared" ref="I43:I52" si="3">ROUND(SUM(G43:H43),5)</f>
        <v>22350</v>
      </c>
    </row>
    <row r="44" spans="1:9" x14ac:dyDescent="0.25">
      <c r="A44" s="90"/>
      <c r="B44" s="90"/>
      <c r="C44" s="90"/>
      <c r="D44" s="90"/>
      <c r="E44" s="90"/>
      <c r="F44" s="90" t="s">
        <v>92</v>
      </c>
      <c r="G44" s="91">
        <v>0</v>
      </c>
      <c r="H44" s="91">
        <v>23</v>
      </c>
      <c r="I44" s="91">
        <f t="shared" si="3"/>
        <v>23</v>
      </c>
    </row>
    <row r="45" spans="1:9" x14ac:dyDescent="0.25">
      <c r="A45" s="90"/>
      <c r="B45" s="90"/>
      <c r="C45" s="90"/>
      <c r="D45" s="90"/>
      <c r="E45" s="90"/>
      <c r="F45" s="90" t="s">
        <v>204</v>
      </c>
      <c r="G45" s="91">
        <v>0</v>
      </c>
      <c r="H45" s="91">
        <v>2000</v>
      </c>
      <c r="I45" s="91">
        <f t="shared" si="3"/>
        <v>2000</v>
      </c>
    </row>
    <row r="46" spans="1:9" ht="15.75" thickBot="1" x14ac:dyDescent="0.3">
      <c r="A46" s="90"/>
      <c r="B46" s="90"/>
      <c r="C46" s="90"/>
      <c r="D46" s="90"/>
      <c r="E46" s="90"/>
      <c r="F46" s="90" t="s">
        <v>93</v>
      </c>
      <c r="G46" s="92">
        <v>0</v>
      </c>
      <c r="H46" s="92">
        <v>12500</v>
      </c>
      <c r="I46" s="92">
        <f t="shared" si="3"/>
        <v>12500</v>
      </c>
    </row>
    <row r="47" spans="1:9" x14ac:dyDescent="0.25">
      <c r="A47" s="90"/>
      <c r="B47" s="90"/>
      <c r="C47" s="90"/>
      <c r="D47" s="90"/>
      <c r="E47" s="90" t="s">
        <v>95</v>
      </c>
      <c r="F47" s="90"/>
      <c r="G47" s="91">
        <f>ROUND(SUM(G42:G46),5)</f>
        <v>0</v>
      </c>
      <c r="H47" s="91">
        <f>ROUND(SUM(H42:H46),5)</f>
        <v>36873</v>
      </c>
      <c r="I47" s="91">
        <f t="shared" si="3"/>
        <v>36873</v>
      </c>
    </row>
    <row r="48" spans="1:9" ht="30" customHeight="1" x14ac:dyDescent="0.25">
      <c r="A48" s="90"/>
      <c r="B48" s="90"/>
      <c r="C48" s="90"/>
      <c r="D48" s="90"/>
      <c r="E48" s="90" t="s">
        <v>98</v>
      </c>
      <c r="F48" s="90"/>
      <c r="G48" s="91">
        <v>0</v>
      </c>
      <c r="H48" s="91">
        <v>1596.24</v>
      </c>
      <c r="I48" s="91">
        <f t="shared" si="3"/>
        <v>1596.24</v>
      </c>
    </row>
    <row r="49" spans="1:9" x14ac:dyDescent="0.25">
      <c r="A49" s="90"/>
      <c r="B49" s="90"/>
      <c r="C49" s="90"/>
      <c r="D49" s="90"/>
      <c r="E49" s="90" t="s">
        <v>101</v>
      </c>
      <c r="F49" s="90"/>
      <c r="G49" s="91">
        <v>0</v>
      </c>
      <c r="H49" s="241">
        <v>11694.67</v>
      </c>
      <c r="I49" s="91">
        <f t="shared" si="3"/>
        <v>11694.67</v>
      </c>
    </row>
    <row r="50" spans="1:9" x14ac:dyDescent="0.25">
      <c r="A50" s="90"/>
      <c r="B50" s="90"/>
      <c r="C50" s="90"/>
      <c r="D50" s="90"/>
      <c r="E50" s="90" t="s">
        <v>103</v>
      </c>
      <c r="F50" s="90"/>
      <c r="G50" s="91">
        <v>0</v>
      </c>
      <c r="H50" s="91">
        <v>100</v>
      </c>
      <c r="I50" s="91">
        <f t="shared" si="3"/>
        <v>100</v>
      </c>
    </row>
    <row r="51" spans="1:9" x14ac:dyDescent="0.25">
      <c r="A51" s="90"/>
      <c r="B51" s="90"/>
      <c r="C51" s="90"/>
      <c r="D51" s="90"/>
      <c r="E51" s="90" t="s">
        <v>104</v>
      </c>
      <c r="F51" s="90"/>
      <c r="G51" s="91">
        <v>0</v>
      </c>
      <c r="H51" s="91">
        <v>26000</v>
      </c>
      <c r="I51" s="91">
        <f t="shared" si="3"/>
        <v>26000</v>
      </c>
    </row>
    <row r="52" spans="1:9" x14ac:dyDescent="0.25">
      <c r="A52" s="90"/>
      <c r="B52" s="90"/>
      <c r="C52" s="90"/>
      <c r="D52" s="90"/>
      <c r="E52" s="90" t="s">
        <v>105</v>
      </c>
      <c r="F52" s="90"/>
      <c r="G52" s="91">
        <v>0</v>
      </c>
      <c r="H52" s="91">
        <v>252.37</v>
      </c>
      <c r="I52" s="91">
        <f t="shared" si="3"/>
        <v>252.37</v>
      </c>
    </row>
    <row r="53" spans="1:9" x14ac:dyDescent="0.25">
      <c r="A53" s="90"/>
      <c r="B53" s="90"/>
      <c r="C53" s="90"/>
      <c r="D53" s="90"/>
      <c r="E53" s="90" t="s">
        <v>106</v>
      </c>
      <c r="F53" s="90"/>
      <c r="G53" s="91"/>
      <c r="H53" s="91"/>
      <c r="I53" s="91"/>
    </row>
    <row r="54" spans="1:9" x14ac:dyDescent="0.25">
      <c r="A54" s="90"/>
      <c r="B54" s="90"/>
      <c r="C54" s="90"/>
      <c r="D54" s="90"/>
      <c r="E54" s="90"/>
      <c r="F54" s="90" t="s">
        <v>186</v>
      </c>
      <c r="G54" s="91">
        <v>1925.22</v>
      </c>
      <c r="H54" s="91">
        <v>0</v>
      </c>
      <c r="I54" s="91">
        <f t="shared" ref="I54:I63" si="4">ROUND(SUM(G54:H54),5)</f>
        <v>1925.22</v>
      </c>
    </row>
    <row r="55" spans="1:9" ht="15.75" thickBot="1" x14ac:dyDescent="0.3">
      <c r="A55" s="90"/>
      <c r="B55" s="90"/>
      <c r="C55" s="90"/>
      <c r="D55" s="90"/>
      <c r="E55" s="90"/>
      <c r="F55" s="90" t="s">
        <v>187</v>
      </c>
      <c r="G55" s="92">
        <v>0</v>
      </c>
      <c r="H55" s="240">
        <v>89193.26</v>
      </c>
      <c r="I55" s="92">
        <f t="shared" si="4"/>
        <v>89193.26</v>
      </c>
    </row>
    <row r="56" spans="1:9" x14ac:dyDescent="0.25">
      <c r="A56" s="90"/>
      <c r="B56" s="90"/>
      <c r="C56" s="90"/>
      <c r="D56" s="90"/>
      <c r="E56" s="90" t="s">
        <v>188</v>
      </c>
      <c r="F56" s="90"/>
      <c r="G56" s="91">
        <f>ROUND(SUM(G53:G55),5)</f>
        <v>1925.22</v>
      </c>
      <c r="H56" s="91">
        <f>ROUND(SUM(H53:H55),5)</f>
        <v>89193.26</v>
      </c>
      <c r="I56" s="91">
        <f t="shared" si="4"/>
        <v>91118.48</v>
      </c>
    </row>
    <row r="57" spans="1:9" ht="30" customHeight="1" x14ac:dyDescent="0.25">
      <c r="A57" s="90"/>
      <c r="B57" s="90"/>
      <c r="C57" s="90"/>
      <c r="D57" s="90"/>
      <c r="E57" s="90" t="s">
        <v>109</v>
      </c>
      <c r="F57" s="90"/>
      <c r="G57" s="91">
        <v>0</v>
      </c>
      <c r="H57" s="91">
        <v>3914.21</v>
      </c>
      <c r="I57" s="91">
        <f t="shared" si="4"/>
        <v>3914.21</v>
      </c>
    </row>
    <row r="58" spans="1:9" x14ac:dyDescent="0.25">
      <c r="A58" s="90"/>
      <c r="B58" s="90"/>
      <c r="C58" s="90"/>
      <c r="D58" s="90"/>
      <c r="E58" s="90" t="s">
        <v>110</v>
      </c>
      <c r="F58" s="90"/>
      <c r="G58" s="91">
        <v>0</v>
      </c>
      <c r="H58" s="91">
        <v>128.69999999999999</v>
      </c>
      <c r="I58" s="91">
        <f t="shared" si="4"/>
        <v>128.69999999999999</v>
      </c>
    </row>
    <row r="59" spans="1:9" x14ac:dyDescent="0.25">
      <c r="A59" s="90"/>
      <c r="B59" s="90"/>
      <c r="C59" s="90"/>
      <c r="D59" s="90"/>
      <c r="E59" s="90" t="s">
        <v>111</v>
      </c>
      <c r="F59" s="90"/>
      <c r="G59" s="91">
        <v>0</v>
      </c>
      <c r="H59" s="91">
        <v>2960</v>
      </c>
      <c r="I59" s="91">
        <f t="shared" si="4"/>
        <v>2960</v>
      </c>
    </row>
    <row r="60" spans="1:9" x14ac:dyDescent="0.25">
      <c r="A60" s="90"/>
      <c r="B60" s="90"/>
      <c r="C60" s="90"/>
      <c r="D60" s="90"/>
      <c r="E60" s="90" t="s">
        <v>112</v>
      </c>
      <c r="F60" s="90"/>
      <c r="G60" s="91">
        <v>0</v>
      </c>
      <c r="H60" s="91">
        <v>15644</v>
      </c>
      <c r="I60" s="91">
        <f t="shared" si="4"/>
        <v>15644</v>
      </c>
    </row>
    <row r="61" spans="1:9" ht="15.75" thickBot="1" x14ac:dyDescent="0.3">
      <c r="A61" s="90"/>
      <c r="B61" s="90"/>
      <c r="C61" s="90"/>
      <c r="D61" s="90"/>
      <c r="E61" s="90" t="s">
        <v>113</v>
      </c>
      <c r="F61" s="90"/>
      <c r="G61" s="93">
        <v>0</v>
      </c>
      <c r="H61" s="93">
        <v>9500</v>
      </c>
      <c r="I61" s="93">
        <f t="shared" si="4"/>
        <v>9500</v>
      </c>
    </row>
    <row r="62" spans="1:9" ht="15.75" thickBot="1" x14ac:dyDescent="0.3">
      <c r="A62" s="90"/>
      <c r="B62" s="90"/>
      <c r="C62" s="90"/>
      <c r="D62" s="90" t="s">
        <v>114</v>
      </c>
      <c r="E62" s="90"/>
      <c r="F62" s="90"/>
      <c r="G62" s="95">
        <f>ROUND(SUM(G35:G41)+SUM(G47:G52)+SUM(G56:G61),5)</f>
        <v>1925.22</v>
      </c>
      <c r="H62" s="95">
        <f>ROUND(SUM(H35:H41)+SUM(H47:H52)+SUM(H56:H61),5)</f>
        <v>209563.33</v>
      </c>
      <c r="I62" s="95">
        <f t="shared" si="4"/>
        <v>211488.55</v>
      </c>
    </row>
    <row r="63" spans="1:9" ht="30" customHeight="1" x14ac:dyDescent="0.25">
      <c r="A63" s="90"/>
      <c r="B63" s="90" t="s">
        <v>115</v>
      </c>
      <c r="C63" s="90"/>
      <c r="D63" s="90"/>
      <c r="E63" s="90"/>
      <c r="F63" s="90"/>
      <c r="G63" s="91">
        <f>ROUND(G2+G34-G62,5)</f>
        <v>-14059.44</v>
      </c>
      <c r="H63" s="91">
        <f>ROUND(H2+H34-H62,5)</f>
        <v>18187.86</v>
      </c>
      <c r="I63" s="91">
        <f t="shared" si="4"/>
        <v>4128.42</v>
      </c>
    </row>
    <row r="64" spans="1:9" ht="30" customHeight="1" x14ac:dyDescent="0.25">
      <c r="A64" s="90"/>
      <c r="B64" s="90" t="s">
        <v>116</v>
      </c>
      <c r="C64" s="90"/>
      <c r="D64" s="90"/>
      <c r="E64" s="90"/>
      <c r="F64" s="90"/>
      <c r="G64" s="91"/>
      <c r="H64" s="91"/>
      <c r="I64" s="91"/>
    </row>
    <row r="65" spans="1:9" x14ac:dyDescent="0.25">
      <c r="A65" s="90"/>
      <c r="B65" s="90"/>
      <c r="C65" s="90" t="s">
        <v>117</v>
      </c>
      <c r="D65" s="90"/>
      <c r="E65" s="90"/>
      <c r="F65" s="90"/>
      <c r="G65" s="91"/>
      <c r="H65" s="91"/>
      <c r="I65" s="91"/>
    </row>
    <row r="66" spans="1:9" ht="15.75" thickBot="1" x14ac:dyDescent="0.3">
      <c r="A66" s="90"/>
      <c r="B66" s="90"/>
      <c r="C66" s="90"/>
      <c r="D66" s="90" t="s">
        <v>117</v>
      </c>
      <c r="E66" s="90"/>
      <c r="F66" s="90"/>
      <c r="G66" s="92">
        <v>0</v>
      </c>
      <c r="H66" s="92">
        <v>0</v>
      </c>
      <c r="I66" s="92">
        <f>ROUND(SUM(G66:H66),5)</f>
        <v>0</v>
      </c>
    </row>
    <row r="67" spans="1:9" x14ac:dyDescent="0.25">
      <c r="A67" s="90"/>
      <c r="B67" s="90"/>
      <c r="C67" s="90" t="s">
        <v>118</v>
      </c>
      <c r="D67" s="90"/>
      <c r="E67" s="90"/>
      <c r="F67" s="90"/>
      <c r="G67" s="91">
        <f>ROUND(SUM(G65:G66),5)</f>
        <v>0</v>
      </c>
      <c r="H67" s="91">
        <f>ROUND(SUM(H65:H66),5)</f>
        <v>0</v>
      </c>
      <c r="I67" s="91">
        <f>ROUND(SUM(G67:H67),5)</f>
        <v>0</v>
      </c>
    </row>
    <row r="68" spans="1:9" ht="30" customHeight="1" x14ac:dyDescent="0.25">
      <c r="A68" s="90"/>
      <c r="B68" s="90"/>
      <c r="C68" s="90" t="s">
        <v>119</v>
      </c>
      <c r="D68" s="90"/>
      <c r="E68" s="90"/>
      <c r="F68" s="90"/>
      <c r="G68" s="91"/>
      <c r="H68" s="91"/>
      <c r="I68" s="91"/>
    </row>
    <row r="69" spans="1:9" ht="15.75" thickBot="1" x14ac:dyDescent="0.3">
      <c r="A69" s="90"/>
      <c r="B69" s="90"/>
      <c r="C69" s="90"/>
      <c r="D69" s="90" t="s">
        <v>121</v>
      </c>
      <c r="E69" s="90"/>
      <c r="F69" s="90"/>
      <c r="G69" s="93">
        <v>0</v>
      </c>
      <c r="H69" s="93">
        <v>23614.19</v>
      </c>
      <c r="I69" s="93">
        <f>ROUND(SUM(G69:H69),5)</f>
        <v>23614.19</v>
      </c>
    </row>
    <row r="70" spans="1:9" ht="15.75" thickBot="1" x14ac:dyDescent="0.3">
      <c r="A70" s="90"/>
      <c r="B70" s="90"/>
      <c r="C70" s="90" t="s">
        <v>123</v>
      </c>
      <c r="D70" s="90"/>
      <c r="E70" s="90"/>
      <c r="F70" s="90"/>
      <c r="G70" s="94">
        <f>ROUND(SUM(G68:G69),5)</f>
        <v>0</v>
      </c>
      <c r="H70" s="94">
        <f>ROUND(SUM(H68:H69),5)</f>
        <v>23614.19</v>
      </c>
      <c r="I70" s="94">
        <f>ROUND(SUM(G70:H70),5)</f>
        <v>23614.19</v>
      </c>
    </row>
    <row r="71" spans="1:9" ht="30" customHeight="1" thickBot="1" x14ac:dyDescent="0.3">
      <c r="A71" s="90"/>
      <c r="B71" s="90" t="s">
        <v>124</v>
      </c>
      <c r="C71" s="90"/>
      <c r="D71" s="90"/>
      <c r="E71" s="90"/>
      <c r="F71" s="90"/>
      <c r="G71" s="94">
        <f>ROUND(G64+G67-G70,5)</f>
        <v>0</v>
      </c>
      <c r="H71" s="94">
        <f>ROUND(H64+H67-H70,5)</f>
        <v>-23614.19</v>
      </c>
      <c r="I71" s="94">
        <f>ROUND(SUM(G71:H71),5)</f>
        <v>-23614.19</v>
      </c>
    </row>
    <row r="72" spans="1:9" s="97" customFormat="1" ht="30" customHeight="1" thickBot="1" x14ac:dyDescent="0.25">
      <c r="A72" s="90" t="s">
        <v>125</v>
      </c>
      <c r="B72" s="90"/>
      <c r="C72" s="90"/>
      <c r="D72" s="90"/>
      <c r="E72" s="90"/>
      <c r="F72" s="90"/>
      <c r="G72" s="96">
        <f>ROUND(G63+G71,5)</f>
        <v>-14059.44</v>
      </c>
      <c r="H72" s="96">
        <f>ROUND(H63+H71,5)</f>
        <v>-5426.33</v>
      </c>
      <c r="I72" s="96">
        <f>ROUND(SUM(G72:H72),5)</f>
        <v>-19485.77</v>
      </c>
    </row>
    <row r="73" spans="1:9" ht="15.75" thickTop="1" x14ac:dyDescent="0.25"/>
  </sheetData>
  <pageMargins left="0.7" right="0.7" top="0.75" bottom="0.75" header="0.25" footer="0.3"/>
  <pageSetup orientation="portrait" r:id="rId1"/>
  <headerFooter>
    <oddHeader>&amp;L&amp;"Arial,Bold"&amp;8 12:55 AM
&amp;"Arial,Bold"&amp;8 11/21/16
&amp;"Arial,Bold"&amp;8 Accrual Basis&amp;C&amp;"Arial,Bold"&amp;12 CIS INTERNATIONAL HOLDINGS (N.A)  CORP.
&amp;"Arial,Bold"&amp;14 Profit &amp;&amp; Loss by Class
&amp;"Arial,Bold"&amp;10 September 30 through October 27, 2016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97281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97281" r:id="rId4" name="FILTER"/>
      </mc:Fallback>
    </mc:AlternateContent>
    <mc:AlternateContent xmlns:mc="http://schemas.openxmlformats.org/markup-compatibility/2006">
      <mc:Choice Requires="x14">
        <control shapeId="97282" r:id="rId6" name="HEAD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97282" r:id="rId6" name="HEADER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theme="5" tint="0.59999389629810485"/>
  </sheetPr>
  <dimension ref="A1:P71"/>
  <sheetViews>
    <sheetView workbookViewId="0">
      <pane xSplit="6" ySplit="1" topLeftCell="G2" activePane="bottomRight" state="frozenSplit"/>
      <selection pane="topRight" activeCell="G1" sqref="G1"/>
      <selection pane="bottomLeft" activeCell="A2" sqref="A2"/>
      <selection pane="bottomRight" activeCell="N13" sqref="N13"/>
    </sheetView>
  </sheetViews>
  <sheetFormatPr defaultRowHeight="15" x14ac:dyDescent="0.25"/>
  <cols>
    <col min="1" max="5" width="3" style="98" customWidth="1"/>
    <col min="6" max="6" width="26.42578125" style="98" customWidth="1"/>
    <col min="7" max="7" width="18.85546875" style="75" bestFit="1" customWidth="1"/>
    <col min="8" max="8" width="10.5703125" style="75" bestFit="1" customWidth="1"/>
    <col min="9" max="9" width="8.7109375" style="75" bestFit="1" customWidth="1"/>
    <col min="10" max="12" width="9.140625" style="7"/>
    <col min="13" max="13" width="27.85546875" style="7" customWidth="1"/>
    <col min="14" max="14" width="10.5703125" style="7" customWidth="1"/>
    <col min="15" max="15" width="18" style="7" customWidth="1"/>
    <col min="16" max="16" width="11.28515625" style="7" customWidth="1"/>
    <col min="17" max="16384" width="9.140625" style="7"/>
  </cols>
  <sheetData>
    <row r="1" spans="1:16" s="47" customFormat="1" ht="15.75" thickBot="1" x14ac:dyDescent="0.3">
      <c r="A1" s="88"/>
      <c r="B1" s="88"/>
      <c r="C1" s="88"/>
      <c r="D1" s="88"/>
      <c r="E1" s="88"/>
      <c r="F1" s="88"/>
      <c r="G1" s="89" t="s">
        <v>213</v>
      </c>
      <c r="H1" s="89" t="s">
        <v>221</v>
      </c>
      <c r="I1" s="89" t="s">
        <v>222</v>
      </c>
    </row>
    <row r="2" spans="1:16" ht="15.75" thickTop="1" x14ac:dyDescent="0.25">
      <c r="A2" s="90"/>
      <c r="B2" s="90" t="s">
        <v>39</v>
      </c>
      <c r="C2" s="90"/>
      <c r="D2" s="90"/>
      <c r="E2" s="90"/>
      <c r="F2" s="90"/>
      <c r="G2" s="91"/>
      <c r="H2" s="91"/>
      <c r="I2" s="91"/>
    </row>
    <row r="3" spans="1:16" x14ac:dyDescent="0.25">
      <c r="A3" s="90"/>
      <c r="B3" s="90"/>
      <c r="C3" s="90"/>
      <c r="D3" s="90" t="s">
        <v>40</v>
      </c>
      <c r="E3" s="90"/>
      <c r="F3" s="90"/>
      <c r="G3" s="91"/>
      <c r="H3" s="91"/>
      <c r="I3" s="91"/>
    </row>
    <row r="4" spans="1:16" x14ac:dyDescent="0.25">
      <c r="A4" s="90"/>
      <c r="B4" s="90"/>
      <c r="C4" s="90"/>
      <c r="D4" s="90"/>
      <c r="E4" s="90" t="s">
        <v>41</v>
      </c>
      <c r="F4" s="90"/>
      <c r="G4" s="91">
        <v>-154.44</v>
      </c>
      <c r="H4" s="91">
        <v>-16916.61</v>
      </c>
      <c r="I4" s="91">
        <f>ROUND(SUM(G4:H4),5)</f>
        <v>-17071.05</v>
      </c>
    </row>
    <row r="5" spans="1:16" x14ac:dyDescent="0.25">
      <c r="A5" s="90"/>
      <c r="B5" s="90"/>
      <c r="C5" s="90"/>
      <c r="D5" s="90"/>
      <c r="E5" s="90" t="s">
        <v>131</v>
      </c>
      <c r="F5" s="90"/>
      <c r="G5" s="91">
        <v>2056</v>
      </c>
      <c r="H5" s="91">
        <v>0</v>
      </c>
      <c r="I5" s="91">
        <f>ROUND(SUM(G5:H5),5)</f>
        <v>2056</v>
      </c>
    </row>
    <row r="6" spans="1:16" x14ac:dyDescent="0.25">
      <c r="A6" s="90"/>
      <c r="B6" s="90"/>
      <c r="C6" s="90"/>
      <c r="D6" s="90"/>
      <c r="E6" s="90" t="s">
        <v>45</v>
      </c>
      <c r="F6" s="90"/>
      <c r="G6" s="91">
        <v>710</v>
      </c>
      <c r="H6" s="91">
        <v>64520.5</v>
      </c>
      <c r="I6" s="91">
        <f>ROUND(SUM(G6:H6),5)</f>
        <v>65230.5</v>
      </c>
    </row>
    <row r="7" spans="1:16" ht="15.75" thickBot="1" x14ac:dyDescent="0.3">
      <c r="A7" s="90"/>
      <c r="B7" s="90"/>
      <c r="C7" s="90"/>
      <c r="D7" s="90"/>
      <c r="E7" s="90" t="s">
        <v>47</v>
      </c>
      <c r="F7" s="90"/>
      <c r="G7" s="92">
        <v>40520.92</v>
      </c>
      <c r="H7" s="92">
        <v>758536.49</v>
      </c>
      <c r="I7" s="92">
        <f>ROUND(SUM(G7:H7),5)</f>
        <v>799057.41</v>
      </c>
    </row>
    <row r="8" spans="1:16" ht="30" x14ac:dyDescent="0.25">
      <c r="A8" s="90"/>
      <c r="B8" s="90"/>
      <c r="C8" s="90"/>
      <c r="D8" s="90" t="s">
        <v>49</v>
      </c>
      <c r="E8" s="90"/>
      <c r="F8" s="90"/>
      <c r="G8" s="91">
        <f>ROUND(SUM(G3:G7),5)</f>
        <v>43132.480000000003</v>
      </c>
      <c r="H8" s="91">
        <f>ROUND(SUM(H3:H7),5)</f>
        <v>806140.38</v>
      </c>
      <c r="I8" s="91">
        <f>ROUND(SUM(G8:H8),5)</f>
        <v>849272.86</v>
      </c>
      <c r="M8" s="187" t="s">
        <v>189</v>
      </c>
      <c r="N8" s="188" t="s">
        <v>149</v>
      </c>
      <c r="O8" s="189" t="s">
        <v>190</v>
      </c>
      <c r="P8" s="188" t="s">
        <v>191</v>
      </c>
    </row>
    <row r="9" spans="1:16" ht="30" customHeight="1" x14ac:dyDescent="0.25">
      <c r="A9" s="90"/>
      <c r="B9" s="90"/>
      <c r="C9" s="90"/>
      <c r="D9" s="90" t="s">
        <v>50</v>
      </c>
      <c r="E9" s="90"/>
      <c r="F9" s="90"/>
      <c r="G9" s="91"/>
      <c r="H9" s="91"/>
      <c r="I9" s="91"/>
      <c r="M9" s="123" t="s">
        <v>192</v>
      </c>
      <c r="N9" s="124">
        <f>I55+I49</f>
        <v>137804.54999999999</v>
      </c>
      <c r="O9" s="123"/>
      <c r="P9" s="123" t="s">
        <v>193</v>
      </c>
    </row>
    <row r="10" spans="1:16" x14ac:dyDescent="0.25">
      <c r="A10" s="90"/>
      <c r="B10" s="90"/>
      <c r="C10" s="90"/>
      <c r="D10" s="90"/>
      <c r="E10" s="90" t="s">
        <v>51</v>
      </c>
      <c r="F10" s="90"/>
      <c r="G10" s="91">
        <v>0</v>
      </c>
      <c r="H10" s="91">
        <v>1147.28</v>
      </c>
      <c r="I10" s="91">
        <f>ROUND(SUM(G10:H10),5)</f>
        <v>1147.28</v>
      </c>
      <c r="M10" s="190"/>
      <c r="N10" s="190"/>
      <c r="O10" s="190"/>
      <c r="P10" s="190"/>
    </row>
    <row r="11" spans="1:16" x14ac:dyDescent="0.25">
      <c r="A11" s="90"/>
      <c r="B11" s="90"/>
      <c r="C11" s="90"/>
      <c r="D11" s="90"/>
      <c r="E11" s="90" t="s">
        <v>54</v>
      </c>
      <c r="F11" s="90"/>
      <c r="G11" s="91"/>
      <c r="H11" s="91"/>
      <c r="I11" s="91"/>
    </row>
    <row r="12" spans="1:16" ht="30" x14ac:dyDescent="0.25">
      <c r="A12" s="90"/>
      <c r="B12" s="90"/>
      <c r="C12" s="90"/>
      <c r="D12" s="90"/>
      <c r="E12" s="90"/>
      <c r="F12" s="90" t="s">
        <v>184</v>
      </c>
      <c r="G12" s="91">
        <v>32532.3</v>
      </c>
      <c r="H12" s="91">
        <v>-4402</v>
      </c>
      <c r="I12" s="91">
        <f>ROUND(SUM(G12:H12),5)</f>
        <v>28130.3</v>
      </c>
      <c r="M12" s="187" t="s">
        <v>194</v>
      </c>
      <c r="N12" s="188" t="s">
        <v>149</v>
      </c>
      <c r="O12" s="189" t="s">
        <v>190</v>
      </c>
      <c r="P12" s="188" t="s">
        <v>191</v>
      </c>
    </row>
    <row r="13" spans="1:16" x14ac:dyDescent="0.25">
      <c r="A13" s="90"/>
      <c r="B13" s="90"/>
      <c r="C13" s="90"/>
      <c r="D13" s="90"/>
      <c r="E13" s="90"/>
      <c r="F13" s="90" t="s">
        <v>42</v>
      </c>
      <c r="G13" s="91">
        <v>1047.29</v>
      </c>
      <c r="H13" s="91">
        <v>-5764.11</v>
      </c>
      <c r="I13" s="91">
        <f>ROUND(SUM(G13:H13),5)</f>
        <v>-4716.82</v>
      </c>
      <c r="M13" s="123" t="s">
        <v>152</v>
      </c>
      <c r="N13" s="124">
        <f>I63+I68-N9</f>
        <v>126218.10999999999</v>
      </c>
      <c r="O13" s="123"/>
      <c r="P13" s="123" t="s">
        <v>193</v>
      </c>
    </row>
    <row r="14" spans="1:16" x14ac:dyDescent="0.25">
      <c r="A14" s="90"/>
      <c r="B14" s="90"/>
      <c r="C14" s="90"/>
      <c r="D14" s="90"/>
      <c r="E14" s="90"/>
      <c r="F14" s="90" t="s">
        <v>55</v>
      </c>
      <c r="G14" s="91">
        <v>0</v>
      </c>
      <c r="H14" s="91">
        <v>6051.2</v>
      </c>
      <c r="I14" s="91">
        <f>ROUND(SUM(G14:H14),5)</f>
        <v>6051.2</v>
      </c>
    </row>
    <row r="15" spans="1:16" ht="15.75" thickBot="1" x14ac:dyDescent="0.3">
      <c r="A15" s="90"/>
      <c r="B15" s="90"/>
      <c r="C15" s="90"/>
      <c r="D15" s="90"/>
      <c r="E15" s="90"/>
      <c r="F15" s="90" t="s">
        <v>56</v>
      </c>
      <c r="G15" s="92">
        <v>375</v>
      </c>
      <c r="H15" s="92">
        <v>264033.38</v>
      </c>
      <c r="I15" s="92">
        <f>ROUND(SUM(G15:H15),5)</f>
        <v>264408.38</v>
      </c>
    </row>
    <row r="16" spans="1:16" x14ac:dyDescent="0.25">
      <c r="A16" s="90"/>
      <c r="B16" s="90"/>
      <c r="C16" s="90"/>
      <c r="D16" s="90"/>
      <c r="E16" s="90" t="s">
        <v>57</v>
      </c>
      <c r="F16" s="90"/>
      <c r="G16" s="91">
        <f>ROUND(SUM(G11:G15),5)</f>
        <v>33954.589999999997</v>
      </c>
      <c r="H16" s="91">
        <f>ROUND(SUM(H11:H15),5)</f>
        <v>259918.47</v>
      </c>
      <c r="I16" s="91">
        <f>ROUND(SUM(G16:H16),5)</f>
        <v>293873.06</v>
      </c>
    </row>
    <row r="17" spans="1:9" ht="30" customHeight="1" x14ac:dyDescent="0.25">
      <c r="A17" s="90"/>
      <c r="B17" s="90"/>
      <c r="C17" s="90"/>
      <c r="D17" s="90"/>
      <c r="E17" s="90" t="s">
        <v>58</v>
      </c>
      <c r="F17" s="90"/>
      <c r="G17" s="91"/>
      <c r="H17" s="91"/>
      <c r="I17" s="91"/>
    </row>
    <row r="18" spans="1:9" x14ac:dyDescent="0.25">
      <c r="A18" s="90"/>
      <c r="B18" s="90"/>
      <c r="C18" s="90"/>
      <c r="D18" s="90"/>
      <c r="E18" s="90"/>
      <c r="F18" s="90" t="s">
        <v>59</v>
      </c>
      <c r="G18" s="91">
        <v>841.94</v>
      </c>
      <c r="H18" s="91">
        <v>15000.47</v>
      </c>
      <c r="I18" s="91">
        <f>ROUND(SUM(G18:H18),5)</f>
        <v>15842.41</v>
      </c>
    </row>
    <row r="19" spans="1:9" x14ac:dyDescent="0.25">
      <c r="A19" s="90"/>
      <c r="B19" s="90"/>
      <c r="C19" s="90"/>
      <c r="D19" s="90"/>
      <c r="E19" s="90"/>
      <c r="F19" s="90" t="s">
        <v>60</v>
      </c>
      <c r="G19" s="91">
        <v>2710.27</v>
      </c>
      <c r="H19" s="91">
        <v>415.75</v>
      </c>
      <c r="I19" s="91">
        <f>ROUND(SUM(G19:H19),5)</f>
        <v>3126.02</v>
      </c>
    </row>
    <row r="20" spans="1:9" x14ac:dyDescent="0.25">
      <c r="A20" s="90"/>
      <c r="B20" s="90"/>
      <c r="C20" s="90"/>
      <c r="D20" s="90"/>
      <c r="E20" s="90"/>
      <c r="F20" s="90" t="s">
        <v>61</v>
      </c>
      <c r="G20" s="91">
        <v>15576.08</v>
      </c>
      <c r="H20" s="91">
        <v>77602.740000000005</v>
      </c>
      <c r="I20" s="91">
        <f>ROUND(SUM(G20:H20),5)</f>
        <v>93178.82</v>
      </c>
    </row>
    <row r="21" spans="1:9" ht="15.75" thickBot="1" x14ac:dyDescent="0.3">
      <c r="A21" s="90"/>
      <c r="B21" s="90"/>
      <c r="C21" s="90"/>
      <c r="D21" s="90"/>
      <c r="E21" s="90"/>
      <c r="F21" s="90" t="s">
        <v>63</v>
      </c>
      <c r="G21" s="92">
        <v>521</v>
      </c>
      <c r="H21" s="92">
        <v>3322.4</v>
      </c>
      <c r="I21" s="92">
        <f>ROUND(SUM(G21:H21),5)</f>
        <v>3843.4</v>
      </c>
    </row>
    <row r="22" spans="1:9" x14ac:dyDescent="0.25">
      <c r="A22" s="90"/>
      <c r="B22" s="90"/>
      <c r="C22" s="90"/>
      <c r="D22" s="90"/>
      <c r="E22" s="90" t="s">
        <v>65</v>
      </c>
      <c r="F22" s="90"/>
      <c r="G22" s="91">
        <f>ROUND(SUM(G17:G21),5)</f>
        <v>19649.29</v>
      </c>
      <c r="H22" s="91">
        <f>ROUND(SUM(H17:H21),5)</f>
        <v>96341.36</v>
      </c>
      <c r="I22" s="91">
        <f>ROUND(SUM(G22:H22),5)</f>
        <v>115990.65</v>
      </c>
    </row>
    <row r="23" spans="1:9" ht="30" customHeight="1" x14ac:dyDescent="0.25">
      <c r="A23" s="90"/>
      <c r="B23" s="90"/>
      <c r="C23" s="90"/>
      <c r="D23" s="90"/>
      <c r="E23" s="90" t="s">
        <v>67</v>
      </c>
      <c r="F23" s="90"/>
      <c r="G23" s="91"/>
      <c r="H23" s="91"/>
      <c r="I23" s="91"/>
    </row>
    <row r="24" spans="1:9" x14ac:dyDescent="0.25">
      <c r="A24" s="90"/>
      <c r="B24" s="90"/>
      <c r="C24" s="90"/>
      <c r="D24" s="90"/>
      <c r="E24" s="90"/>
      <c r="F24" s="90" t="s">
        <v>68</v>
      </c>
      <c r="G24" s="91">
        <v>0</v>
      </c>
      <c r="H24" s="91">
        <v>1785</v>
      </c>
      <c r="I24" s="91">
        <f>ROUND(SUM(G24:H24),5)</f>
        <v>1785</v>
      </c>
    </row>
    <row r="25" spans="1:9" ht="15.75" thickBot="1" x14ac:dyDescent="0.3">
      <c r="A25" s="90"/>
      <c r="B25" s="90"/>
      <c r="C25" s="90"/>
      <c r="D25" s="90"/>
      <c r="E25" s="90"/>
      <c r="F25" s="90" t="s">
        <v>69</v>
      </c>
      <c r="G25" s="92">
        <v>0</v>
      </c>
      <c r="H25" s="92">
        <v>28787.48</v>
      </c>
      <c r="I25" s="92">
        <f>ROUND(SUM(G25:H25),5)</f>
        <v>28787.48</v>
      </c>
    </row>
    <row r="26" spans="1:9" x14ac:dyDescent="0.25">
      <c r="A26" s="90"/>
      <c r="B26" s="90"/>
      <c r="C26" s="90"/>
      <c r="D26" s="90"/>
      <c r="E26" s="90" t="s">
        <v>70</v>
      </c>
      <c r="F26" s="90"/>
      <c r="G26" s="91">
        <f>ROUND(SUM(G23:G25),5)</f>
        <v>0</v>
      </c>
      <c r="H26" s="91">
        <f>ROUND(SUM(H23:H25),5)</f>
        <v>30572.48</v>
      </c>
      <c r="I26" s="91">
        <f>ROUND(SUM(G26:H26),5)</f>
        <v>30572.48</v>
      </c>
    </row>
    <row r="27" spans="1:9" ht="30" customHeight="1" x14ac:dyDescent="0.25">
      <c r="A27" s="90"/>
      <c r="B27" s="90"/>
      <c r="C27" s="90"/>
      <c r="D27" s="90"/>
      <c r="E27" s="90" t="s">
        <v>71</v>
      </c>
      <c r="F27" s="90"/>
      <c r="G27" s="91"/>
      <c r="H27" s="91"/>
      <c r="I27" s="91"/>
    </row>
    <row r="28" spans="1:9" x14ac:dyDescent="0.25">
      <c r="A28" s="90"/>
      <c r="B28" s="90"/>
      <c r="C28" s="90"/>
      <c r="D28" s="90"/>
      <c r="E28" s="90"/>
      <c r="F28" s="90" t="s">
        <v>72</v>
      </c>
      <c r="G28" s="91">
        <v>0</v>
      </c>
      <c r="H28" s="91">
        <v>3268.28</v>
      </c>
      <c r="I28" s="91">
        <f t="shared" ref="I28:I34" si="0">ROUND(SUM(G28:H28),5)</f>
        <v>3268.28</v>
      </c>
    </row>
    <row r="29" spans="1:9" x14ac:dyDescent="0.25">
      <c r="A29" s="90"/>
      <c r="B29" s="90"/>
      <c r="C29" s="90"/>
      <c r="D29" s="90"/>
      <c r="E29" s="90"/>
      <c r="F29" s="90" t="s">
        <v>73</v>
      </c>
      <c r="G29" s="91">
        <v>0</v>
      </c>
      <c r="H29" s="91">
        <v>4924.88</v>
      </c>
      <c r="I29" s="91">
        <f t="shared" si="0"/>
        <v>4924.88</v>
      </c>
    </row>
    <row r="30" spans="1:9" x14ac:dyDescent="0.25">
      <c r="A30" s="90"/>
      <c r="B30" s="90"/>
      <c r="C30" s="90"/>
      <c r="D30" s="90"/>
      <c r="E30" s="90"/>
      <c r="F30" s="90" t="s">
        <v>74</v>
      </c>
      <c r="G30" s="91">
        <v>1676.3</v>
      </c>
      <c r="H30" s="91">
        <v>32308.47</v>
      </c>
      <c r="I30" s="91">
        <f t="shared" si="0"/>
        <v>33984.769999999997</v>
      </c>
    </row>
    <row r="31" spans="1:9" ht="15.75" thickBot="1" x14ac:dyDescent="0.3">
      <c r="A31" s="90"/>
      <c r="B31" s="90"/>
      <c r="C31" s="90"/>
      <c r="D31" s="90"/>
      <c r="E31" s="90"/>
      <c r="F31" s="90" t="s">
        <v>75</v>
      </c>
      <c r="G31" s="93">
        <v>0</v>
      </c>
      <c r="H31" s="93">
        <v>33987.089999999997</v>
      </c>
      <c r="I31" s="93">
        <f t="shared" si="0"/>
        <v>33987.089999999997</v>
      </c>
    </row>
    <row r="32" spans="1:9" ht="15.75" thickBot="1" x14ac:dyDescent="0.3">
      <c r="A32" s="90"/>
      <c r="B32" s="90"/>
      <c r="C32" s="90"/>
      <c r="D32" s="90"/>
      <c r="E32" s="90" t="s">
        <v>76</v>
      </c>
      <c r="F32" s="90"/>
      <c r="G32" s="94">
        <f>ROUND(SUM(G27:G31),5)</f>
        <v>1676.3</v>
      </c>
      <c r="H32" s="94">
        <f>ROUND(SUM(H27:H31),5)</f>
        <v>74488.72</v>
      </c>
      <c r="I32" s="94">
        <f t="shared" si="0"/>
        <v>76165.02</v>
      </c>
    </row>
    <row r="33" spans="1:9" ht="30" customHeight="1" thickBot="1" x14ac:dyDescent="0.3">
      <c r="A33" s="90"/>
      <c r="B33" s="90"/>
      <c r="C33" s="90"/>
      <c r="D33" s="90" t="s">
        <v>77</v>
      </c>
      <c r="E33" s="90"/>
      <c r="F33" s="90"/>
      <c r="G33" s="95">
        <f>ROUND(SUM(G9:G10)+G16+G22+G26+G32,5)</f>
        <v>55280.18</v>
      </c>
      <c r="H33" s="95">
        <f>ROUND(SUM(H9:H10)+H16+H22+H26+H32,5)</f>
        <v>462468.31</v>
      </c>
      <c r="I33" s="95">
        <f t="shared" si="0"/>
        <v>517748.49</v>
      </c>
    </row>
    <row r="34" spans="1:9" ht="30" customHeight="1" x14ac:dyDescent="0.25">
      <c r="A34" s="90"/>
      <c r="B34" s="90"/>
      <c r="C34" s="90" t="s">
        <v>78</v>
      </c>
      <c r="D34" s="90"/>
      <c r="E34" s="90"/>
      <c r="F34" s="90"/>
      <c r="G34" s="91">
        <f>ROUND(G8-G33,5)</f>
        <v>-12147.7</v>
      </c>
      <c r="H34" s="91">
        <f>ROUND(H8-H33,5)</f>
        <v>343672.07</v>
      </c>
      <c r="I34" s="91">
        <f t="shared" si="0"/>
        <v>331524.37</v>
      </c>
    </row>
    <row r="35" spans="1:9" ht="30" customHeight="1" x14ac:dyDescent="0.25">
      <c r="A35" s="90"/>
      <c r="B35" s="90"/>
      <c r="C35" s="90"/>
      <c r="D35" s="90" t="s">
        <v>79</v>
      </c>
      <c r="E35" s="90"/>
      <c r="F35" s="90"/>
      <c r="G35" s="91"/>
      <c r="H35" s="91"/>
      <c r="I35" s="91"/>
    </row>
    <row r="36" spans="1:9" x14ac:dyDescent="0.25">
      <c r="A36" s="90"/>
      <c r="B36" s="90"/>
      <c r="C36" s="90"/>
      <c r="D36" s="90"/>
      <c r="E36" s="90" t="s">
        <v>82</v>
      </c>
      <c r="F36" s="90"/>
      <c r="G36" s="91">
        <v>0</v>
      </c>
      <c r="H36" s="91">
        <v>42.15</v>
      </c>
      <c r="I36" s="91">
        <f t="shared" ref="I36:I42" si="1">ROUND(SUM(G36:H36),5)</f>
        <v>42.15</v>
      </c>
    </row>
    <row r="37" spans="1:9" x14ac:dyDescent="0.25">
      <c r="A37" s="90"/>
      <c r="B37" s="90"/>
      <c r="C37" s="90"/>
      <c r="D37" s="90"/>
      <c r="E37" s="90" t="s">
        <v>185</v>
      </c>
      <c r="F37" s="90"/>
      <c r="G37" s="91">
        <v>0</v>
      </c>
      <c r="H37" s="91">
        <v>50</v>
      </c>
      <c r="I37" s="91">
        <f t="shared" si="1"/>
        <v>50</v>
      </c>
    </row>
    <row r="38" spans="1:9" x14ac:dyDescent="0.25">
      <c r="A38" s="90"/>
      <c r="B38" s="90"/>
      <c r="C38" s="90"/>
      <c r="D38" s="90"/>
      <c r="E38" s="90" t="s">
        <v>83</v>
      </c>
      <c r="F38" s="90"/>
      <c r="G38" s="91">
        <v>0</v>
      </c>
      <c r="H38" s="91">
        <v>2536.2600000000002</v>
      </c>
      <c r="I38" s="91">
        <f t="shared" si="1"/>
        <v>2536.2600000000002</v>
      </c>
    </row>
    <row r="39" spans="1:9" x14ac:dyDescent="0.25">
      <c r="A39" s="90"/>
      <c r="B39" s="90"/>
      <c r="C39" s="90"/>
      <c r="D39" s="90"/>
      <c r="E39" s="90" t="s">
        <v>227</v>
      </c>
      <c r="F39" s="90"/>
      <c r="G39" s="91">
        <v>0</v>
      </c>
      <c r="H39" s="91">
        <v>22.47</v>
      </c>
      <c r="I39" s="91">
        <f t="shared" si="1"/>
        <v>22.47</v>
      </c>
    </row>
    <row r="40" spans="1:9" x14ac:dyDescent="0.25">
      <c r="A40" s="90"/>
      <c r="B40" s="90"/>
      <c r="C40" s="90"/>
      <c r="D40" s="90"/>
      <c r="E40" s="90" t="s">
        <v>84</v>
      </c>
      <c r="F40" s="90"/>
      <c r="G40" s="91">
        <v>38.200000000000003</v>
      </c>
      <c r="H40" s="91">
        <v>4466.84</v>
      </c>
      <c r="I40" s="91">
        <f t="shared" si="1"/>
        <v>4505.04</v>
      </c>
    </row>
    <row r="41" spans="1:9" x14ac:dyDescent="0.25">
      <c r="A41" s="90"/>
      <c r="B41" s="90"/>
      <c r="C41" s="90"/>
      <c r="D41" s="90"/>
      <c r="E41" s="90" t="s">
        <v>85</v>
      </c>
      <c r="F41" s="90"/>
      <c r="G41" s="91">
        <v>0</v>
      </c>
      <c r="H41" s="91">
        <v>8811.1200000000008</v>
      </c>
      <c r="I41" s="91">
        <f t="shared" si="1"/>
        <v>8811.1200000000008</v>
      </c>
    </row>
    <row r="42" spans="1:9" x14ac:dyDescent="0.25">
      <c r="A42" s="90"/>
      <c r="B42" s="90"/>
      <c r="C42" s="90"/>
      <c r="D42" s="90"/>
      <c r="E42" s="90" t="s">
        <v>89</v>
      </c>
      <c r="F42" s="90"/>
      <c r="G42" s="91">
        <v>0</v>
      </c>
      <c r="H42" s="91">
        <v>10327.040000000001</v>
      </c>
      <c r="I42" s="91">
        <f t="shared" si="1"/>
        <v>10327.040000000001</v>
      </c>
    </row>
    <row r="43" spans="1:9" x14ac:dyDescent="0.25">
      <c r="A43" s="90"/>
      <c r="B43" s="90"/>
      <c r="C43" s="90"/>
      <c r="D43" s="90"/>
      <c r="E43" s="90" t="s">
        <v>90</v>
      </c>
      <c r="F43" s="90"/>
      <c r="G43" s="91"/>
      <c r="H43" s="91"/>
      <c r="I43" s="91"/>
    </row>
    <row r="44" spans="1:9" x14ac:dyDescent="0.25">
      <c r="A44" s="90"/>
      <c r="B44" s="90"/>
      <c r="C44" s="90"/>
      <c r="D44" s="90"/>
      <c r="E44" s="90"/>
      <c r="F44" s="90" t="s">
        <v>91</v>
      </c>
      <c r="G44" s="91">
        <v>0</v>
      </c>
      <c r="H44" s="91">
        <v>150</v>
      </c>
      <c r="I44" s="91">
        <f t="shared" ref="I44:I51" si="2">ROUND(SUM(G44:H44),5)</f>
        <v>150</v>
      </c>
    </row>
    <row r="45" spans="1:9" x14ac:dyDescent="0.25">
      <c r="A45" s="90"/>
      <c r="B45" s="90"/>
      <c r="C45" s="90"/>
      <c r="D45" s="90"/>
      <c r="E45" s="90"/>
      <c r="F45" s="90" t="s">
        <v>92</v>
      </c>
      <c r="G45" s="91">
        <v>0</v>
      </c>
      <c r="H45" s="91">
        <v>3527</v>
      </c>
      <c r="I45" s="91">
        <f t="shared" si="2"/>
        <v>3527</v>
      </c>
    </row>
    <row r="46" spans="1:9" ht="15.75" thickBot="1" x14ac:dyDescent="0.3">
      <c r="A46" s="90"/>
      <c r="B46" s="90"/>
      <c r="C46" s="90"/>
      <c r="D46" s="90"/>
      <c r="E46" s="90"/>
      <c r="F46" s="90" t="s">
        <v>204</v>
      </c>
      <c r="G46" s="92">
        <v>0</v>
      </c>
      <c r="H46" s="92">
        <v>324.83999999999997</v>
      </c>
      <c r="I46" s="92">
        <f t="shared" si="2"/>
        <v>324.83999999999997</v>
      </c>
    </row>
    <row r="47" spans="1:9" x14ac:dyDescent="0.25">
      <c r="A47" s="90"/>
      <c r="B47" s="90"/>
      <c r="C47" s="90"/>
      <c r="D47" s="90"/>
      <c r="E47" s="90" t="s">
        <v>95</v>
      </c>
      <c r="F47" s="90"/>
      <c r="G47" s="91">
        <f>ROUND(SUM(G43:G46),5)</f>
        <v>0</v>
      </c>
      <c r="H47" s="91">
        <f>ROUND(SUM(H43:H46),5)</f>
        <v>4001.84</v>
      </c>
      <c r="I47" s="91">
        <f t="shared" si="2"/>
        <v>4001.84</v>
      </c>
    </row>
    <row r="48" spans="1:9" ht="30" customHeight="1" x14ac:dyDescent="0.25">
      <c r="A48" s="90"/>
      <c r="B48" s="90"/>
      <c r="C48" s="90"/>
      <c r="D48" s="90"/>
      <c r="E48" s="90" t="s">
        <v>98</v>
      </c>
      <c r="F48" s="90"/>
      <c r="G48" s="91">
        <v>0</v>
      </c>
      <c r="H48" s="91">
        <v>5076.84</v>
      </c>
      <c r="I48" s="91">
        <f t="shared" si="2"/>
        <v>5076.84</v>
      </c>
    </row>
    <row r="49" spans="1:9" x14ac:dyDescent="0.25">
      <c r="A49" s="90"/>
      <c r="B49" s="90"/>
      <c r="C49" s="90"/>
      <c r="D49" s="90"/>
      <c r="E49" s="90" t="s">
        <v>101</v>
      </c>
      <c r="F49" s="90"/>
      <c r="G49" s="91">
        <v>0</v>
      </c>
      <c r="H49" s="91">
        <v>11694.63</v>
      </c>
      <c r="I49" s="91">
        <f>ROUND(SUM(G49:H49),5)</f>
        <v>11694.63</v>
      </c>
    </row>
    <row r="50" spans="1:9" x14ac:dyDescent="0.25">
      <c r="A50" s="90"/>
      <c r="B50" s="90"/>
      <c r="C50" s="90"/>
      <c r="D50" s="90"/>
      <c r="E50" s="90" t="s">
        <v>103</v>
      </c>
      <c r="F50" s="90"/>
      <c r="G50" s="91">
        <v>0</v>
      </c>
      <c r="H50" s="91">
        <v>100</v>
      </c>
      <c r="I50" s="91">
        <f t="shared" si="2"/>
        <v>100</v>
      </c>
    </row>
    <row r="51" spans="1:9" x14ac:dyDescent="0.25">
      <c r="A51" s="90"/>
      <c r="B51" s="90"/>
      <c r="C51" s="90"/>
      <c r="D51" s="90"/>
      <c r="E51" s="90" t="s">
        <v>105</v>
      </c>
      <c r="F51" s="90"/>
      <c r="G51" s="91">
        <v>0</v>
      </c>
      <c r="H51" s="91">
        <v>983.18</v>
      </c>
      <c r="I51" s="91">
        <f t="shared" si="2"/>
        <v>983.18</v>
      </c>
    </row>
    <row r="52" spans="1:9" x14ac:dyDescent="0.25">
      <c r="A52" s="90"/>
      <c r="B52" s="90"/>
      <c r="C52" s="90"/>
      <c r="D52" s="90"/>
      <c r="E52" s="90" t="s">
        <v>106</v>
      </c>
      <c r="F52" s="90"/>
      <c r="G52" s="91"/>
      <c r="H52" s="91"/>
      <c r="I52" s="91"/>
    </row>
    <row r="53" spans="1:9" x14ac:dyDescent="0.25">
      <c r="A53" s="90"/>
      <c r="B53" s="90"/>
      <c r="C53" s="90"/>
      <c r="D53" s="90"/>
      <c r="E53" s="90"/>
      <c r="F53" s="90" t="s">
        <v>186</v>
      </c>
      <c r="G53" s="91">
        <v>573.54</v>
      </c>
      <c r="H53" s="91">
        <v>12764.48</v>
      </c>
      <c r="I53" s="91">
        <f t="shared" ref="I53:I64" si="3">ROUND(SUM(G53:H53),5)</f>
        <v>13338.02</v>
      </c>
    </row>
    <row r="54" spans="1:9" ht="15.75" thickBot="1" x14ac:dyDescent="0.3">
      <c r="A54" s="90"/>
      <c r="B54" s="90"/>
      <c r="C54" s="90"/>
      <c r="D54" s="90"/>
      <c r="E54" s="90"/>
      <c r="F54" s="90" t="s">
        <v>187</v>
      </c>
      <c r="G54" s="92">
        <v>0</v>
      </c>
      <c r="H54" s="92">
        <v>112771.9</v>
      </c>
      <c r="I54" s="92">
        <f t="shared" si="3"/>
        <v>112771.9</v>
      </c>
    </row>
    <row r="55" spans="1:9" x14ac:dyDescent="0.25">
      <c r="A55" s="90"/>
      <c r="B55" s="90"/>
      <c r="C55" s="90"/>
      <c r="D55" s="90"/>
      <c r="E55" s="90" t="s">
        <v>188</v>
      </c>
      <c r="F55" s="90"/>
      <c r="G55" s="91">
        <f>ROUND(SUM(G52:G54),5)</f>
        <v>573.54</v>
      </c>
      <c r="H55" s="91">
        <f>ROUND(SUM(H52:H54),5)</f>
        <v>125536.38</v>
      </c>
      <c r="I55" s="91">
        <f>ROUND(SUM(G55:H55),5)</f>
        <v>126109.92</v>
      </c>
    </row>
    <row r="56" spans="1:9" ht="30" customHeight="1" x14ac:dyDescent="0.25">
      <c r="A56" s="90"/>
      <c r="B56" s="90"/>
      <c r="C56" s="90"/>
      <c r="D56" s="90"/>
      <c r="E56" s="90" t="s">
        <v>107</v>
      </c>
      <c r="F56" s="90"/>
      <c r="G56" s="91">
        <v>0</v>
      </c>
      <c r="H56" s="91">
        <v>143.97</v>
      </c>
      <c r="I56" s="91">
        <f t="shared" si="3"/>
        <v>143.97</v>
      </c>
    </row>
    <row r="57" spans="1:9" x14ac:dyDescent="0.25">
      <c r="A57" s="90"/>
      <c r="B57" s="90"/>
      <c r="C57" s="90"/>
      <c r="D57" s="90"/>
      <c r="E57" s="90" t="s">
        <v>108</v>
      </c>
      <c r="F57" s="90"/>
      <c r="G57" s="91">
        <v>0</v>
      </c>
      <c r="H57" s="91">
        <v>105.61</v>
      </c>
      <c r="I57" s="91">
        <f t="shared" si="3"/>
        <v>105.61</v>
      </c>
    </row>
    <row r="58" spans="1:9" x14ac:dyDescent="0.25">
      <c r="A58" s="90"/>
      <c r="B58" s="90"/>
      <c r="C58" s="90"/>
      <c r="D58" s="90"/>
      <c r="E58" s="90" t="s">
        <v>109</v>
      </c>
      <c r="F58" s="90"/>
      <c r="G58" s="91">
        <v>0</v>
      </c>
      <c r="H58" s="91">
        <v>5857.89</v>
      </c>
      <c r="I58" s="91">
        <f t="shared" si="3"/>
        <v>5857.89</v>
      </c>
    </row>
    <row r="59" spans="1:9" x14ac:dyDescent="0.25">
      <c r="A59" s="90"/>
      <c r="B59" s="90"/>
      <c r="C59" s="90"/>
      <c r="D59" s="90"/>
      <c r="E59" s="90" t="s">
        <v>110</v>
      </c>
      <c r="F59" s="90"/>
      <c r="G59" s="91">
        <v>0</v>
      </c>
      <c r="H59" s="91">
        <v>13330.5</v>
      </c>
      <c r="I59" s="91">
        <f t="shared" si="3"/>
        <v>13330.5</v>
      </c>
    </row>
    <row r="60" spans="1:9" x14ac:dyDescent="0.25">
      <c r="A60" s="90"/>
      <c r="B60" s="90"/>
      <c r="C60" s="90"/>
      <c r="D60" s="90"/>
      <c r="E60" s="90" t="s">
        <v>111</v>
      </c>
      <c r="F60" s="90"/>
      <c r="G60" s="91">
        <v>0</v>
      </c>
      <c r="H60" s="91">
        <v>2900</v>
      </c>
      <c r="I60" s="91">
        <f t="shared" si="3"/>
        <v>2900</v>
      </c>
    </row>
    <row r="61" spans="1:9" x14ac:dyDescent="0.25">
      <c r="A61" s="90"/>
      <c r="B61" s="90"/>
      <c r="C61" s="90"/>
      <c r="D61" s="90"/>
      <c r="E61" s="90" t="s">
        <v>112</v>
      </c>
      <c r="F61" s="90"/>
      <c r="G61" s="91">
        <v>0</v>
      </c>
      <c r="H61" s="91">
        <v>3961.84</v>
      </c>
      <c r="I61" s="91">
        <f t="shared" si="3"/>
        <v>3961.84</v>
      </c>
    </row>
    <row r="62" spans="1:9" ht="15.75" thickBot="1" x14ac:dyDescent="0.3">
      <c r="A62" s="90"/>
      <c r="B62" s="90"/>
      <c r="C62" s="90"/>
      <c r="D62" s="90"/>
      <c r="E62" s="90" t="s">
        <v>113</v>
      </c>
      <c r="F62" s="90"/>
      <c r="G62" s="93">
        <v>0</v>
      </c>
      <c r="H62" s="93">
        <v>9848.4699999999993</v>
      </c>
      <c r="I62" s="93">
        <f t="shared" si="3"/>
        <v>9848.4699999999993</v>
      </c>
    </row>
    <row r="63" spans="1:9" ht="15.75" thickBot="1" x14ac:dyDescent="0.3">
      <c r="A63" s="90"/>
      <c r="B63" s="90"/>
      <c r="C63" s="90"/>
      <c r="D63" s="90" t="s">
        <v>114</v>
      </c>
      <c r="E63" s="90"/>
      <c r="F63" s="90"/>
      <c r="G63" s="95">
        <f>ROUND(SUM(G35:G42)+SUM(G47:G51)+SUM(G55:G62),5)</f>
        <v>611.74</v>
      </c>
      <c r="H63" s="95">
        <f>ROUND(SUM(H35:H42)+SUM(H47:H51)+SUM(H55:H62),5)</f>
        <v>209797.03</v>
      </c>
      <c r="I63" s="95">
        <f t="shared" si="3"/>
        <v>210408.77</v>
      </c>
    </row>
    <row r="64" spans="1:9" ht="30" customHeight="1" x14ac:dyDescent="0.25">
      <c r="A64" s="90"/>
      <c r="B64" s="90" t="s">
        <v>115</v>
      </c>
      <c r="C64" s="90"/>
      <c r="D64" s="90"/>
      <c r="E64" s="90"/>
      <c r="F64" s="90"/>
      <c r="G64" s="91">
        <f>ROUND(G2+G34-G63,5)</f>
        <v>-12759.44</v>
      </c>
      <c r="H64" s="91">
        <f>ROUND(H2+H34-H63,5)</f>
        <v>133875.04</v>
      </c>
      <c r="I64" s="91">
        <f t="shared" si="3"/>
        <v>121115.6</v>
      </c>
    </row>
    <row r="65" spans="1:9" ht="30" customHeight="1" x14ac:dyDescent="0.25">
      <c r="A65" s="90"/>
      <c r="B65" s="90" t="s">
        <v>116</v>
      </c>
      <c r="C65" s="90"/>
      <c r="D65" s="90"/>
      <c r="E65" s="90"/>
      <c r="F65" s="90"/>
      <c r="G65" s="91"/>
      <c r="H65" s="91"/>
      <c r="I65" s="91"/>
    </row>
    <row r="66" spans="1:9" x14ac:dyDescent="0.25">
      <c r="A66" s="90"/>
      <c r="B66" s="90"/>
      <c r="C66" s="90" t="s">
        <v>119</v>
      </c>
      <c r="D66" s="90"/>
      <c r="E66" s="90"/>
      <c r="F66" s="90"/>
      <c r="G66" s="91"/>
      <c r="H66" s="91"/>
      <c r="I66" s="91"/>
    </row>
    <row r="67" spans="1:9" ht="15.75" thickBot="1" x14ac:dyDescent="0.3">
      <c r="A67" s="90"/>
      <c r="B67" s="90"/>
      <c r="C67" s="90"/>
      <c r="D67" s="90" t="s">
        <v>121</v>
      </c>
      <c r="E67" s="90"/>
      <c r="F67" s="90"/>
      <c r="G67" s="93">
        <v>0</v>
      </c>
      <c r="H67" s="93">
        <v>53613.89</v>
      </c>
      <c r="I67" s="93">
        <f>ROUND(SUM(G67:H67),5)</f>
        <v>53613.89</v>
      </c>
    </row>
    <row r="68" spans="1:9" ht="15.75" thickBot="1" x14ac:dyDescent="0.3">
      <c r="A68" s="90"/>
      <c r="B68" s="90"/>
      <c r="C68" s="90" t="s">
        <v>123</v>
      </c>
      <c r="D68" s="90"/>
      <c r="E68" s="90"/>
      <c r="F68" s="90"/>
      <c r="G68" s="94">
        <f>ROUND(SUM(G66:G67),5)</f>
        <v>0</v>
      </c>
      <c r="H68" s="94">
        <f>ROUND(SUM(H66:H67),5)</f>
        <v>53613.89</v>
      </c>
      <c r="I68" s="94">
        <f>ROUND(SUM(G68:H68),5)</f>
        <v>53613.89</v>
      </c>
    </row>
    <row r="69" spans="1:9" ht="30" customHeight="1" thickBot="1" x14ac:dyDescent="0.3">
      <c r="A69" s="90"/>
      <c r="B69" s="90" t="s">
        <v>124</v>
      </c>
      <c r="C69" s="90"/>
      <c r="D69" s="90"/>
      <c r="E69" s="90"/>
      <c r="F69" s="90"/>
      <c r="G69" s="94">
        <f>ROUND(G65-G68,5)</f>
        <v>0</v>
      </c>
      <c r="H69" s="94">
        <f>ROUND(H65-H68,5)</f>
        <v>-53613.89</v>
      </c>
      <c r="I69" s="94">
        <f>ROUND(SUM(G69:H69),5)</f>
        <v>-53613.89</v>
      </c>
    </row>
    <row r="70" spans="1:9" s="97" customFormat="1" ht="30" customHeight="1" thickBot="1" x14ac:dyDescent="0.25">
      <c r="A70" s="90" t="s">
        <v>125</v>
      </c>
      <c r="B70" s="90"/>
      <c r="C70" s="90"/>
      <c r="D70" s="90"/>
      <c r="E70" s="90"/>
      <c r="F70" s="90"/>
      <c r="G70" s="96">
        <f>ROUND(G64+G69,5)</f>
        <v>-12759.44</v>
      </c>
      <c r="H70" s="96">
        <f>ROUND(H64+H69,5)</f>
        <v>80261.149999999994</v>
      </c>
      <c r="I70" s="96">
        <f>ROUND(SUM(G70:H70),5)</f>
        <v>67501.710000000006</v>
      </c>
    </row>
    <row r="71" spans="1:9" ht="15.75" thickTop="1" x14ac:dyDescent="0.25"/>
  </sheetData>
  <pageMargins left="0.7" right="0.7" top="0.75" bottom="0.75" header="0.25" footer="0.3"/>
  <pageSetup orientation="portrait" r:id="rId1"/>
  <headerFooter>
    <oddHeader>&amp;L&amp;"Arial,Bold"&amp;8 3:22 AM
&amp;"Arial,Bold"&amp;8 10/10/16
&amp;"Arial,Bold"&amp;8 Accrual Basis&amp;C&amp;"Arial,Bold"&amp;12 CIS INTERNATIONAL HOLDINGS (N.A)  CORP.
&amp;"Arial,Bold"&amp;14 Profit &amp;&amp; Loss by Class
&amp;"Arial,Bold"&amp;10 August 26 through September 29, 2016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91137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91137" r:id="rId4" name="FILTER"/>
      </mc:Fallback>
    </mc:AlternateContent>
    <mc:AlternateContent xmlns:mc="http://schemas.openxmlformats.org/markup-compatibility/2006">
      <mc:Choice Requires="x14">
        <control shapeId="91138" r:id="rId6" name="HEAD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91138" r:id="rId6" name="HEADER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P75"/>
  <sheetViews>
    <sheetView topLeftCell="A42" workbookViewId="0">
      <selection activeCell="K49" sqref="K49"/>
    </sheetView>
  </sheetViews>
  <sheetFormatPr defaultRowHeight="15" x14ac:dyDescent="0.25"/>
  <cols>
    <col min="1" max="5" width="3" style="98" customWidth="1"/>
    <col min="6" max="6" width="30.42578125" style="98" customWidth="1"/>
    <col min="7" max="7" width="18.85546875" style="75" bestFit="1" customWidth="1"/>
    <col min="8" max="8" width="12.28515625" style="75" customWidth="1"/>
    <col min="9" max="9" width="10.28515625" style="75" customWidth="1"/>
    <col min="10" max="12" width="9.140625" style="7"/>
    <col min="13" max="13" width="23.140625" style="7" bestFit="1" customWidth="1"/>
    <col min="14" max="14" width="16.42578125" style="7" customWidth="1"/>
    <col min="15" max="15" width="9.42578125" style="7" bestFit="1" customWidth="1"/>
    <col min="16" max="16" width="17.42578125" style="7" bestFit="1" customWidth="1"/>
    <col min="17" max="16384" width="9.140625" style="7"/>
  </cols>
  <sheetData>
    <row r="1" spans="1:16" s="47" customFormat="1" ht="15.75" thickBot="1" x14ac:dyDescent="0.3">
      <c r="A1" s="88"/>
      <c r="B1" s="88"/>
      <c r="C1" s="88"/>
      <c r="D1" s="88"/>
      <c r="E1" s="88"/>
      <c r="F1" s="88"/>
      <c r="G1" s="89" t="s">
        <v>213</v>
      </c>
      <c r="H1" s="89" t="s">
        <v>221</v>
      </c>
      <c r="I1" s="89" t="s">
        <v>222</v>
      </c>
    </row>
    <row r="2" spans="1:16" ht="15.75" thickTop="1" x14ac:dyDescent="0.25">
      <c r="A2" s="90"/>
      <c r="B2" s="90" t="s">
        <v>39</v>
      </c>
      <c r="C2" s="90"/>
      <c r="D2" s="90"/>
      <c r="E2" s="90"/>
      <c r="F2" s="90"/>
      <c r="G2" s="91"/>
      <c r="H2" s="91"/>
      <c r="I2" s="91"/>
    </row>
    <row r="3" spans="1:16" x14ac:dyDescent="0.25">
      <c r="A3" s="90"/>
      <c r="B3" s="90"/>
      <c r="C3" s="90"/>
      <c r="D3" s="90" t="s">
        <v>40</v>
      </c>
      <c r="E3" s="90"/>
      <c r="F3" s="90"/>
      <c r="G3" s="91"/>
      <c r="H3" s="91"/>
      <c r="I3" s="91"/>
    </row>
    <row r="4" spans="1:16" x14ac:dyDescent="0.25">
      <c r="A4" s="90"/>
      <c r="B4" s="90"/>
      <c r="C4" s="90"/>
      <c r="D4" s="90"/>
      <c r="E4" s="90" t="s">
        <v>183</v>
      </c>
      <c r="F4" s="90"/>
      <c r="G4" s="91">
        <v>0</v>
      </c>
      <c r="H4" s="91">
        <v>-2107.21</v>
      </c>
      <c r="I4" s="91">
        <f t="shared" ref="I4:I9" si="0">ROUND(SUM(G4:H4),5)</f>
        <v>-2107.21</v>
      </c>
    </row>
    <row r="5" spans="1:16" x14ac:dyDescent="0.25">
      <c r="A5" s="90"/>
      <c r="B5" s="90"/>
      <c r="C5" s="90"/>
      <c r="D5" s="90"/>
      <c r="E5" s="90" t="s">
        <v>41</v>
      </c>
      <c r="F5" s="90"/>
      <c r="G5" s="91">
        <v>0</v>
      </c>
      <c r="H5" s="91">
        <v>-20277.669999999998</v>
      </c>
      <c r="I5" s="91">
        <f t="shared" si="0"/>
        <v>-20277.669999999998</v>
      </c>
    </row>
    <row r="6" spans="1:16" x14ac:dyDescent="0.25">
      <c r="A6" s="90"/>
      <c r="B6" s="90"/>
      <c r="C6" s="90"/>
      <c r="D6" s="90"/>
      <c r="E6" s="90" t="s">
        <v>131</v>
      </c>
      <c r="F6" s="90"/>
      <c r="G6" s="91">
        <v>1187</v>
      </c>
      <c r="H6" s="91">
        <v>0</v>
      </c>
      <c r="I6" s="91">
        <f t="shared" si="0"/>
        <v>1187</v>
      </c>
    </row>
    <row r="7" spans="1:16" ht="30" x14ac:dyDescent="0.25">
      <c r="A7" s="90"/>
      <c r="B7" s="90"/>
      <c r="C7" s="90"/>
      <c r="D7" s="90"/>
      <c r="E7" s="90" t="s">
        <v>45</v>
      </c>
      <c r="F7" s="90"/>
      <c r="G7" s="91">
        <v>462.99</v>
      </c>
      <c r="H7" s="91">
        <v>60258</v>
      </c>
      <c r="I7" s="91">
        <f t="shared" si="0"/>
        <v>60720.99</v>
      </c>
      <c r="M7" s="187" t="s">
        <v>189</v>
      </c>
      <c r="N7" s="188" t="s">
        <v>149</v>
      </c>
      <c r="O7" s="189" t="s">
        <v>190</v>
      </c>
      <c r="P7" s="188" t="s">
        <v>191</v>
      </c>
    </row>
    <row r="8" spans="1:16" ht="15.75" thickBot="1" x14ac:dyDescent="0.3">
      <c r="A8" s="90"/>
      <c r="B8" s="90"/>
      <c r="C8" s="90"/>
      <c r="D8" s="90"/>
      <c r="E8" s="90" t="s">
        <v>47</v>
      </c>
      <c r="F8" s="90"/>
      <c r="G8" s="92">
        <v>13126.88</v>
      </c>
      <c r="H8" s="92">
        <v>705060.35</v>
      </c>
      <c r="I8" s="92">
        <f t="shared" si="0"/>
        <v>718187.23</v>
      </c>
      <c r="M8" s="123" t="s">
        <v>192</v>
      </c>
      <c r="N8" s="124">
        <f>I49+I57</f>
        <v>70133.64</v>
      </c>
      <c r="O8" s="123"/>
      <c r="P8" s="123" t="s">
        <v>193</v>
      </c>
    </row>
    <row r="9" spans="1:16" x14ac:dyDescent="0.25">
      <c r="A9" s="90"/>
      <c r="B9" s="90"/>
      <c r="C9" s="90"/>
      <c r="D9" s="90" t="s">
        <v>49</v>
      </c>
      <c r="E9" s="90"/>
      <c r="F9" s="90"/>
      <c r="G9" s="91">
        <f>ROUND(SUM(G3:G8),5)</f>
        <v>14776.87</v>
      </c>
      <c r="H9" s="91">
        <f>ROUND(SUM(H3:H8),5)</f>
        <v>742933.47</v>
      </c>
      <c r="I9" s="91">
        <f t="shared" si="0"/>
        <v>757710.34</v>
      </c>
      <c r="M9" s="190"/>
      <c r="N9" s="190"/>
      <c r="O9" s="190"/>
      <c r="P9" s="190"/>
    </row>
    <row r="10" spans="1:16" ht="30" customHeight="1" x14ac:dyDescent="0.25">
      <c r="A10" s="90"/>
      <c r="B10" s="90"/>
      <c r="C10" s="90"/>
      <c r="D10" s="90" t="s">
        <v>50</v>
      </c>
      <c r="E10" s="90"/>
      <c r="F10" s="90"/>
      <c r="G10" s="91"/>
      <c r="H10" s="91"/>
      <c r="I10" s="91"/>
    </row>
    <row r="11" spans="1:16" ht="30" x14ac:dyDescent="0.25">
      <c r="A11" s="90"/>
      <c r="B11" s="90"/>
      <c r="C11" s="90"/>
      <c r="D11" s="90"/>
      <c r="E11" s="90" t="s">
        <v>51</v>
      </c>
      <c r="F11" s="90"/>
      <c r="G11" s="91">
        <v>0</v>
      </c>
      <c r="H11" s="91">
        <v>28056.92</v>
      </c>
      <c r="I11" s="91">
        <f>ROUND(SUM(G11:H11),5)</f>
        <v>28056.92</v>
      </c>
      <c r="M11" s="187" t="s">
        <v>194</v>
      </c>
      <c r="N11" s="188" t="s">
        <v>149</v>
      </c>
      <c r="O11" s="189" t="s">
        <v>190</v>
      </c>
      <c r="P11" s="188" t="s">
        <v>191</v>
      </c>
    </row>
    <row r="12" spans="1:16" x14ac:dyDescent="0.25">
      <c r="A12" s="90"/>
      <c r="B12" s="90"/>
      <c r="C12" s="90"/>
      <c r="D12" s="90"/>
      <c r="E12" s="90" t="s">
        <v>54</v>
      </c>
      <c r="F12" s="90"/>
      <c r="G12" s="91"/>
      <c r="H12" s="91"/>
      <c r="I12" s="91"/>
      <c r="M12" s="123" t="s">
        <v>152</v>
      </c>
      <c r="N12" s="124">
        <f>I64+I72-N8</f>
        <v>171264.19</v>
      </c>
      <c r="O12" s="123"/>
      <c r="P12" s="123" t="s">
        <v>193</v>
      </c>
    </row>
    <row r="13" spans="1:16" x14ac:dyDescent="0.25">
      <c r="A13" s="90"/>
      <c r="B13" s="90"/>
      <c r="C13" s="90"/>
      <c r="D13" s="90"/>
      <c r="E13" s="90"/>
      <c r="F13" s="90" t="s">
        <v>184</v>
      </c>
      <c r="G13" s="91">
        <v>3579.88</v>
      </c>
      <c r="H13" s="91">
        <v>0</v>
      </c>
      <c r="I13" s="91">
        <f>ROUND(SUM(G13:H13),5)</f>
        <v>3579.88</v>
      </c>
    </row>
    <row r="14" spans="1:16" x14ac:dyDescent="0.25">
      <c r="A14" s="90"/>
      <c r="B14" s="90"/>
      <c r="C14" s="90"/>
      <c r="D14" s="90"/>
      <c r="E14" s="90"/>
      <c r="F14" s="90" t="s">
        <v>42</v>
      </c>
      <c r="G14" s="91">
        <v>50.74</v>
      </c>
      <c r="H14" s="91">
        <v>-7466.6</v>
      </c>
      <c r="I14" s="91">
        <f>ROUND(SUM(G14:H14),5)</f>
        <v>-7415.86</v>
      </c>
    </row>
    <row r="15" spans="1:16" x14ac:dyDescent="0.25">
      <c r="A15" s="90"/>
      <c r="B15" s="90"/>
      <c r="C15" s="90"/>
      <c r="D15" s="90"/>
      <c r="E15" s="90"/>
      <c r="F15" s="90" t="s">
        <v>55</v>
      </c>
      <c r="G15" s="91">
        <v>0</v>
      </c>
      <c r="H15" s="91">
        <v>2149</v>
      </c>
      <c r="I15" s="91">
        <f>ROUND(SUM(G15:H15),5)</f>
        <v>2149</v>
      </c>
    </row>
    <row r="16" spans="1:16" ht="15.75" thickBot="1" x14ac:dyDescent="0.3">
      <c r="A16" s="90"/>
      <c r="B16" s="90"/>
      <c r="C16" s="90"/>
      <c r="D16" s="90"/>
      <c r="E16" s="90"/>
      <c r="F16" s="90" t="s">
        <v>56</v>
      </c>
      <c r="G16" s="92">
        <v>520.20000000000005</v>
      </c>
      <c r="H16" s="92">
        <v>242090.86</v>
      </c>
      <c r="I16" s="92">
        <f>ROUND(SUM(G16:H16),5)</f>
        <v>242611.06</v>
      </c>
    </row>
    <row r="17" spans="1:11" x14ac:dyDescent="0.25">
      <c r="A17" s="90"/>
      <c r="B17" s="90"/>
      <c r="C17" s="90"/>
      <c r="D17" s="90"/>
      <c r="E17" s="90" t="s">
        <v>57</v>
      </c>
      <c r="F17" s="90"/>
      <c r="G17" s="91">
        <f>ROUND(SUM(G12:G16),5)</f>
        <v>4150.82</v>
      </c>
      <c r="H17" s="91">
        <f>ROUND(SUM(H12:H16),5)</f>
        <v>236773.26</v>
      </c>
      <c r="I17" s="91">
        <f>ROUND(SUM(G17:H17),5)</f>
        <v>240924.08</v>
      </c>
    </row>
    <row r="18" spans="1:11" ht="30" customHeight="1" x14ac:dyDescent="0.25">
      <c r="A18" s="90"/>
      <c r="B18" s="90"/>
      <c r="C18" s="90"/>
      <c r="D18" s="90"/>
      <c r="E18" s="90" t="s">
        <v>58</v>
      </c>
      <c r="F18" s="90"/>
      <c r="G18" s="91"/>
      <c r="H18" s="91"/>
      <c r="I18" s="91"/>
    </row>
    <row r="19" spans="1:11" x14ac:dyDescent="0.25">
      <c r="A19" s="90"/>
      <c r="B19" s="90"/>
      <c r="C19" s="90"/>
      <c r="D19" s="90"/>
      <c r="E19" s="90"/>
      <c r="F19" s="90" t="s">
        <v>59</v>
      </c>
      <c r="G19" s="91">
        <v>492.51</v>
      </c>
      <c r="H19" s="91">
        <v>43190.18</v>
      </c>
      <c r="I19" s="91">
        <f>ROUND(SUM(G19:H19),5)</f>
        <v>43682.69</v>
      </c>
    </row>
    <row r="20" spans="1:11" x14ac:dyDescent="0.25">
      <c r="A20" s="90"/>
      <c r="B20" s="90"/>
      <c r="C20" s="90"/>
      <c r="D20" s="90"/>
      <c r="E20" s="90"/>
      <c r="F20" s="90" t="s">
        <v>60</v>
      </c>
      <c r="G20" s="91">
        <v>753.47</v>
      </c>
      <c r="H20" s="91">
        <v>383.4</v>
      </c>
      <c r="I20" s="91">
        <f>ROUND(SUM(G20:H20),5)</f>
        <v>1136.8699999999999</v>
      </c>
    </row>
    <row r="21" spans="1:11" x14ac:dyDescent="0.25">
      <c r="A21" s="90"/>
      <c r="B21" s="90"/>
      <c r="C21" s="90"/>
      <c r="D21" s="90"/>
      <c r="E21" s="90"/>
      <c r="F21" s="90" t="s">
        <v>61</v>
      </c>
      <c r="G21" s="91">
        <v>1909.25</v>
      </c>
      <c r="H21" s="91">
        <v>74401.8</v>
      </c>
      <c r="I21" s="91">
        <f>ROUND(SUM(G21:H21),5)</f>
        <v>76311.05</v>
      </c>
    </row>
    <row r="22" spans="1:11" ht="15.75" thickBot="1" x14ac:dyDescent="0.3">
      <c r="A22" s="90"/>
      <c r="B22" s="90"/>
      <c r="C22" s="90"/>
      <c r="D22" s="90"/>
      <c r="E22" s="90"/>
      <c r="F22" s="90" t="s">
        <v>63</v>
      </c>
      <c r="G22" s="92">
        <v>0</v>
      </c>
      <c r="H22" s="92">
        <v>2209.61</v>
      </c>
      <c r="I22" s="92">
        <f>ROUND(SUM(G22:H22),5)</f>
        <v>2209.61</v>
      </c>
    </row>
    <row r="23" spans="1:11" x14ac:dyDescent="0.25">
      <c r="A23" s="90"/>
      <c r="B23" s="90"/>
      <c r="C23" s="90"/>
      <c r="D23" s="90"/>
      <c r="E23" s="90" t="s">
        <v>65</v>
      </c>
      <c r="F23" s="90"/>
      <c r="G23" s="91">
        <f>ROUND(SUM(G18:G22),5)</f>
        <v>3155.23</v>
      </c>
      <c r="H23" s="91">
        <f>ROUND(SUM(H18:H22),5)</f>
        <v>120184.99</v>
      </c>
      <c r="I23" s="190">
        <f>ROUND(SUM(G23:H23),5)</f>
        <v>123340.22</v>
      </c>
    </row>
    <row r="24" spans="1:11" ht="30" customHeight="1" x14ac:dyDescent="0.25">
      <c r="A24" s="90"/>
      <c r="B24" s="90"/>
      <c r="C24" s="90"/>
      <c r="D24" s="90"/>
      <c r="E24" s="90" t="s">
        <v>67</v>
      </c>
      <c r="F24" s="90"/>
      <c r="G24" s="91"/>
      <c r="H24" s="91"/>
      <c r="I24" s="91"/>
    </row>
    <row r="25" spans="1:11" x14ac:dyDescent="0.25">
      <c r="A25" s="90"/>
      <c r="B25" s="90"/>
      <c r="C25" s="90"/>
      <c r="D25" s="90"/>
      <c r="E25" s="90"/>
      <c r="F25" s="90" t="s">
        <v>68</v>
      </c>
      <c r="G25" s="91">
        <v>0</v>
      </c>
      <c r="H25" s="91">
        <v>3477.87</v>
      </c>
      <c r="I25" s="91">
        <f>ROUND(SUM(G25:H25),5)</f>
        <v>3477.87</v>
      </c>
    </row>
    <row r="26" spans="1:11" ht="15.75" thickBot="1" x14ac:dyDescent="0.3">
      <c r="A26" s="90"/>
      <c r="B26" s="90"/>
      <c r="C26" s="90"/>
      <c r="D26" s="90"/>
      <c r="E26" s="90"/>
      <c r="F26" s="90" t="s">
        <v>69</v>
      </c>
      <c r="G26" s="92">
        <v>0</v>
      </c>
      <c r="H26" s="92">
        <v>34840.82</v>
      </c>
      <c r="I26" s="92">
        <f>ROUND(SUM(G26:H26),5)</f>
        <v>34840.82</v>
      </c>
      <c r="K26" s="7" t="s">
        <v>223</v>
      </c>
    </row>
    <row r="27" spans="1:11" x14ac:dyDescent="0.25">
      <c r="A27" s="90"/>
      <c r="B27" s="90"/>
      <c r="C27" s="90"/>
      <c r="D27" s="90"/>
      <c r="E27" s="234" t="s">
        <v>70</v>
      </c>
      <c r="F27" s="234"/>
      <c r="G27" s="235">
        <f>ROUND(SUM(G24:G26),5)</f>
        <v>0</v>
      </c>
      <c r="H27" s="235">
        <f>ROUND(SUM(H24:H26),5)</f>
        <v>38318.69</v>
      </c>
      <c r="I27" s="235">
        <f>ROUND(SUM(G27:H27),5)</f>
        <v>38318.69</v>
      </c>
    </row>
    <row r="28" spans="1:11" ht="30" customHeight="1" x14ac:dyDescent="0.25">
      <c r="A28" s="90"/>
      <c r="B28" s="90"/>
      <c r="C28" s="90"/>
      <c r="D28" s="90"/>
      <c r="E28" s="90" t="s">
        <v>71</v>
      </c>
      <c r="F28" s="90"/>
      <c r="G28" s="91"/>
      <c r="H28" s="91"/>
      <c r="I28" s="91"/>
    </row>
    <row r="29" spans="1:11" x14ac:dyDescent="0.25">
      <c r="A29" s="90"/>
      <c r="B29" s="90"/>
      <c r="C29" s="90"/>
      <c r="D29" s="90"/>
      <c r="E29" s="90"/>
      <c r="F29" s="90" t="s">
        <v>72</v>
      </c>
      <c r="G29" s="91">
        <v>0</v>
      </c>
      <c r="H29" s="91">
        <v>3075.58</v>
      </c>
      <c r="I29" s="91">
        <f t="shared" ref="I29:I35" si="1">ROUND(SUM(G29:H29),5)</f>
        <v>3075.58</v>
      </c>
    </row>
    <row r="30" spans="1:11" x14ac:dyDescent="0.25">
      <c r="A30" s="90"/>
      <c r="B30" s="90"/>
      <c r="C30" s="90"/>
      <c r="D30" s="90"/>
      <c r="E30" s="90"/>
      <c r="F30" s="90" t="s">
        <v>73</v>
      </c>
      <c r="G30" s="91">
        <v>0</v>
      </c>
      <c r="H30" s="91">
        <v>5954.43</v>
      </c>
      <c r="I30" s="91">
        <f t="shared" si="1"/>
        <v>5954.43</v>
      </c>
    </row>
    <row r="31" spans="1:11" x14ac:dyDescent="0.25">
      <c r="A31" s="90"/>
      <c r="B31" s="90"/>
      <c r="C31" s="90"/>
      <c r="D31" s="90"/>
      <c r="E31" s="90"/>
      <c r="F31" s="90" t="s">
        <v>74</v>
      </c>
      <c r="G31" s="91">
        <v>1842.13</v>
      </c>
      <c r="H31" s="91">
        <v>20290.86</v>
      </c>
      <c r="I31" s="91">
        <f t="shared" si="1"/>
        <v>22132.99</v>
      </c>
    </row>
    <row r="32" spans="1:11" ht="15.75" thickBot="1" x14ac:dyDescent="0.3">
      <c r="A32" s="90"/>
      <c r="B32" s="90"/>
      <c r="C32" s="90"/>
      <c r="D32" s="90"/>
      <c r="E32" s="90"/>
      <c r="F32" s="90" t="s">
        <v>75</v>
      </c>
      <c r="G32" s="93">
        <v>0</v>
      </c>
      <c r="H32" s="93">
        <v>25136.32</v>
      </c>
      <c r="I32" s="93">
        <f t="shared" si="1"/>
        <v>25136.32</v>
      </c>
    </row>
    <row r="33" spans="1:9" ht="15.75" thickBot="1" x14ac:dyDescent="0.3">
      <c r="A33" s="90"/>
      <c r="B33" s="90"/>
      <c r="C33" s="90"/>
      <c r="D33" s="90"/>
      <c r="E33" s="90" t="s">
        <v>76</v>
      </c>
      <c r="F33" s="90"/>
      <c r="G33" s="94">
        <f>ROUND(SUM(G28:G32),5)</f>
        <v>1842.13</v>
      </c>
      <c r="H33" s="94">
        <f>ROUND(SUM(H28:H32),5)</f>
        <v>54457.19</v>
      </c>
      <c r="I33" s="94">
        <f t="shared" si="1"/>
        <v>56299.32</v>
      </c>
    </row>
    <row r="34" spans="1:9" ht="30" customHeight="1" thickBot="1" x14ac:dyDescent="0.3">
      <c r="A34" s="90"/>
      <c r="B34" s="90"/>
      <c r="C34" s="90"/>
      <c r="D34" s="90" t="s">
        <v>77</v>
      </c>
      <c r="E34" s="90"/>
      <c r="F34" s="90"/>
      <c r="G34" s="95">
        <f>ROUND(SUM(G10:G11)+G17+G23+G27+G33,5)</f>
        <v>9148.18</v>
      </c>
      <c r="H34" s="95">
        <f>ROUND(SUM(H10:H11)+H17+H23+H27+H33,5)</f>
        <v>477791.05</v>
      </c>
      <c r="I34" s="95">
        <f t="shared" si="1"/>
        <v>486939.23</v>
      </c>
    </row>
    <row r="35" spans="1:9" ht="30" customHeight="1" x14ac:dyDescent="0.25">
      <c r="A35" s="90"/>
      <c r="B35" s="90"/>
      <c r="C35" s="90" t="s">
        <v>78</v>
      </c>
      <c r="D35" s="90"/>
      <c r="E35" s="90"/>
      <c r="F35" s="90"/>
      <c r="G35" s="91">
        <f>ROUND(G9-G34,5)</f>
        <v>5628.69</v>
      </c>
      <c r="H35" s="91">
        <f>ROUND(H9-H34,5)</f>
        <v>265142.42</v>
      </c>
      <c r="I35" s="91">
        <f t="shared" si="1"/>
        <v>270771.11</v>
      </c>
    </row>
    <row r="36" spans="1:9" ht="30" customHeight="1" x14ac:dyDescent="0.25">
      <c r="A36" s="90"/>
      <c r="B36" s="90"/>
      <c r="C36" s="90"/>
      <c r="D36" s="90" t="s">
        <v>79</v>
      </c>
      <c r="E36" s="90"/>
      <c r="F36" s="90"/>
      <c r="G36" s="91"/>
      <c r="H36" s="91"/>
      <c r="I36" s="91"/>
    </row>
    <row r="37" spans="1:9" x14ac:dyDescent="0.25">
      <c r="A37" s="90"/>
      <c r="B37" s="90"/>
      <c r="C37" s="90"/>
      <c r="D37" s="90"/>
      <c r="E37" s="90" t="s">
        <v>82</v>
      </c>
      <c r="F37" s="90"/>
      <c r="G37" s="91">
        <v>0</v>
      </c>
      <c r="H37" s="91">
        <v>55.55</v>
      </c>
      <c r="I37" s="91">
        <f>ROUND(SUM(G37:H37),5)</f>
        <v>55.55</v>
      </c>
    </row>
    <row r="38" spans="1:9" x14ac:dyDescent="0.25">
      <c r="A38" s="90"/>
      <c r="B38" s="90"/>
      <c r="C38" s="90"/>
      <c r="D38" s="90"/>
      <c r="E38" s="90" t="s">
        <v>83</v>
      </c>
      <c r="F38" s="90"/>
      <c r="G38" s="91">
        <v>0</v>
      </c>
      <c r="H38" s="91">
        <v>6226.41</v>
      </c>
      <c r="I38" s="91">
        <f>ROUND(SUM(G38:H38),5)</f>
        <v>6226.41</v>
      </c>
    </row>
    <row r="39" spans="1:9" x14ac:dyDescent="0.25">
      <c r="A39" s="90"/>
      <c r="B39" s="90"/>
      <c r="C39" s="90"/>
      <c r="D39" s="90"/>
      <c r="E39" s="90" t="s">
        <v>84</v>
      </c>
      <c r="F39" s="90"/>
      <c r="G39" s="91">
        <v>660.76</v>
      </c>
      <c r="H39" s="91">
        <v>3812.64</v>
      </c>
      <c r="I39" s="91">
        <f>ROUND(SUM(G39:H39),5)</f>
        <v>4473.3999999999996</v>
      </c>
    </row>
    <row r="40" spans="1:9" x14ac:dyDescent="0.25">
      <c r="A40" s="90"/>
      <c r="B40" s="90"/>
      <c r="C40" s="90"/>
      <c r="D40" s="90"/>
      <c r="E40" s="90" t="s">
        <v>85</v>
      </c>
      <c r="F40" s="90"/>
      <c r="G40" s="91">
        <v>0</v>
      </c>
      <c r="H40" s="91">
        <v>6569.3</v>
      </c>
      <c r="I40" s="91">
        <f>ROUND(SUM(G40:H40),5)</f>
        <v>6569.3</v>
      </c>
    </row>
    <row r="41" spans="1:9" x14ac:dyDescent="0.25">
      <c r="A41" s="90"/>
      <c r="B41" s="90"/>
      <c r="C41" s="90"/>
      <c r="D41" s="90"/>
      <c r="E41" s="90" t="s">
        <v>89</v>
      </c>
      <c r="F41" s="90"/>
      <c r="G41" s="91">
        <v>0</v>
      </c>
      <c r="H41" s="91">
        <v>8471.1</v>
      </c>
      <c r="I41" s="91">
        <f>ROUND(SUM(G41:H41),5)</f>
        <v>8471.1</v>
      </c>
    </row>
    <row r="42" spans="1:9" x14ac:dyDescent="0.25">
      <c r="A42" s="90"/>
      <c r="B42" s="90"/>
      <c r="C42" s="90"/>
      <c r="D42" s="90"/>
      <c r="E42" s="90" t="s">
        <v>90</v>
      </c>
      <c r="F42" s="90"/>
      <c r="G42" s="91"/>
      <c r="H42" s="91"/>
      <c r="I42" s="91"/>
    </row>
    <row r="43" spans="1:9" x14ac:dyDescent="0.25">
      <c r="A43" s="90"/>
      <c r="B43" s="90"/>
      <c r="C43" s="90"/>
      <c r="D43" s="90"/>
      <c r="E43" s="90"/>
      <c r="F43" s="90" t="s">
        <v>91</v>
      </c>
      <c r="G43" s="91">
        <v>0</v>
      </c>
      <c r="H43" s="91">
        <v>22350</v>
      </c>
      <c r="I43" s="91">
        <f t="shared" ref="I43:I53" si="2">ROUND(SUM(G43:H43),5)</f>
        <v>22350</v>
      </c>
    </row>
    <row r="44" spans="1:9" x14ac:dyDescent="0.25">
      <c r="A44" s="90"/>
      <c r="B44" s="90"/>
      <c r="C44" s="90"/>
      <c r="D44" s="90"/>
      <c r="E44" s="90"/>
      <c r="F44" s="90" t="s">
        <v>92</v>
      </c>
      <c r="G44" s="91">
        <v>0</v>
      </c>
      <c r="H44" s="91">
        <v>692.26</v>
      </c>
      <c r="I44" s="91">
        <f t="shared" si="2"/>
        <v>692.26</v>
      </c>
    </row>
    <row r="45" spans="1:9" x14ac:dyDescent="0.25">
      <c r="A45" s="90"/>
      <c r="B45" s="90"/>
      <c r="C45" s="90"/>
      <c r="D45" s="90"/>
      <c r="E45" s="90"/>
      <c r="F45" s="90" t="s">
        <v>204</v>
      </c>
      <c r="G45" s="91">
        <v>0</v>
      </c>
      <c r="H45" s="91">
        <v>69</v>
      </c>
      <c r="I45" s="91">
        <f t="shared" si="2"/>
        <v>69</v>
      </c>
    </row>
    <row r="46" spans="1:9" ht="15.75" thickBot="1" x14ac:dyDescent="0.3">
      <c r="A46" s="90"/>
      <c r="B46" s="90"/>
      <c r="C46" s="90"/>
      <c r="D46" s="90"/>
      <c r="E46" s="90"/>
      <c r="F46" s="90" t="s">
        <v>93</v>
      </c>
      <c r="G46" s="92">
        <v>0</v>
      </c>
      <c r="H46" s="92">
        <v>12500</v>
      </c>
      <c r="I46" s="92">
        <f t="shared" si="2"/>
        <v>12500</v>
      </c>
    </row>
    <row r="47" spans="1:9" x14ac:dyDescent="0.25">
      <c r="A47" s="90"/>
      <c r="B47" s="90"/>
      <c r="C47" s="90"/>
      <c r="D47" s="90"/>
      <c r="E47" s="90" t="s">
        <v>95</v>
      </c>
      <c r="F47" s="90"/>
      <c r="G47" s="91">
        <f>ROUND(SUM(G42:G46),5)</f>
        <v>0</v>
      </c>
      <c r="H47" s="91">
        <f>ROUND(SUM(H42:H46),5)</f>
        <v>35611.26</v>
      </c>
      <c r="I47" s="91">
        <f t="shared" si="2"/>
        <v>35611.26</v>
      </c>
    </row>
    <row r="48" spans="1:9" ht="30" customHeight="1" x14ac:dyDescent="0.25">
      <c r="A48" s="90"/>
      <c r="B48" s="90"/>
      <c r="C48" s="90"/>
      <c r="D48" s="90"/>
      <c r="E48" s="90" t="s">
        <v>98</v>
      </c>
      <c r="F48" s="90"/>
      <c r="G48" s="91">
        <v>0</v>
      </c>
      <c r="H48" s="91">
        <v>4466.07</v>
      </c>
      <c r="I48" s="91">
        <f t="shared" si="2"/>
        <v>4466.07</v>
      </c>
    </row>
    <row r="49" spans="1:11" x14ac:dyDescent="0.25">
      <c r="A49" s="90"/>
      <c r="B49" s="90"/>
      <c r="C49" s="90"/>
      <c r="D49" s="90"/>
      <c r="E49" s="234" t="s">
        <v>101</v>
      </c>
      <c r="F49" s="234"/>
      <c r="G49" s="235">
        <v>43.93</v>
      </c>
      <c r="H49" s="235">
        <v>8716.8799999999992</v>
      </c>
      <c r="I49" s="235">
        <f t="shared" si="2"/>
        <v>8760.81</v>
      </c>
      <c r="K49" s="7" t="s">
        <v>224</v>
      </c>
    </row>
    <row r="50" spans="1:11" x14ac:dyDescent="0.25">
      <c r="A50" s="90"/>
      <c r="B50" s="90"/>
      <c r="C50" s="90"/>
      <c r="D50" s="90"/>
      <c r="E50" s="90" t="s">
        <v>102</v>
      </c>
      <c r="F50" s="90"/>
      <c r="G50" s="91">
        <v>0</v>
      </c>
      <c r="H50" s="91">
        <v>294</v>
      </c>
      <c r="I50" s="91">
        <f t="shared" si="2"/>
        <v>294</v>
      </c>
    </row>
    <row r="51" spans="1:11" x14ac:dyDescent="0.25">
      <c r="A51" s="90"/>
      <c r="B51" s="90"/>
      <c r="C51" s="90"/>
      <c r="D51" s="90"/>
      <c r="E51" s="90" t="s">
        <v>103</v>
      </c>
      <c r="F51" s="90"/>
      <c r="G51" s="91">
        <v>0</v>
      </c>
      <c r="H51" s="91">
        <v>1350</v>
      </c>
      <c r="I51" s="91">
        <f t="shared" si="2"/>
        <v>1350</v>
      </c>
    </row>
    <row r="52" spans="1:11" x14ac:dyDescent="0.25">
      <c r="A52" s="90"/>
      <c r="B52" s="90"/>
      <c r="C52" s="90"/>
      <c r="D52" s="90"/>
      <c r="E52" s="90" t="s">
        <v>104</v>
      </c>
      <c r="F52" s="90"/>
      <c r="G52" s="91">
        <v>0</v>
      </c>
      <c r="H52" s="91">
        <v>26000</v>
      </c>
      <c r="I52" s="91">
        <f t="shared" si="2"/>
        <v>26000</v>
      </c>
    </row>
    <row r="53" spans="1:11" x14ac:dyDescent="0.25">
      <c r="A53" s="90"/>
      <c r="B53" s="90"/>
      <c r="C53" s="90"/>
      <c r="D53" s="90"/>
      <c r="E53" s="90" t="s">
        <v>105</v>
      </c>
      <c r="F53" s="90"/>
      <c r="G53" s="91">
        <v>0</v>
      </c>
      <c r="H53" s="91">
        <v>220.4</v>
      </c>
      <c r="I53" s="91">
        <f t="shared" si="2"/>
        <v>220.4</v>
      </c>
    </row>
    <row r="54" spans="1:11" x14ac:dyDescent="0.25">
      <c r="A54" s="90"/>
      <c r="B54" s="90"/>
      <c r="C54" s="90"/>
      <c r="D54" s="90"/>
      <c r="E54" s="90" t="s">
        <v>106</v>
      </c>
      <c r="F54" s="90"/>
      <c r="G54" s="91"/>
      <c r="H54" s="91"/>
      <c r="I54" s="91"/>
    </row>
    <row r="55" spans="1:11" x14ac:dyDescent="0.25">
      <c r="A55" s="90"/>
      <c r="B55" s="90"/>
      <c r="C55" s="90"/>
      <c r="D55" s="90"/>
      <c r="E55" s="90"/>
      <c r="F55" s="90" t="s">
        <v>186</v>
      </c>
      <c r="G55" s="91">
        <v>927.75</v>
      </c>
      <c r="H55" s="91">
        <v>0</v>
      </c>
      <c r="I55" s="91">
        <f t="shared" ref="I55:I65" si="3">ROUND(SUM(G55:H55),5)</f>
        <v>927.75</v>
      </c>
    </row>
    <row r="56" spans="1:11" ht="15.75" thickBot="1" x14ac:dyDescent="0.3">
      <c r="A56" s="90"/>
      <c r="B56" s="90"/>
      <c r="C56" s="90"/>
      <c r="D56" s="90"/>
      <c r="E56" s="90"/>
      <c r="F56" s="90" t="s">
        <v>187</v>
      </c>
      <c r="G56" s="92">
        <v>2396.0500000000002</v>
      </c>
      <c r="H56" s="92">
        <v>58049.03</v>
      </c>
      <c r="I56" s="92">
        <f t="shared" si="3"/>
        <v>60445.08</v>
      </c>
      <c r="K56" s="7" t="s">
        <v>225</v>
      </c>
    </row>
    <row r="57" spans="1:11" x14ac:dyDescent="0.25">
      <c r="A57" s="90"/>
      <c r="B57" s="90"/>
      <c r="C57" s="90"/>
      <c r="D57" s="90"/>
      <c r="E57" s="234" t="s">
        <v>188</v>
      </c>
      <c r="F57" s="234"/>
      <c r="G57" s="235">
        <f>ROUND(SUM(G54:G56),5)</f>
        <v>3323.8</v>
      </c>
      <c r="H57" s="235">
        <f>ROUND(SUM(H54:H56),5)</f>
        <v>58049.03</v>
      </c>
      <c r="I57" s="235">
        <f t="shared" si="3"/>
        <v>61372.83</v>
      </c>
    </row>
    <row r="58" spans="1:11" ht="30" customHeight="1" x14ac:dyDescent="0.25">
      <c r="A58" s="90"/>
      <c r="B58" s="90"/>
      <c r="C58" s="90"/>
      <c r="D58" s="90"/>
      <c r="E58" s="90" t="s">
        <v>108</v>
      </c>
      <c r="F58" s="90"/>
      <c r="G58" s="91">
        <v>0</v>
      </c>
      <c r="H58" s="91">
        <v>20.74</v>
      </c>
      <c r="I58" s="91">
        <f t="shared" si="3"/>
        <v>20.74</v>
      </c>
    </row>
    <row r="59" spans="1:11" x14ac:dyDescent="0.25">
      <c r="A59" s="90"/>
      <c r="B59" s="90"/>
      <c r="C59" s="90"/>
      <c r="D59" s="90"/>
      <c r="E59" s="90" t="s">
        <v>109</v>
      </c>
      <c r="F59" s="90"/>
      <c r="G59" s="91">
        <v>0</v>
      </c>
      <c r="H59" s="91">
        <v>15140.41</v>
      </c>
      <c r="I59" s="91">
        <f t="shared" si="3"/>
        <v>15140.41</v>
      </c>
    </row>
    <row r="60" spans="1:11" x14ac:dyDescent="0.25">
      <c r="A60" s="90"/>
      <c r="B60" s="90"/>
      <c r="C60" s="90"/>
      <c r="D60" s="90"/>
      <c r="E60" s="90" t="s">
        <v>110</v>
      </c>
      <c r="F60" s="90"/>
      <c r="G60" s="91">
        <v>0</v>
      </c>
      <c r="H60" s="91">
        <v>226.98</v>
      </c>
      <c r="I60" s="91">
        <f t="shared" si="3"/>
        <v>226.98</v>
      </c>
    </row>
    <row r="61" spans="1:11" x14ac:dyDescent="0.25">
      <c r="A61" s="90"/>
      <c r="B61" s="90"/>
      <c r="C61" s="90"/>
      <c r="D61" s="90"/>
      <c r="E61" s="90" t="s">
        <v>111</v>
      </c>
      <c r="F61" s="90"/>
      <c r="G61" s="91">
        <v>0</v>
      </c>
      <c r="H61" s="91">
        <v>3525</v>
      </c>
      <c r="I61" s="91">
        <f t="shared" si="3"/>
        <v>3525</v>
      </c>
    </row>
    <row r="62" spans="1:11" x14ac:dyDescent="0.25">
      <c r="A62" s="90"/>
      <c r="B62" s="90"/>
      <c r="C62" s="90"/>
      <c r="D62" s="90"/>
      <c r="E62" s="90" t="s">
        <v>112</v>
      </c>
      <c r="F62" s="90"/>
      <c r="G62" s="91">
        <v>0</v>
      </c>
      <c r="H62" s="91">
        <v>9096.5400000000009</v>
      </c>
      <c r="I62" s="91">
        <f t="shared" si="3"/>
        <v>9096.5400000000009</v>
      </c>
    </row>
    <row r="63" spans="1:11" ht="15.75" thickBot="1" x14ac:dyDescent="0.3">
      <c r="A63" s="90"/>
      <c r="B63" s="90"/>
      <c r="C63" s="90"/>
      <c r="D63" s="90"/>
      <c r="E63" s="90" t="s">
        <v>113</v>
      </c>
      <c r="F63" s="90"/>
      <c r="G63" s="93">
        <v>0</v>
      </c>
      <c r="H63" s="93">
        <v>12448.47</v>
      </c>
      <c r="I63" s="93">
        <f t="shared" si="3"/>
        <v>12448.47</v>
      </c>
    </row>
    <row r="64" spans="1:11" ht="15.75" thickBot="1" x14ac:dyDescent="0.3">
      <c r="A64" s="90"/>
      <c r="B64" s="90"/>
      <c r="C64" s="90"/>
      <c r="D64" s="90" t="s">
        <v>114</v>
      </c>
      <c r="E64" s="90"/>
      <c r="F64" s="90"/>
      <c r="G64" s="95">
        <f>ROUND(SUM(G36:G41)+SUM(G47:G53)+SUM(G57:G63),5)</f>
        <v>4028.49</v>
      </c>
      <c r="H64" s="95">
        <f>ROUND(SUM(H36:H41)+SUM(H47:H53)+SUM(H57:H63),5)</f>
        <v>200300.78</v>
      </c>
      <c r="I64" s="95">
        <f t="shared" si="3"/>
        <v>204329.27</v>
      </c>
    </row>
    <row r="65" spans="1:9" ht="30" customHeight="1" x14ac:dyDescent="0.25">
      <c r="A65" s="90"/>
      <c r="B65" s="90" t="s">
        <v>115</v>
      </c>
      <c r="C65" s="90"/>
      <c r="D65" s="90"/>
      <c r="E65" s="90"/>
      <c r="F65" s="90"/>
      <c r="G65" s="91">
        <f>ROUND(G2+G35-G64,5)</f>
        <v>1600.2</v>
      </c>
      <c r="H65" s="91">
        <f>ROUND(H2+H35-H64,5)</f>
        <v>64841.64</v>
      </c>
      <c r="I65" s="91">
        <f t="shared" si="3"/>
        <v>66441.84</v>
      </c>
    </row>
    <row r="66" spans="1:9" ht="30" customHeight="1" x14ac:dyDescent="0.25">
      <c r="A66" s="90"/>
      <c r="B66" s="90" t="s">
        <v>116</v>
      </c>
      <c r="C66" s="90"/>
      <c r="D66" s="90"/>
      <c r="E66" s="90"/>
      <c r="F66" s="90"/>
      <c r="G66" s="91"/>
      <c r="H66" s="91"/>
      <c r="I66" s="91"/>
    </row>
    <row r="67" spans="1:9" x14ac:dyDescent="0.25">
      <c r="A67" s="90"/>
      <c r="B67" s="90"/>
      <c r="C67" s="90" t="s">
        <v>117</v>
      </c>
      <c r="D67" s="90"/>
      <c r="E67" s="90"/>
      <c r="F67" s="90"/>
      <c r="G67" s="91"/>
      <c r="H67" s="91"/>
      <c r="I67" s="91"/>
    </row>
    <row r="68" spans="1:9" ht="15.75" thickBot="1" x14ac:dyDescent="0.3">
      <c r="A68" s="90"/>
      <c r="B68" s="90"/>
      <c r="C68" s="90"/>
      <c r="D68" s="90" t="s">
        <v>117</v>
      </c>
      <c r="E68" s="90"/>
      <c r="F68" s="90"/>
      <c r="G68" s="92">
        <v>0</v>
      </c>
      <c r="H68" s="92">
        <v>2500</v>
      </c>
      <c r="I68" s="92">
        <f>ROUND(SUM(G68:H68),5)</f>
        <v>2500</v>
      </c>
    </row>
    <row r="69" spans="1:9" x14ac:dyDescent="0.25">
      <c r="A69" s="90"/>
      <c r="B69" s="90"/>
      <c r="C69" s="90" t="s">
        <v>118</v>
      </c>
      <c r="D69" s="90"/>
      <c r="E69" s="90"/>
      <c r="F69" s="90"/>
      <c r="G69" s="91">
        <f>ROUND(SUM(G67:G68),5)</f>
        <v>0</v>
      </c>
      <c r="H69" s="91">
        <f>ROUND(SUM(H67:H68),5)</f>
        <v>2500</v>
      </c>
      <c r="I69" s="91">
        <f>ROUND(SUM(G69:H69),5)</f>
        <v>2500</v>
      </c>
    </row>
    <row r="70" spans="1:9" ht="30" customHeight="1" x14ac:dyDescent="0.25">
      <c r="A70" s="90"/>
      <c r="B70" s="90"/>
      <c r="C70" s="90" t="s">
        <v>119</v>
      </c>
      <c r="D70" s="90"/>
      <c r="E70" s="90"/>
      <c r="F70" s="90"/>
      <c r="G70" s="91"/>
      <c r="H70" s="91"/>
      <c r="I70" s="91"/>
    </row>
    <row r="71" spans="1:9" ht="15.75" thickBot="1" x14ac:dyDescent="0.3">
      <c r="A71" s="90"/>
      <c r="B71" s="90"/>
      <c r="C71" s="90"/>
      <c r="D71" s="90" t="s">
        <v>121</v>
      </c>
      <c r="E71" s="90"/>
      <c r="F71" s="90"/>
      <c r="G71" s="93">
        <v>0</v>
      </c>
      <c r="H71" s="93">
        <v>37068.559999999998</v>
      </c>
      <c r="I71" s="93">
        <f>ROUND(SUM(G71:H71),5)</f>
        <v>37068.559999999998</v>
      </c>
    </row>
    <row r="72" spans="1:9" ht="15.75" thickBot="1" x14ac:dyDescent="0.3">
      <c r="A72" s="90"/>
      <c r="B72" s="90"/>
      <c r="C72" s="90" t="s">
        <v>123</v>
      </c>
      <c r="D72" s="90"/>
      <c r="E72" s="90"/>
      <c r="F72" s="90"/>
      <c r="G72" s="94">
        <f>ROUND(SUM(G70:G71),5)</f>
        <v>0</v>
      </c>
      <c r="H72" s="94">
        <f>ROUND(SUM(H70:H71),5)</f>
        <v>37068.559999999998</v>
      </c>
      <c r="I72" s="94">
        <f>ROUND(SUM(G72:H72),5)</f>
        <v>37068.559999999998</v>
      </c>
    </row>
    <row r="73" spans="1:9" ht="30" customHeight="1" thickBot="1" x14ac:dyDescent="0.3">
      <c r="A73" s="90"/>
      <c r="B73" s="90" t="s">
        <v>124</v>
      </c>
      <c r="C73" s="90"/>
      <c r="D73" s="90"/>
      <c r="E73" s="90"/>
      <c r="F73" s="90"/>
      <c r="G73" s="94">
        <f>ROUND(G66+G69-G72,5)</f>
        <v>0</v>
      </c>
      <c r="H73" s="94">
        <f>ROUND(H66+H69-H72,5)</f>
        <v>-34568.559999999998</v>
      </c>
      <c r="I73" s="94">
        <f>ROUND(SUM(G73:H73),5)</f>
        <v>-34568.559999999998</v>
      </c>
    </row>
    <row r="74" spans="1:9" s="97" customFormat="1" ht="30" customHeight="1" thickBot="1" x14ac:dyDescent="0.25">
      <c r="A74" s="90" t="s">
        <v>125</v>
      </c>
      <c r="B74" s="90"/>
      <c r="C74" s="90"/>
      <c r="D74" s="90"/>
      <c r="E74" s="90"/>
      <c r="F74" s="90"/>
      <c r="G74" s="96">
        <f>ROUND(G65+G73,5)</f>
        <v>1600.2</v>
      </c>
      <c r="H74" s="96">
        <f>ROUND(H65+H73,5)</f>
        <v>30273.08</v>
      </c>
      <c r="I74" s="96">
        <f>ROUND(SUM(G74:H74),5)</f>
        <v>31873.279999999999</v>
      </c>
    </row>
    <row r="75" spans="1:9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theme="7" tint="0.39997558519241921"/>
  </sheetPr>
  <dimension ref="A1:Q75"/>
  <sheetViews>
    <sheetView workbookViewId="0">
      <pane xSplit="6" ySplit="1" topLeftCell="G2" activePane="bottomRight" state="frozenSplit"/>
      <selection pane="topRight" activeCell="G1" sqref="G1"/>
      <selection pane="bottomLeft" activeCell="A2" sqref="A2"/>
      <selection pane="bottomRight" activeCell="O2" sqref="O2"/>
    </sheetView>
  </sheetViews>
  <sheetFormatPr defaultRowHeight="15" x14ac:dyDescent="0.25"/>
  <cols>
    <col min="1" max="5" width="3" style="98" customWidth="1"/>
    <col min="6" max="6" width="30.42578125" style="98" customWidth="1"/>
    <col min="7" max="7" width="10.28515625" style="75" bestFit="1" customWidth="1"/>
    <col min="8" max="13" width="9.140625" style="7"/>
    <col min="14" max="14" width="23.140625" style="7" bestFit="1" customWidth="1"/>
    <col min="15" max="15" width="13.28515625" style="7" customWidth="1"/>
    <col min="16" max="16" width="9.42578125" style="7" bestFit="1" customWidth="1"/>
    <col min="17" max="17" width="17.42578125" style="7" bestFit="1" customWidth="1"/>
    <col min="18" max="16384" width="9.140625" style="7"/>
  </cols>
  <sheetData>
    <row r="1" spans="1:17" s="47" customFormat="1" ht="30.75" thickBot="1" x14ac:dyDescent="0.3">
      <c r="A1" s="88"/>
      <c r="B1" s="88"/>
      <c r="C1" s="88"/>
      <c r="D1" s="88"/>
      <c r="E1" s="88"/>
      <c r="F1" s="88"/>
      <c r="G1" s="89" t="s">
        <v>220</v>
      </c>
      <c r="N1" s="187" t="s">
        <v>189</v>
      </c>
      <c r="O1" s="188" t="s">
        <v>149</v>
      </c>
      <c r="P1" s="189" t="s">
        <v>190</v>
      </c>
      <c r="Q1" s="188" t="s">
        <v>191</v>
      </c>
    </row>
    <row r="2" spans="1:17" ht="15.75" thickTop="1" x14ac:dyDescent="0.25">
      <c r="A2" s="90"/>
      <c r="B2" s="90" t="s">
        <v>39</v>
      </c>
      <c r="C2" s="90"/>
      <c r="D2" s="90"/>
      <c r="E2" s="90"/>
      <c r="F2" s="90"/>
      <c r="G2" s="91"/>
      <c r="N2" s="123" t="s">
        <v>192</v>
      </c>
      <c r="O2" s="124">
        <f>G59+G51</f>
        <v>64492.9</v>
      </c>
      <c r="P2" s="123"/>
      <c r="Q2" s="123" t="s">
        <v>193</v>
      </c>
    </row>
    <row r="3" spans="1:17" x14ac:dyDescent="0.25">
      <c r="A3" s="90"/>
      <c r="B3" s="90"/>
      <c r="C3" s="90"/>
      <c r="D3" s="90" t="s">
        <v>40</v>
      </c>
      <c r="E3" s="90"/>
      <c r="F3" s="90"/>
      <c r="G3" s="91"/>
      <c r="N3" s="190"/>
      <c r="O3" s="190"/>
      <c r="P3" s="190"/>
      <c r="Q3" s="190"/>
    </row>
    <row r="4" spans="1:17" x14ac:dyDescent="0.25">
      <c r="A4" s="90"/>
      <c r="B4" s="90"/>
      <c r="C4" s="90"/>
      <c r="D4" s="90"/>
      <c r="E4" s="90" t="s">
        <v>183</v>
      </c>
      <c r="F4" s="90"/>
      <c r="G4" s="91">
        <v>-8692.19</v>
      </c>
    </row>
    <row r="5" spans="1:17" ht="30" x14ac:dyDescent="0.25">
      <c r="A5" s="90"/>
      <c r="B5" s="90"/>
      <c r="C5" s="90"/>
      <c r="D5" s="90"/>
      <c r="E5" s="90" t="s">
        <v>41</v>
      </c>
      <c r="F5" s="90"/>
      <c r="G5" s="91">
        <v>-9914.07</v>
      </c>
      <c r="N5" s="187" t="s">
        <v>194</v>
      </c>
      <c r="O5" s="188" t="s">
        <v>149</v>
      </c>
      <c r="P5" s="189" t="s">
        <v>190</v>
      </c>
      <c r="Q5" s="188" t="s">
        <v>191</v>
      </c>
    </row>
    <row r="6" spans="1:17" x14ac:dyDescent="0.25">
      <c r="A6" s="90"/>
      <c r="B6" s="90"/>
      <c r="C6" s="90"/>
      <c r="D6" s="90"/>
      <c r="E6" s="90" t="s">
        <v>131</v>
      </c>
      <c r="F6" s="90"/>
      <c r="G6" s="91">
        <v>1005</v>
      </c>
      <c r="N6" s="123" t="s">
        <v>152</v>
      </c>
      <c r="O6" s="124">
        <f>G72+G67-O2</f>
        <v>166696.63999999998</v>
      </c>
      <c r="P6" s="123"/>
      <c r="Q6" s="123" t="s">
        <v>193</v>
      </c>
    </row>
    <row r="7" spans="1:17" x14ac:dyDescent="0.25">
      <c r="A7" s="90"/>
      <c r="B7" s="90"/>
      <c r="C7" s="90"/>
      <c r="D7" s="90"/>
      <c r="E7" s="90" t="s">
        <v>45</v>
      </c>
      <c r="F7" s="90"/>
      <c r="G7" s="91">
        <v>49289.5</v>
      </c>
    </row>
    <row r="8" spans="1:17" ht="15.75" thickBot="1" x14ac:dyDescent="0.3">
      <c r="A8" s="90"/>
      <c r="B8" s="90"/>
      <c r="C8" s="90"/>
      <c r="D8" s="90"/>
      <c r="E8" s="90" t="s">
        <v>47</v>
      </c>
      <c r="F8" s="90"/>
      <c r="G8" s="92">
        <v>549531.21</v>
      </c>
    </row>
    <row r="9" spans="1:17" x14ac:dyDescent="0.25">
      <c r="A9" s="90"/>
      <c r="B9" s="90"/>
      <c r="C9" s="90"/>
      <c r="D9" s="90" t="s">
        <v>49</v>
      </c>
      <c r="E9" s="90"/>
      <c r="F9" s="90"/>
      <c r="G9" s="91">
        <f>ROUND(SUM(G3:G8),5)</f>
        <v>581219.44999999995</v>
      </c>
    </row>
    <row r="10" spans="1:17" ht="30" customHeight="1" x14ac:dyDescent="0.25">
      <c r="A10" s="90"/>
      <c r="B10" s="90"/>
      <c r="C10" s="90"/>
      <c r="D10" s="90" t="s">
        <v>50</v>
      </c>
      <c r="E10" s="90"/>
      <c r="F10" s="90"/>
      <c r="G10" s="91"/>
    </row>
    <row r="11" spans="1:17" x14ac:dyDescent="0.25">
      <c r="A11" s="90"/>
      <c r="B11" s="90"/>
      <c r="C11" s="90"/>
      <c r="D11" s="90"/>
      <c r="E11" s="90" t="s">
        <v>51</v>
      </c>
      <c r="F11" s="90"/>
      <c r="G11" s="91">
        <v>624.92999999999995</v>
      </c>
    </row>
    <row r="12" spans="1:17" x14ac:dyDescent="0.25">
      <c r="A12" s="90"/>
      <c r="B12" s="90"/>
      <c r="C12" s="90"/>
      <c r="D12" s="90"/>
      <c r="E12" s="90" t="s">
        <v>53</v>
      </c>
      <c r="F12" s="90"/>
      <c r="G12" s="91">
        <v>7.0000000000000007E-2</v>
      </c>
    </row>
    <row r="13" spans="1:17" x14ac:dyDescent="0.25">
      <c r="A13" s="90"/>
      <c r="B13" s="90"/>
      <c r="C13" s="90"/>
      <c r="D13" s="90"/>
      <c r="E13" s="90" t="s">
        <v>54</v>
      </c>
      <c r="F13" s="90"/>
      <c r="G13" s="91"/>
    </row>
    <row r="14" spans="1:17" x14ac:dyDescent="0.25">
      <c r="A14" s="90"/>
      <c r="B14" s="90"/>
      <c r="C14" s="90"/>
      <c r="D14" s="90"/>
      <c r="E14" s="90"/>
      <c r="F14" s="90" t="s">
        <v>184</v>
      </c>
      <c r="G14" s="91">
        <v>11112.45</v>
      </c>
    </row>
    <row r="15" spans="1:17" x14ac:dyDescent="0.25">
      <c r="A15" s="90"/>
      <c r="B15" s="90"/>
      <c r="C15" s="90"/>
      <c r="D15" s="90"/>
      <c r="E15" s="90"/>
      <c r="F15" s="90" t="s">
        <v>42</v>
      </c>
      <c r="G15" s="91">
        <v>-5461.38</v>
      </c>
    </row>
    <row r="16" spans="1:17" x14ac:dyDescent="0.25">
      <c r="A16" s="90"/>
      <c r="B16" s="90"/>
      <c r="C16" s="90"/>
      <c r="D16" s="90"/>
      <c r="E16" s="90"/>
      <c r="F16" s="90" t="s">
        <v>55</v>
      </c>
      <c r="G16" s="91">
        <v>2779.54</v>
      </c>
    </row>
    <row r="17" spans="1:7" ht="15.75" thickBot="1" x14ac:dyDescent="0.3">
      <c r="A17" s="90"/>
      <c r="B17" s="90"/>
      <c r="C17" s="90"/>
      <c r="D17" s="90"/>
      <c r="E17" s="90"/>
      <c r="F17" s="90" t="s">
        <v>56</v>
      </c>
      <c r="G17" s="92">
        <v>209684.93</v>
      </c>
    </row>
    <row r="18" spans="1:7" x14ac:dyDescent="0.25">
      <c r="A18" s="90"/>
      <c r="B18" s="90"/>
      <c r="C18" s="90"/>
      <c r="D18" s="90"/>
      <c r="E18" s="90" t="s">
        <v>57</v>
      </c>
      <c r="F18" s="90"/>
      <c r="G18" s="91">
        <f>ROUND(SUM(G13:G17),5)</f>
        <v>218115.54</v>
      </c>
    </row>
    <row r="19" spans="1:7" ht="30" customHeight="1" x14ac:dyDescent="0.25">
      <c r="A19" s="90"/>
      <c r="B19" s="90"/>
      <c r="C19" s="90"/>
      <c r="D19" s="90"/>
      <c r="E19" s="90" t="s">
        <v>58</v>
      </c>
      <c r="F19" s="90"/>
      <c r="G19" s="91"/>
    </row>
    <row r="20" spans="1:7" x14ac:dyDescent="0.25">
      <c r="A20" s="90"/>
      <c r="B20" s="90"/>
      <c r="C20" s="90"/>
      <c r="D20" s="90"/>
      <c r="E20" s="90"/>
      <c r="F20" s="90" t="s">
        <v>59</v>
      </c>
      <c r="G20" s="91">
        <v>30883.599999999999</v>
      </c>
    </row>
    <row r="21" spans="1:7" x14ac:dyDescent="0.25">
      <c r="A21" s="90"/>
      <c r="B21" s="90"/>
      <c r="C21" s="90"/>
      <c r="D21" s="90"/>
      <c r="E21" s="90"/>
      <c r="F21" s="90" t="s">
        <v>60</v>
      </c>
      <c r="G21" s="91">
        <v>3113.27</v>
      </c>
    </row>
    <row r="22" spans="1:7" x14ac:dyDescent="0.25">
      <c r="A22" s="90"/>
      <c r="B22" s="90"/>
      <c r="C22" s="90"/>
      <c r="D22" s="90"/>
      <c r="E22" s="90"/>
      <c r="F22" s="90" t="s">
        <v>61</v>
      </c>
      <c r="G22" s="91">
        <v>63486.83</v>
      </c>
    </row>
    <row r="23" spans="1:7" ht="15.75" thickBot="1" x14ac:dyDescent="0.3">
      <c r="A23" s="90"/>
      <c r="B23" s="90"/>
      <c r="C23" s="90"/>
      <c r="D23" s="90"/>
      <c r="E23" s="90"/>
      <c r="F23" s="90" t="s">
        <v>63</v>
      </c>
      <c r="G23" s="92">
        <v>1420</v>
      </c>
    </row>
    <row r="24" spans="1:7" x14ac:dyDescent="0.25">
      <c r="A24" s="90"/>
      <c r="B24" s="90"/>
      <c r="C24" s="90"/>
      <c r="D24" s="90"/>
      <c r="E24" s="90" t="s">
        <v>65</v>
      </c>
      <c r="F24" s="90"/>
      <c r="G24" s="238">
        <f>ROUND(SUM(G19:G23),5)</f>
        <v>98903.7</v>
      </c>
    </row>
    <row r="25" spans="1:7" ht="30" customHeight="1" x14ac:dyDescent="0.25">
      <c r="A25" s="90"/>
      <c r="B25" s="90"/>
      <c r="C25" s="90"/>
      <c r="D25" s="90"/>
      <c r="E25" s="90" t="s">
        <v>67</v>
      </c>
      <c r="F25" s="90"/>
      <c r="G25" s="91"/>
    </row>
    <row r="26" spans="1:7" x14ac:dyDescent="0.25">
      <c r="A26" s="90"/>
      <c r="B26" s="90"/>
      <c r="C26" s="90"/>
      <c r="D26" s="90"/>
      <c r="E26" s="90"/>
      <c r="F26" s="90" t="s">
        <v>68</v>
      </c>
      <c r="G26" s="91">
        <v>420</v>
      </c>
    </row>
    <row r="27" spans="1:7" ht="15.75" thickBot="1" x14ac:dyDescent="0.3">
      <c r="A27" s="90"/>
      <c r="B27" s="90"/>
      <c r="C27" s="90"/>
      <c r="D27" s="90"/>
      <c r="E27" s="90"/>
      <c r="F27" s="90" t="s">
        <v>69</v>
      </c>
      <c r="G27" s="92">
        <v>31395.55</v>
      </c>
    </row>
    <row r="28" spans="1:7" x14ac:dyDescent="0.25">
      <c r="A28" s="90"/>
      <c r="B28" s="90"/>
      <c r="C28" s="90"/>
      <c r="D28" s="90"/>
      <c r="E28" s="90" t="s">
        <v>70</v>
      </c>
      <c r="F28" s="90"/>
      <c r="G28" s="238">
        <f>ROUND(SUM(G25:G27),5)</f>
        <v>31815.55</v>
      </c>
    </row>
    <row r="29" spans="1:7" ht="30" customHeight="1" x14ac:dyDescent="0.25">
      <c r="A29" s="90"/>
      <c r="B29" s="90"/>
      <c r="C29" s="90"/>
      <c r="D29" s="90"/>
      <c r="E29" s="90" t="s">
        <v>71</v>
      </c>
      <c r="F29" s="90"/>
      <c r="G29" s="91"/>
    </row>
    <row r="30" spans="1:7" x14ac:dyDescent="0.25">
      <c r="A30" s="90"/>
      <c r="B30" s="90"/>
      <c r="C30" s="90"/>
      <c r="D30" s="90"/>
      <c r="E30" s="90"/>
      <c r="F30" s="90" t="s">
        <v>72</v>
      </c>
      <c r="G30" s="91">
        <v>2135.12</v>
      </c>
    </row>
    <row r="31" spans="1:7" x14ac:dyDescent="0.25">
      <c r="A31" s="90"/>
      <c r="B31" s="90"/>
      <c r="C31" s="90"/>
      <c r="D31" s="90"/>
      <c r="E31" s="90"/>
      <c r="F31" s="90" t="s">
        <v>73</v>
      </c>
      <c r="G31" s="91">
        <v>2122.2399999999998</v>
      </c>
    </row>
    <row r="32" spans="1:7" x14ac:dyDescent="0.25">
      <c r="A32" s="90"/>
      <c r="B32" s="90"/>
      <c r="C32" s="90"/>
      <c r="D32" s="90"/>
      <c r="E32" s="90"/>
      <c r="F32" s="90" t="s">
        <v>74</v>
      </c>
      <c r="G32" s="91">
        <v>16381.55</v>
      </c>
    </row>
    <row r="33" spans="1:11" ht="15.75" thickBot="1" x14ac:dyDescent="0.3">
      <c r="A33" s="90"/>
      <c r="B33" s="90"/>
      <c r="C33" s="90"/>
      <c r="D33" s="90"/>
      <c r="E33" s="90"/>
      <c r="F33" s="90" t="s">
        <v>75</v>
      </c>
      <c r="G33" s="93">
        <v>24195.55</v>
      </c>
    </row>
    <row r="34" spans="1:11" ht="15.75" thickBot="1" x14ac:dyDescent="0.3">
      <c r="A34" s="90"/>
      <c r="B34" s="90"/>
      <c r="C34" s="90"/>
      <c r="D34" s="90"/>
      <c r="E34" s="90" t="s">
        <v>76</v>
      </c>
      <c r="F34" s="90"/>
      <c r="G34" s="94">
        <f>ROUND(SUM(G29:G33),5)</f>
        <v>44834.46</v>
      </c>
    </row>
    <row r="35" spans="1:11" ht="30" customHeight="1" thickBot="1" x14ac:dyDescent="0.3">
      <c r="A35" s="90"/>
      <c r="B35" s="90"/>
      <c r="C35" s="90"/>
      <c r="D35" s="90" t="s">
        <v>77</v>
      </c>
      <c r="E35" s="90"/>
      <c r="F35" s="90"/>
      <c r="G35" s="237">
        <f>ROUND(SUM(G10:G12)+G18+G24+G28+G34,5)</f>
        <v>394294.25</v>
      </c>
    </row>
    <row r="36" spans="1:11" ht="30" customHeight="1" x14ac:dyDescent="0.25">
      <c r="A36" s="90"/>
      <c r="B36" s="90"/>
      <c r="C36" s="90" t="s">
        <v>78</v>
      </c>
      <c r="D36" s="90"/>
      <c r="E36" s="90"/>
      <c r="F36" s="90"/>
      <c r="G36" s="91">
        <f>ROUND(G9-G35,5)</f>
        <v>186925.2</v>
      </c>
    </row>
    <row r="37" spans="1:11" ht="30" customHeight="1" x14ac:dyDescent="0.25">
      <c r="A37" s="90"/>
      <c r="B37" s="90"/>
      <c r="C37" s="90"/>
      <c r="D37" s="90" t="s">
        <v>79</v>
      </c>
      <c r="E37" s="90"/>
      <c r="F37" s="90"/>
      <c r="G37" s="91"/>
    </row>
    <row r="38" spans="1:11" x14ac:dyDescent="0.25">
      <c r="A38" s="90"/>
      <c r="B38" s="90"/>
      <c r="C38" s="90"/>
      <c r="D38" s="90"/>
      <c r="E38" s="90" t="s">
        <v>82</v>
      </c>
      <c r="F38" s="90"/>
      <c r="G38" s="91">
        <v>264.20999999999998</v>
      </c>
    </row>
    <row r="39" spans="1:11" x14ac:dyDescent="0.25">
      <c r="A39" s="90"/>
      <c r="B39" s="90"/>
      <c r="C39" s="90"/>
      <c r="D39" s="90"/>
      <c r="E39" s="90" t="s">
        <v>83</v>
      </c>
      <c r="F39" s="90"/>
      <c r="G39" s="91">
        <v>5977.42</v>
      </c>
    </row>
    <row r="40" spans="1:11" x14ac:dyDescent="0.25">
      <c r="A40" s="90"/>
      <c r="B40" s="90"/>
      <c r="C40" s="90"/>
      <c r="D40" s="90"/>
      <c r="E40" s="90" t="s">
        <v>84</v>
      </c>
      <c r="F40" s="90"/>
      <c r="G40" s="91">
        <v>2867.19</v>
      </c>
    </row>
    <row r="41" spans="1:11" x14ac:dyDescent="0.25">
      <c r="A41" s="90"/>
      <c r="B41" s="90"/>
      <c r="C41" s="90"/>
      <c r="D41" s="90"/>
      <c r="E41" s="90" t="s">
        <v>85</v>
      </c>
      <c r="F41" s="90"/>
      <c r="G41" s="91">
        <v>4617.91</v>
      </c>
    </row>
    <row r="42" spans="1:11" x14ac:dyDescent="0.25">
      <c r="A42" s="90"/>
      <c r="B42" s="90"/>
      <c r="C42" s="90"/>
      <c r="D42" s="90"/>
      <c r="E42" s="90" t="s">
        <v>89</v>
      </c>
      <c r="F42" s="90"/>
      <c r="G42" s="231">
        <f>I42+H42</f>
        <v>9778.4600000000009</v>
      </c>
      <c r="H42" s="232">
        <v>-4832.6499999999996</v>
      </c>
      <c r="I42" s="232">
        <v>14611.11</v>
      </c>
    </row>
    <row r="43" spans="1:11" x14ac:dyDescent="0.25">
      <c r="A43" s="90"/>
      <c r="B43" s="90"/>
      <c r="C43" s="90"/>
      <c r="D43" s="90"/>
      <c r="E43" s="90" t="s">
        <v>90</v>
      </c>
      <c r="F43" s="90"/>
      <c r="G43" s="91"/>
    </row>
    <row r="44" spans="1:11" x14ac:dyDescent="0.25">
      <c r="A44" s="90"/>
      <c r="B44" s="90"/>
      <c r="C44" s="90"/>
      <c r="D44" s="90"/>
      <c r="E44" s="90"/>
      <c r="F44" s="90" t="s">
        <v>91</v>
      </c>
      <c r="G44" s="91">
        <v>22350</v>
      </c>
    </row>
    <row r="45" spans="1:11" x14ac:dyDescent="0.25">
      <c r="A45" s="90"/>
      <c r="B45" s="90"/>
      <c r="C45" s="90"/>
      <c r="D45" s="90"/>
      <c r="E45" s="90"/>
      <c r="F45" s="90" t="s">
        <v>92</v>
      </c>
      <c r="G45" s="91">
        <v>3646.6</v>
      </c>
    </row>
    <row r="46" spans="1:11" x14ac:dyDescent="0.25">
      <c r="A46" s="90"/>
      <c r="B46" s="90"/>
      <c r="C46" s="90"/>
      <c r="D46" s="90"/>
      <c r="E46" s="90"/>
      <c r="F46" s="90" t="s">
        <v>204</v>
      </c>
      <c r="G46" s="91">
        <v>69</v>
      </c>
      <c r="K46" s="233"/>
    </row>
    <row r="47" spans="1:11" ht="15.75" thickBot="1" x14ac:dyDescent="0.3">
      <c r="A47" s="90"/>
      <c r="B47" s="90"/>
      <c r="C47" s="90"/>
      <c r="D47" s="90"/>
      <c r="E47" s="90"/>
      <c r="F47" s="90" t="s">
        <v>93</v>
      </c>
      <c r="G47" s="92">
        <v>12500</v>
      </c>
    </row>
    <row r="48" spans="1:11" x14ac:dyDescent="0.25">
      <c r="A48" s="90"/>
      <c r="B48" s="90"/>
      <c r="C48" s="90"/>
      <c r="D48" s="90"/>
      <c r="E48" s="90" t="s">
        <v>95</v>
      </c>
      <c r="F48" s="90"/>
      <c r="G48" s="91">
        <f>ROUND(SUM(G43:G47),5)</f>
        <v>38565.599999999999</v>
      </c>
    </row>
    <row r="49" spans="1:7" ht="30" customHeight="1" x14ac:dyDescent="0.25">
      <c r="A49" s="90"/>
      <c r="B49" s="90"/>
      <c r="C49" s="90"/>
      <c r="D49" s="90"/>
      <c r="E49" s="90" t="s">
        <v>98</v>
      </c>
      <c r="F49" s="90"/>
      <c r="G49" s="91">
        <v>2400.2399999999998</v>
      </c>
    </row>
    <row r="50" spans="1:7" x14ac:dyDescent="0.25">
      <c r="A50" s="90"/>
      <c r="B50" s="90"/>
      <c r="C50" s="90"/>
      <c r="D50" s="90"/>
      <c r="E50" s="90" t="s">
        <v>100</v>
      </c>
      <c r="F50" s="90"/>
      <c r="G50" s="91">
        <v>3500</v>
      </c>
    </row>
    <row r="51" spans="1:7" x14ac:dyDescent="0.25">
      <c r="A51" s="90"/>
      <c r="B51" s="90"/>
      <c r="C51" s="90"/>
      <c r="D51" s="90"/>
      <c r="E51" s="90" t="s">
        <v>101</v>
      </c>
      <c r="F51" s="90"/>
      <c r="G51" s="91">
        <v>6672.76</v>
      </c>
    </row>
    <row r="52" spans="1:7" x14ac:dyDescent="0.25">
      <c r="A52" s="90"/>
      <c r="B52" s="90"/>
      <c r="C52" s="90"/>
      <c r="D52" s="90"/>
      <c r="E52" s="90" t="s">
        <v>102</v>
      </c>
      <c r="F52" s="90"/>
      <c r="G52" s="91">
        <v>0</v>
      </c>
    </row>
    <row r="53" spans="1:7" x14ac:dyDescent="0.25">
      <c r="A53" s="90"/>
      <c r="B53" s="90"/>
      <c r="C53" s="90"/>
      <c r="D53" s="90"/>
      <c r="E53" s="90" t="s">
        <v>103</v>
      </c>
      <c r="F53" s="90"/>
      <c r="G53" s="91">
        <v>100</v>
      </c>
    </row>
    <row r="54" spans="1:7" x14ac:dyDescent="0.25">
      <c r="A54" s="90"/>
      <c r="B54" s="90"/>
      <c r="C54" s="90"/>
      <c r="D54" s="90"/>
      <c r="E54" s="90" t="s">
        <v>104</v>
      </c>
      <c r="F54" s="90"/>
      <c r="G54" s="91">
        <v>26000</v>
      </c>
    </row>
    <row r="55" spans="1:7" x14ac:dyDescent="0.25">
      <c r="A55" s="90"/>
      <c r="B55" s="90"/>
      <c r="C55" s="90"/>
      <c r="D55" s="90"/>
      <c r="E55" s="90" t="s">
        <v>105</v>
      </c>
      <c r="F55" s="90"/>
      <c r="G55" s="91">
        <v>295.42</v>
      </c>
    </row>
    <row r="56" spans="1:7" x14ac:dyDescent="0.25">
      <c r="A56" s="90"/>
      <c r="B56" s="90"/>
      <c r="C56" s="90"/>
      <c r="D56" s="90"/>
      <c r="E56" s="90" t="s">
        <v>106</v>
      </c>
      <c r="F56" s="90"/>
      <c r="G56" s="91"/>
    </row>
    <row r="57" spans="1:7" x14ac:dyDescent="0.25">
      <c r="A57" s="90"/>
      <c r="B57" s="90"/>
      <c r="C57" s="90"/>
      <c r="D57" s="90"/>
      <c r="E57" s="90"/>
      <c r="F57" s="90" t="s">
        <v>186</v>
      </c>
      <c r="G57" s="91">
        <v>1307.44</v>
      </c>
    </row>
    <row r="58" spans="1:7" ht="15.75" thickBot="1" x14ac:dyDescent="0.3">
      <c r="A58" s="90"/>
      <c r="B58" s="90"/>
      <c r="C58" s="90"/>
      <c r="D58" s="90"/>
      <c r="E58" s="90"/>
      <c r="F58" s="90" t="s">
        <v>187</v>
      </c>
      <c r="G58" s="92">
        <v>56512.7</v>
      </c>
    </row>
    <row r="59" spans="1:7" x14ac:dyDescent="0.25">
      <c r="A59" s="90"/>
      <c r="B59" s="90"/>
      <c r="C59" s="90"/>
      <c r="D59" s="90"/>
      <c r="E59" s="90" t="s">
        <v>188</v>
      </c>
      <c r="F59" s="90"/>
      <c r="G59" s="91">
        <f>ROUND(SUM(G56:G58),5)</f>
        <v>57820.14</v>
      </c>
    </row>
    <row r="60" spans="1:7" ht="30" customHeight="1" x14ac:dyDescent="0.25">
      <c r="A60" s="90"/>
      <c r="B60" s="90"/>
      <c r="C60" s="90"/>
      <c r="D60" s="90"/>
      <c r="E60" s="90" t="s">
        <v>107</v>
      </c>
      <c r="F60" s="90"/>
      <c r="G60" s="91">
        <v>4000</v>
      </c>
    </row>
    <row r="61" spans="1:7" x14ac:dyDescent="0.25">
      <c r="A61" s="90"/>
      <c r="B61" s="90"/>
      <c r="C61" s="90"/>
      <c r="D61" s="90"/>
      <c r="E61" s="90" t="s">
        <v>108</v>
      </c>
      <c r="F61" s="90"/>
      <c r="G61" s="91">
        <v>37.21</v>
      </c>
    </row>
    <row r="62" spans="1:7" x14ac:dyDescent="0.25">
      <c r="A62" s="90"/>
      <c r="B62" s="90"/>
      <c r="C62" s="90"/>
      <c r="D62" s="90"/>
      <c r="E62" s="90" t="s">
        <v>109</v>
      </c>
      <c r="F62" s="90"/>
      <c r="G62" s="91">
        <v>6689.38</v>
      </c>
    </row>
    <row r="63" spans="1:7" x14ac:dyDescent="0.25">
      <c r="A63" s="90"/>
      <c r="B63" s="90"/>
      <c r="C63" s="90"/>
      <c r="D63" s="90"/>
      <c r="E63" s="90" t="s">
        <v>110</v>
      </c>
      <c r="F63" s="90"/>
      <c r="G63" s="91">
        <v>197.87</v>
      </c>
    </row>
    <row r="64" spans="1:7" x14ac:dyDescent="0.25">
      <c r="A64" s="90"/>
      <c r="B64" s="90"/>
      <c r="C64" s="90"/>
      <c r="D64" s="90"/>
      <c r="E64" s="90" t="s">
        <v>111</v>
      </c>
      <c r="F64" s="90"/>
      <c r="G64" s="91">
        <v>2025</v>
      </c>
    </row>
    <row r="65" spans="1:7" x14ac:dyDescent="0.25">
      <c r="A65" s="90"/>
      <c r="B65" s="90"/>
      <c r="C65" s="90"/>
      <c r="D65" s="90"/>
      <c r="E65" s="90" t="s">
        <v>112</v>
      </c>
      <c r="F65" s="90"/>
      <c r="G65" s="91">
        <v>246.91</v>
      </c>
    </row>
    <row r="66" spans="1:7" ht="15.75" thickBot="1" x14ac:dyDescent="0.3">
      <c r="A66" s="90"/>
      <c r="B66" s="90"/>
      <c r="C66" s="90"/>
      <c r="D66" s="90"/>
      <c r="E66" s="90" t="s">
        <v>113</v>
      </c>
      <c r="F66" s="90"/>
      <c r="G66" s="93">
        <v>13657.08</v>
      </c>
    </row>
    <row r="67" spans="1:7" ht="15.75" thickBot="1" x14ac:dyDescent="0.3">
      <c r="A67" s="90"/>
      <c r="B67" s="90"/>
      <c r="C67" s="90"/>
      <c r="D67" s="90" t="s">
        <v>114</v>
      </c>
      <c r="E67" s="90"/>
      <c r="F67" s="90"/>
      <c r="G67" s="95">
        <f>ROUND(SUM(G37:G42)+SUM(G48:G55)+SUM(G59:G66),5)</f>
        <v>185712.8</v>
      </c>
    </row>
    <row r="68" spans="1:7" ht="30" customHeight="1" x14ac:dyDescent="0.25">
      <c r="A68" s="90"/>
      <c r="B68" s="90" t="s">
        <v>115</v>
      </c>
      <c r="C68" s="90"/>
      <c r="D68" s="90"/>
      <c r="E68" s="90"/>
      <c r="F68" s="90"/>
      <c r="G68" s="91">
        <f>ROUND(G2+G36-G67,5)</f>
        <v>1212.4000000000001</v>
      </c>
    </row>
    <row r="69" spans="1:7" ht="30" customHeight="1" x14ac:dyDescent="0.25">
      <c r="A69" s="90"/>
      <c r="B69" s="90" t="s">
        <v>116</v>
      </c>
      <c r="C69" s="90"/>
      <c r="D69" s="90"/>
      <c r="E69" s="90"/>
      <c r="F69" s="90"/>
      <c r="G69" s="91"/>
    </row>
    <row r="70" spans="1:7" x14ac:dyDescent="0.25">
      <c r="A70" s="90"/>
      <c r="B70" s="90"/>
      <c r="C70" s="90" t="s">
        <v>119</v>
      </c>
      <c r="D70" s="90"/>
      <c r="E70" s="90"/>
      <c r="F70" s="90"/>
      <c r="G70" s="91"/>
    </row>
    <row r="71" spans="1:7" ht="15.75" thickBot="1" x14ac:dyDescent="0.3">
      <c r="A71" s="90"/>
      <c r="B71" s="90"/>
      <c r="C71" s="90"/>
      <c r="D71" s="90" t="s">
        <v>121</v>
      </c>
      <c r="E71" s="90"/>
      <c r="F71" s="90"/>
      <c r="G71" s="93">
        <v>45476.74</v>
      </c>
    </row>
    <row r="72" spans="1:7" ht="15.75" thickBot="1" x14ac:dyDescent="0.3">
      <c r="A72" s="90"/>
      <c r="B72" s="90"/>
      <c r="C72" s="90" t="s">
        <v>123</v>
      </c>
      <c r="D72" s="90"/>
      <c r="E72" s="90"/>
      <c r="F72" s="90"/>
      <c r="G72" s="94">
        <f>ROUND(SUM(G70:G71),5)</f>
        <v>45476.74</v>
      </c>
    </row>
    <row r="73" spans="1:7" ht="30" customHeight="1" thickBot="1" x14ac:dyDescent="0.3">
      <c r="A73" s="90"/>
      <c r="B73" s="90" t="s">
        <v>124</v>
      </c>
      <c r="C73" s="90"/>
      <c r="D73" s="90"/>
      <c r="E73" s="90"/>
      <c r="F73" s="90"/>
      <c r="G73" s="94">
        <f>ROUND(G69-G72,5)</f>
        <v>-45476.74</v>
      </c>
    </row>
    <row r="74" spans="1:7" s="97" customFormat="1" ht="30" customHeight="1" thickBot="1" x14ac:dyDescent="0.25">
      <c r="A74" s="90" t="s">
        <v>125</v>
      </c>
      <c r="B74" s="90"/>
      <c r="C74" s="90"/>
      <c r="D74" s="90"/>
      <c r="E74" s="90"/>
      <c r="F74" s="90"/>
      <c r="G74" s="96">
        <f>ROUND(G68+G73,5)</f>
        <v>-44264.34</v>
      </c>
    </row>
    <row r="75" spans="1:7" ht="15.75" thickTop="1" x14ac:dyDescent="0.25"/>
  </sheetData>
  <pageMargins left="0.7" right="0.7" top="0.75" bottom="0.75" header="0.25" footer="0.3"/>
  <pageSetup orientation="portrait" r:id="rId1"/>
  <headerFooter>
    <oddHeader>&amp;L&amp;"Arial,Bold"&amp;8 6:38 PM
&amp;"Arial,Bold"&amp;8 08/05/16
&amp;"Arial,Bold"&amp;8 Accrual Basis&amp;C&amp;"Arial,Bold"&amp;12 CIS INTERNATIONAL HOLDINGS (N.A)  CORP.
&amp;"Arial,Bold"&amp;14 Profit &amp;&amp; Loss
&amp;"Arial,Bold"&amp;10 July 1 - 28, 2016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86017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95250</xdr:colOff>
                <xdr:row>0</xdr:row>
                <xdr:rowOff>238125</xdr:rowOff>
              </to>
            </anchor>
          </controlPr>
        </control>
      </mc:Choice>
      <mc:Fallback>
        <control shapeId="86017" r:id="rId4" name="FILTER"/>
      </mc:Fallback>
    </mc:AlternateContent>
    <mc:AlternateContent xmlns:mc="http://schemas.openxmlformats.org/markup-compatibility/2006">
      <mc:Choice Requires="x14">
        <control shapeId="86018" r:id="rId6" name="HEAD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95250</xdr:colOff>
                <xdr:row>0</xdr:row>
                <xdr:rowOff>238125</xdr:rowOff>
              </to>
            </anchor>
          </controlPr>
        </control>
      </mc:Choice>
      <mc:Fallback>
        <control shapeId="86018" r:id="rId6" name="HEADER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9" tint="-0.249977111117893"/>
  </sheetPr>
  <dimension ref="A1:T80"/>
  <sheetViews>
    <sheetView workbookViewId="0">
      <pane xSplit="6" ySplit="1" topLeftCell="G2" activePane="bottomRight" state="frozenSplit"/>
      <selection pane="topRight" activeCell="G1" sqref="G1"/>
      <selection pane="bottomLeft" activeCell="A2" sqref="A2"/>
      <selection pane="bottomRight" activeCell="N16" sqref="N16"/>
    </sheetView>
  </sheetViews>
  <sheetFormatPr defaultRowHeight="15" x14ac:dyDescent="0.25"/>
  <cols>
    <col min="1" max="5" width="3" style="98" customWidth="1"/>
    <col min="6" max="6" width="30.42578125" style="98" customWidth="1"/>
    <col min="7" max="7" width="15.42578125" style="75" bestFit="1" customWidth="1"/>
    <col min="8" max="8" width="9.140625" style="7"/>
    <col min="9" max="9" width="3.140625" style="7" customWidth="1"/>
    <col min="10" max="10" width="15.7109375" style="7" customWidth="1"/>
    <col min="11" max="11" width="17.28515625" style="7" customWidth="1"/>
    <col min="12" max="12" width="14.42578125" style="7" customWidth="1"/>
    <col min="13" max="13" width="23.140625" style="7" bestFit="1" customWidth="1"/>
    <col min="14" max="14" width="11.85546875" style="7" customWidth="1"/>
    <col min="15" max="15" width="9.42578125" style="7" bestFit="1" customWidth="1"/>
    <col min="16" max="16" width="17.42578125" style="7" bestFit="1" customWidth="1"/>
    <col min="17" max="19" width="9.140625" style="7"/>
    <col min="20" max="20" width="61.42578125" style="7" customWidth="1"/>
    <col min="21" max="16384" width="9.140625" style="7"/>
  </cols>
  <sheetData>
    <row r="1" spans="1:20" s="47" customFormat="1" ht="15.75" thickBot="1" x14ac:dyDescent="0.3">
      <c r="A1" s="88"/>
      <c r="B1" s="88"/>
      <c r="C1" s="88"/>
      <c r="D1" s="88"/>
      <c r="E1" s="88"/>
      <c r="F1" s="88"/>
      <c r="G1" s="89" t="s">
        <v>212</v>
      </c>
      <c r="J1" s="89" t="s">
        <v>213</v>
      </c>
      <c r="K1" s="89" t="s">
        <v>214</v>
      </c>
      <c r="L1" s="89" t="s">
        <v>215</v>
      </c>
    </row>
    <row r="2" spans="1:20" ht="15.75" thickTop="1" x14ac:dyDescent="0.25">
      <c r="A2" s="90"/>
      <c r="B2" s="90" t="s">
        <v>39</v>
      </c>
      <c r="C2" s="90"/>
      <c r="D2" s="90"/>
      <c r="E2" s="90"/>
      <c r="F2" s="90"/>
      <c r="G2" s="91"/>
      <c r="J2" s="91"/>
      <c r="K2" s="91"/>
      <c r="L2" s="91"/>
    </row>
    <row r="3" spans="1:20" x14ac:dyDescent="0.25">
      <c r="A3" s="90"/>
      <c r="B3" s="90"/>
      <c r="C3" s="90"/>
      <c r="D3" s="90" t="s">
        <v>40</v>
      </c>
      <c r="E3" s="90"/>
      <c r="F3" s="90"/>
      <c r="G3" s="91"/>
      <c r="J3" s="91"/>
      <c r="K3" s="91"/>
      <c r="L3" s="91"/>
    </row>
    <row r="4" spans="1:20" x14ac:dyDescent="0.25">
      <c r="A4" s="90"/>
      <c r="B4" s="90"/>
      <c r="C4" s="90"/>
      <c r="D4" s="90"/>
      <c r="E4" s="90" t="s">
        <v>183</v>
      </c>
      <c r="F4" s="90"/>
      <c r="G4" s="91">
        <v>-10237.209999999999</v>
      </c>
      <c r="J4" s="91">
        <v>0</v>
      </c>
      <c r="K4" s="217">
        <v>-10237.209999999999</v>
      </c>
      <c r="L4" s="91">
        <f>ROUND(SUM(J4:K4),5)</f>
        <v>-10237.209999999999</v>
      </c>
      <c r="N4" s="242" t="s">
        <v>216</v>
      </c>
      <c r="O4" s="242"/>
      <c r="P4" s="242"/>
      <c r="Q4" s="242"/>
      <c r="R4" s="242"/>
      <c r="S4" s="242"/>
      <c r="T4" s="242"/>
    </row>
    <row r="5" spans="1:20" ht="15.75" thickBot="1" x14ac:dyDescent="0.3">
      <c r="A5" s="90"/>
      <c r="B5" s="90"/>
      <c r="C5" s="90"/>
      <c r="D5" s="90"/>
      <c r="E5" s="90" t="s">
        <v>41</v>
      </c>
      <c r="F5" s="90"/>
      <c r="G5" s="91">
        <v>-22300.57</v>
      </c>
      <c r="J5" s="91">
        <v>-1787.68</v>
      </c>
      <c r="K5" s="217">
        <v>-20512.89</v>
      </c>
      <c r="L5" s="91">
        <f t="shared" ref="L5:L9" si="0">ROUND(SUM(J5:K5),5)</f>
        <v>-22300.57</v>
      </c>
      <c r="N5" s="243" t="s">
        <v>217</v>
      </c>
      <c r="O5" s="244"/>
      <c r="P5" s="244"/>
      <c r="Q5" s="244"/>
      <c r="R5" s="244"/>
      <c r="S5" s="244"/>
      <c r="T5" s="244"/>
    </row>
    <row r="6" spans="1:20" ht="15.75" thickBot="1" x14ac:dyDescent="0.3">
      <c r="A6" s="90"/>
      <c r="B6" s="90"/>
      <c r="C6" s="90"/>
      <c r="D6" s="90"/>
      <c r="E6" s="90" t="s">
        <v>131</v>
      </c>
      <c r="F6" s="90"/>
      <c r="G6" s="91">
        <v>1760</v>
      </c>
      <c r="J6" s="91">
        <v>1760</v>
      </c>
      <c r="K6" s="91">
        <v>0</v>
      </c>
      <c r="L6" s="91">
        <f t="shared" si="0"/>
        <v>1760</v>
      </c>
      <c r="N6" s="218">
        <v>13210</v>
      </c>
    </row>
    <row r="7" spans="1:20" ht="31.5" x14ac:dyDescent="0.5">
      <c r="A7" s="90"/>
      <c r="B7" s="90"/>
      <c r="C7" s="90"/>
      <c r="D7" s="90"/>
      <c r="E7" s="90" t="s">
        <v>45</v>
      </c>
      <c r="F7" s="90"/>
      <c r="G7" s="91">
        <v>74085</v>
      </c>
      <c r="H7" s="3"/>
      <c r="J7" s="91">
        <v>550</v>
      </c>
      <c r="K7" s="91">
        <v>73535</v>
      </c>
      <c r="L7" s="91">
        <f t="shared" si="0"/>
        <v>74085</v>
      </c>
    </row>
    <row r="8" spans="1:20" ht="15.75" thickBot="1" x14ac:dyDescent="0.3">
      <c r="A8" s="90"/>
      <c r="B8" s="90"/>
      <c r="C8" s="90"/>
      <c r="D8" s="90"/>
      <c r="E8" s="90" t="s">
        <v>47</v>
      </c>
      <c r="F8" s="90"/>
      <c r="G8" s="92">
        <v>814982.14</v>
      </c>
      <c r="J8" s="92">
        <v>26972.53</v>
      </c>
      <c r="K8" s="92">
        <v>788009.61</v>
      </c>
      <c r="L8" s="92">
        <f t="shared" si="0"/>
        <v>814982.14</v>
      </c>
    </row>
    <row r="9" spans="1:20" x14ac:dyDescent="0.25">
      <c r="A9" s="90"/>
      <c r="B9" s="90"/>
      <c r="C9" s="90"/>
      <c r="D9" s="90" t="s">
        <v>49</v>
      </c>
      <c r="E9" s="90"/>
      <c r="F9" s="90"/>
      <c r="G9" s="91">
        <f>ROUND(SUM(G3:G8),5)</f>
        <v>858289.36</v>
      </c>
      <c r="J9" s="91">
        <f>ROUND(SUM(J3:J8),5)</f>
        <v>27494.85</v>
      </c>
      <c r="K9" s="91">
        <f>ROUND(SUM(K3:K8),5)</f>
        <v>830794.51</v>
      </c>
      <c r="L9" s="91">
        <f t="shared" si="0"/>
        <v>858289.36</v>
      </c>
    </row>
    <row r="10" spans="1:20" ht="30" x14ac:dyDescent="0.25">
      <c r="A10" s="90"/>
      <c r="B10" s="90"/>
      <c r="C10" s="90"/>
      <c r="D10" s="90" t="s">
        <v>50</v>
      </c>
      <c r="E10" s="90"/>
      <c r="F10" s="90"/>
      <c r="G10" s="91"/>
      <c r="M10" s="187" t="s">
        <v>189</v>
      </c>
      <c r="N10" s="188" t="s">
        <v>149</v>
      </c>
      <c r="O10" s="189" t="s">
        <v>190</v>
      </c>
      <c r="P10" s="188" t="s">
        <v>191</v>
      </c>
    </row>
    <row r="11" spans="1:20" x14ac:dyDescent="0.25">
      <c r="A11" s="90"/>
      <c r="B11" s="90"/>
      <c r="C11" s="90"/>
      <c r="D11" s="90"/>
      <c r="E11" s="90" t="s">
        <v>51</v>
      </c>
      <c r="F11" s="90"/>
      <c r="G11" s="91">
        <v>698.34</v>
      </c>
      <c r="M11" s="123" t="s">
        <v>192</v>
      </c>
      <c r="N11" s="124">
        <f>G52+G59</f>
        <v>86701.31</v>
      </c>
      <c r="O11" s="123"/>
      <c r="P11" s="123" t="s">
        <v>193</v>
      </c>
    </row>
    <row r="12" spans="1:20" x14ac:dyDescent="0.25">
      <c r="A12" s="90"/>
      <c r="B12" s="90"/>
      <c r="C12" s="90"/>
      <c r="D12" s="90"/>
      <c r="E12" s="90" t="s">
        <v>54</v>
      </c>
      <c r="F12" s="90"/>
      <c r="G12" s="91"/>
      <c r="M12" s="190"/>
      <c r="N12" s="190"/>
      <c r="O12" s="190"/>
      <c r="P12" s="190"/>
    </row>
    <row r="13" spans="1:20" x14ac:dyDescent="0.25">
      <c r="A13" s="90"/>
      <c r="B13" s="90"/>
      <c r="C13" s="90"/>
      <c r="D13" s="90"/>
      <c r="E13" s="90"/>
      <c r="F13" s="90" t="s">
        <v>184</v>
      </c>
      <c r="G13" s="91">
        <v>15142.23</v>
      </c>
    </row>
    <row r="14" spans="1:20" ht="30" x14ac:dyDescent="0.25">
      <c r="A14" s="90"/>
      <c r="B14" s="90"/>
      <c r="C14" s="90"/>
      <c r="D14" s="90"/>
      <c r="E14" s="90"/>
      <c r="F14" s="90" t="s">
        <v>42</v>
      </c>
      <c r="G14" s="91">
        <v>-6268.52</v>
      </c>
      <c r="M14" s="187" t="s">
        <v>194</v>
      </c>
      <c r="N14" s="188" t="s">
        <v>149</v>
      </c>
      <c r="O14" s="189" t="s">
        <v>190</v>
      </c>
      <c r="P14" s="188" t="s">
        <v>191</v>
      </c>
    </row>
    <row r="15" spans="1:20" x14ac:dyDescent="0.25">
      <c r="A15" s="90"/>
      <c r="B15" s="90"/>
      <c r="C15" s="90"/>
      <c r="D15" s="90"/>
      <c r="E15" s="90"/>
      <c r="F15" s="90" t="s">
        <v>55</v>
      </c>
      <c r="G15" s="91">
        <v>1182.6300000000001</v>
      </c>
      <c r="M15" s="123" t="s">
        <v>152</v>
      </c>
      <c r="N15" s="124">
        <f>G67+G72-N11</f>
        <v>195427.05</v>
      </c>
      <c r="O15" s="123"/>
      <c r="P15" s="123" t="s">
        <v>193</v>
      </c>
    </row>
    <row r="16" spans="1:20" ht="15.75" thickBot="1" x14ac:dyDescent="0.3">
      <c r="A16" s="90"/>
      <c r="B16" s="90"/>
      <c r="C16" s="90"/>
      <c r="D16" s="90"/>
      <c r="E16" s="90"/>
      <c r="F16" s="90" t="s">
        <v>56</v>
      </c>
      <c r="G16" s="92">
        <v>202638.83</v>
      </c>
    </row>
    <row r="17" spans="1:7" x14ac:dyDescent="0.25">
      <c r="A17" s="90"/>
      <c r="B17" s="90"/>
      <c r="C17" s="90"/>
      <c r="D17" s="90"/>
      <c r="E17" s="90" t="s">
        <v>57</v>
      </c>
      <c r="F17" s="90"/>
      <c r="G17" s="91">
        <f>ROUND(SUM(G12:G16),5)</f>
        <v>212695.17</v>
      </c>
    </row>
    <row r="18" spans="1:7" ht="30" customHeight="1" x14ac:dyDescent="0.25">
      <c r="A18" s="90"/>
      <c r="B18" s="90"/>
      <c r="C18" s="90"/>
      <c r="D18" s="90"/>
      <c r="E18" s="90" t="s">
        <v>58</v>
      </c>
      <c r="F18" s="90"/>
      <c r="G18" s="91"/>
    </row>
    <row r="19" spans="1:7" x14ac:dyDescent="0.25">
      <c r="A19" s="90"/>
      <c r="B19" s="90"/>
      <c r="C19" s="90"/>
      <c r="D19" s="90"/>
      <c r="E19" s="90"/>
      <c r="F19" s="90" t="s">
        <v>59</v>
      </c>
      <c r="G19" s="91">
        <v>38679.65</v>
      </c>
    </row>
    <row r="20" spans="1:7" x14ac:dyDescent="0.25">
      <c r="A20" s="90"/>
      <c r="B20" s="90"/>
      <c r="C20" s="90"/>
      <c r="D20" s="90"/>
      <c r="E20" s="90"/>
      <c r="F20" s="90" t="s">
        <v>60</v>
      </c>
      <c r="G20" s="91">
        <v>3850.92</v>
      </c>
    </row>
    <row r="21" spans="1:7" x14ac:dyDescent="0.25">
      <c r="A21" s="90"/>
      <c r="B21" s="90"/>
      <c r="C21" s="90"/>
      <c r="D21" s="90"/>
      <c r="E21" s="90"/>
      <c r="F21" s="90" t="s">
        <v>61</v>
      </c>
      <c r="G21" s="91">
        <v>62097.71</v>
      </c>
    </row>
    <row r="22" spans="1:7" ht="15.75" thickBot="1" x14ac:dyDescent="0.3">
      <c r="A22" s="90"/>
      <c r="B22" s="90"/>
      <c r="C22" s="90"/>
      <c r="D22" s="90"/>
      <c r="E22" s="90"/>
      <c r="F22" s="90" t="s">
        <v>63</v>
      </c>
      <c r="G22" s="92">
        <v>2255.0100000000002</v>
      </c>
    </row>
    <row r="23" spans="1:7" x14ac:dyDescent="0.25">
      <c r="A23" s="90"/>
      <c r="B23" s="90"/>
      <c r="C23" s="90"/>
      <c r="D23" s="90"/>
      <c r="E23" s="90" t="s">
        <v>65</v>
      </c>
      <c r="F23" s="90"/>
      <c r="G23" s="220">
        <f>ROUND(SUM(G18:G22),5)</f>
        <v>106883.29</v>
      </c>
    </row>
    <row r="24" spans="1:7" ht="30" customHeight="1" x14ac:dyDescent="0.25">
      <c r="A24" s="90"/>
      <c r="B24" s="90"/>
      <c r="C24" s="90"/>
      <c r="D24" s="90"/>
      <c r="E24" s="90" t="s">
        <v>67</v>
      </c>
      <c r="F24" s="90"/>
      <c r="G24" s="91"/>
    </row>
    <row r="25" spans="1:7" x14ac:dyDescent="0.25">
      <c r="A25" s="90"/>
      <c r="B25" s="90"/>
      <c r="C25" s="90"/>
      <c r="D25" s="90"/>
      <c r="E25" s="90"/>
      <c r="F25" s="90" t="s">
        <v>68</v>
      </c>
      <c r="G25" s="91">
        <v>525</v>
      </c>
    </row>
    <row r="26" spans="1:7" ht="15.75" thickBot="1" x14ac:dyDescent="0.3">
      <c r="A26" s="90"/>
      <c r="B26" s="90"/>
      <c r="C26" s="90"/>
      <c r="D26" s="90"/>
      <c r="E26" s="90"/>
      <c r="F26" s="90" t="s">
        <v>69</v>
      </c>
      <c r="G26" s="92">
        <v>44757.02</v>
      </c>
    </row>
    <row r="27" spans="1:7" x14ac:dyDescent="0.25">
      <c r="A27" s="90"/>
      <c r="B27" s="90"/>
      <c r="C27" s="90"/>
      <c r="D27" s="90"/>
      <c r="E27" s="90" t="s">
        <v>70</v>
      </c>
      <c r="F27" s="90"/>
      <c r="G27" s="220">
        <f>ROUND(SUM(G24:G26),5)</f>
        <v>45282.02</v>
      </c>
    </row>
    <row r="28" spans="1:7" ht="30" customHeight="1" x14ac:dyDescent="0.25">
      <c r="A28" s="90"/>
      <c r="B28" s="90"/>
      <c r="C28" s="90"/>
      <c r="D28" s="90"/>
      <c r="E28" s="90" t="s">
        <v>71</v>
      </c>
      <c r="F28" s="90"/>
      <c r="G28" s="91"/>
    </row>
    <row r="29" spans="1:7" x14ac:dyDescent="0.25">
      <c r="A29" s="90"/>
      <c r="B29" s="90"/>
      <c r="C29" s="90"/>
      <c r="D29" s="90"/>
      <c r="E29" s="90"/>
      <c r="F29" s="90" t="s">
        <v>72</v>
      </c>
      <c r="G29" s="91">
        <v>3388.58</v>
      </c>
    </row>
    <row r="30" spans="1:7" x14ac:dyDescent="0.25">
      <c r="A30" s="90"/>
      <c r="B30" s="90"/>
      <c r="C30" s="90"/>
      <c r="D30" s="90"/>
      <c r="E30" s="90"/>
      <c r="F30" s="90" t="s">
        <v>73</v>
      </c>
      <c r="G30" s="91">
        <v>3414.52</v>
      </c>
    </row>
    <row r="31" spans="1:7" x14ac:dyDescent="0.25">
      <c r="A31" s="90"/>
      <c r="B31" s="90"/>
      <c r="C31" s="90"/>
      <c r="D31" s="90"/>
      <c r="E31" s="90"/>
      <c r="F31" s="90" t="s">
        <v>74</v>
      </c>
      <c r="G31" s="91">
        <v>28381.78</v>
      </c>
    </row>
    <row r="32" spans="1:7" ht="15.75" thickBot="1" x14ac:dyDescent="0.3">
      <c r="A32" s="90"/>
      <c r="B32" s="90"/>
      <c r="C32" s="90"/>
      <c r="D32" s="90"/>
      <c r="E32" s="90"/>
      <c r="F32" s="90" t="s">
        <v>75</v>
      </c>
      <c r="G32" s="93">
        <v>31233.18</v>
      </c>
    </row>
    <row r="33" spans="1:7" ht="15.75" thickBot="1" x14ac:dyDescent="0.3">
      <c r="A33" s="90"/>
      <c r="B33" s="90"/>
      <c r="C33" s="90"/>
      <c r="D33" s="90"/>
      <c r="E33" s="90" t="s">
        <v>76</v>
      </c>
      <c r="F33" s="90"/>
      <c r="G33" s="94">
        <f>ROUND(SUM(G28:G32),5)</f>
        <v>66418.06</v>
      </c>
    </row>
    <row r="34" spans="1:7" ht="30" customHeight="1" thickBot="1" x14ac:dyDescent="0.3">
      <c r="A34" s="90"/>
      <c r="B34" s="90"/>
      <c r="C34" s="90"/>
      <c r="D34" s="90" t="s">
        <v>77</v>
      </c>
      <c r="E34" s="90"/>
      <c r="F34" s="90"/>
      <c r="G34" s="219">
        <f>ROUND(SUM(G10:G11)+G17+G23+G27+G33,5)</f>
        <v>431976.88</v>
      </c>
    </row>
    <row r="35" spans="1:7" ht="30" customHeight="1" x14ac:dyDescent="0.25">
      <c r="A35" s="90"/>
      <c r="B35" s="90"/>
      <c r="C35" s="90" t="s">
        <v>78</v>
      </c>
      <c r="D35" s="90"/>
      <c r="E35" s="90"/>
      <c r="F35" s="90"/>
      <c r="G35" s="91">
        <f>ROUND(G9-G34,5)</f>
        <v>426312.48</v>
      </c>
    </row>
    <row r="36" spans="1:7" ht="30" customHeight="1" x14ac:dyDescent="0.25">
      <c r="A36" s="90"/>
      <c r="B36" s="90"/>
      <c r="C36" s="90"/>
      <c r="D36" s="90" t="s">
        <v>79</v>
      </c>
      <c r="E36" s="90"/>
      <c r="F36" s="90"/>
      <c r="G36" s="91"/>
    </row>
    <row r="37" spans="1:7" x14ac:dyDescent="0.25">
      <c r="A37" s="90"/>
      <c r="B37" s="90"/>
      <c r="C37" s="90"/>
      <c r="D37" s="90"/>
      <c r="E37" s="90" t="s">
        <v>82</v>
      </c>
      <c r="F37" s="90"/>
      <c r="G37" s="91">
        <v>234.62</v>
      </c>
    </row>
    <row r="38" spans="1:7" x14ac:dyDescent="0.25">
      <c r="A38" s="90"/>
      <c r="B38" s="90"/>
      <c r="C38" s="90"/>
      <c r="D38" s="90"/>
      <c r="E38" s="90" t="s">
        <v>185</v>
      </c>
      <c r="F38" s="90"/>
      <c r="G38" s="91">
        <v>3744</v>
      </c>
    </row>
    <row r="39" spans="1:7" x14ac:dyDescent="0.25">
      <c r="A39" s="90"/>
      <c r="B39" s="90"/>
      <c r="C39" s="90"/>
      <c r="D39" s="90"/>
      <c r="E39" s="90" t="s">
        <v>83</v>
      </c>
      <c r="F39" s="90"/>
      <c r="G39" s="91">
        <v>9242.17</v>
      </c>
    </row>
    <row r="40" spans="1:7" x14ac:dyDescent="0.25">
      <c r="A40" s="90"/>
      <c r="B40" s="90"/>
      <c r="C40" s="90"/>
      <c r="D40" s="90"/>
      <c r="E40" s="90" t="s">
        <v>84</v>
      </c>
      <c r="F40" s="90"/>
      <c r="G40" s="91">
        <v>5365.24</v>
      </c>
    </row>
    <row r="41" spans="1:7" x14ac:dyDescent="0.25">
      <c r="A41" s="90"/>
      <c r="B41" s="90"/>
      <c r="C41" s="90"/>
      <c r="D41" s="90"/>
      <c r="E41" s="90" t="s">
        <v>85</v>
      </c>
      <c r="F41" s="90"/>
      <c r="G41" s="91">
        <v>8409.15</v>
      </c>
    </row>
    <row r="42" spans="1:7" x14ac:dyDescent="0.25">
      <c r="A42" s="90"/>
      <c r="B42" s="90"/>
      <c r="C42" s="90"/>
      <c r="D42" s="90"/>
      <c r="E42" s="90" t="s">
        <v>88</v>
      </c>
      <c r="F42" s="90"/>
      <c r="G42" s="91">
        <v>16.75</v>
      </c>
    </row>
    <row r="43" spans="1:7" x14ac:dyDescent="0.25">
      <c r="A43" s="90"/>
      <c r="B43" s="90"/>
      <c r="C43" s="90"/>
      <c r="D43" s="90"/>
      <c r="E43" s="90" t="s">
        <v>89</v>
      </c>
      <c r="F43" s="90"/>
      <c r="G43" s="91">
        <v>4247.99</v>
      </c>
    </row>
    <row r="44" spans="1:7" x14ac:dyDescent="0.25">
      <c r="A44" s="90"/>
      <c r="B44" s="90"/>
      <c r="C44" s="90"/>
      <c r="D44" s="90"/>
      <c r="E44" s="90" t="s">
        <v>90</v>
      </c>
      <c r="F44" s="90"/>
      <c r="G44" s="91"/>
    </row>
    <row r="45" spans="1:7" x14ac:dyDescent="0.25">
      <c r="A45" s="90"/>
      <c r="B45" s="90"/>
      <c r="C45" s="90"/>
      <c r="D45" s="90"/>
      <c r="E45" s="90"/>
      <c r="F45" s="90" t="s">
        <v>91</v>
      </c>
      <c r="G45" s="91">
        <v>22350</v>
      </c>
    </row>
    <row r="46" spans="1:7" x14ac:dyDescent="0.25">
      <c r="A46" s="90"/>
      <c r="B46" s="90"/>
      <c r="C46" s="90"/>
      <c r="D46" s="90"/>
      <c r="E46" s="90"/>
      <c r="F46" s="90" t="s">
        <v>92</v>
      </c>
      <c r="G46" s="91">
        <v>2326.1</v>
      </c>
    </row>
    <row r="47" spans="1:7" x14ac:dyDescent="0.25">
      <c r="A47" s="90"/>
      <c r="B47" s="90"/>
      <c r="C47" s="90"/>
      <c r="D47" s="90"/>
      <c r="E47" s="90"/>
      <c r="F47" s="90" t="s">
        <v>204</v>
      </c>
      <c r="G47" s="91">
        <v>69</v>
      </c>
    </row>
    <row r="48" spans="1:7" ht="15.75" thickBot="1" x14ac:dyDescent="0.3">
      <c r="A48" s="90"/>
      <c r="B48" s="90"/>
      <c r="C48" s="90"/>
      <c r="D48" s="90"/>
      <c r="E48" s="90"/>
      <c r="F48" s="90" t="s">
        <v>93</v>
      </c>
      <c r="G48" s="92">
        <v>12500</v>
      </c>
    </row>
    <row r="49" spans="1:10" x14ac:dyDescent="0.25">
      <c r="A49" s="90"/>
      <c r="B49" s="90"/>
      <c r="C49" s="90"/>
      <c r="D49" s="90"/>
      <c r="E49" s="90" t="s">
        <v>95</v>
      </c>
      <c r="F49" s="90"/>
      <c r="G49" s="91">
        <f>ROUND(SUM(G44:G48),5)</f>
        <v>37245.1</v>
      </c>
    </row>
    <row r="50" spans="1:10" ht="30" customHeight="1" x14ac:dyDescent="0.25">
      <c r="A50" s="90"/>
      <c r="B50" s="90"/>
      <c r="C50" s="90"/>
      <c r="D50" s="90"/>
      <c r="E50" s="90" t="s">
        <v>98</v>
      </c>
      <c r="F50" s="90"/>
      <c r="G50" s="91">
        <v>3580.65</v>
      </c>
    </row>
    <row r="51" spans="1:10" x14ac:dyDescent="0.25">
      <c r="A51" s="90"/>
      <c r="B51" s="90"/>
      <c r="C51" s="90"/>
      <c r="D51" s="90"/>
      <c r="E51" s="90" t="s">
        <v>99</v>
      </c>
      <c r="F51" s="90"/>
      <c r="G51" s="91">
        <v>35.5</v>
      </c>
    </row>
    <row r="52" spans="1:10" x14ac:dyDescent="0.25">
      <c r="A52" s="90"/>
      <c r="B52" s="90"/>
      <c r="C52" s="90"/>
      <c r="D52" s="90"/>
      <c r="E52" s="90" t="s">
        <v>101</v>
      </c>
      <c r="F52" s="90"/>
      <c r="G52" s="91">
        <v>9420.51</v>
      </c>
    </row>
    <row r="53" spans="1:10" x14ac:dyDescent="0.25">
      <c r="A53" s="90"/>
      <c r="B53" s="90"/>
      <c r="C53" s="90"/>
      <c r="D53" s="90"/>
      <c r="E53" s="90" t="s">
        <v>102</v>
      </c>
      <c r="F53" s="90"/>
      <c r="G53" s="91">
        <v>0</v>
      </c>
    </row>
    <row r="54" spans="1:10" x14ac:dyDescent="0.25">
      <c r="A54" s="90"/>
      <c r="B54" s="90"/>
      <c r="C54" s="90"/>
      <c r="D54" s="90"/>
      <c r="E54" s="90" t="s">
        <v>103</v>
      </c>
      <c r="F54" s="90"/>
      <c r="G54" s="91">
        <v>100</v>
      </c>
    </row>
    <row r="55" spans="1:10" x14ac:dyDescent="0.25">
      <c r="A55" s="90"/>
      <c r="B55" s="90"/>
      <c r="C55" s="90"/>
      <c r="D55" s="90"/>
      <c r="E55" s="90" t="s">
        <v>104</v>
      </c>
      <c r="F55" s="90"/>
      <c r="G55" s="91">
        <v>26000</v>
      </c>
    </row>
    <row r="56" spans="1:10" x14ac:dyDescent="0.25">
      <c r="A56" s="90"/>
      <c r="B56" s="90"/>
      <c r="C56" s="90"/>
      <c r="D56" s="90"/>
      <c r="E56" s="90" t="s">
        <v>106</v>
      </c>
      <c r="F56" s="90"/>
      <c r="G56" s="91"/>
    </row>
    <row r="57" spans="1:10" x14ac:dyDescent="0.25">
      <c r="A57" s="90"/>
      <c r="B57" s="90"/>
      <c r="C57" s="90"/>
      <c r="D57" s="90"/>
      <c r="E57" s="90"/>
      <c r="F57" s="90" t="s">
        <v>186</v>
      </c>
      <c r="G57" s="91">
        <v>779.9</v>
      </c>
    </row>
    <row r="58" spans="1:10" ht="15.75" thickBot="1" x14ac:dyDescent="0.3">
      <c r="A58" s="90"/>
      <c r="B58" s="90"/>
      <c r="C58" s="90"/>
      <c r="D58" s="90"/>
      <c r="E58" s="90"/>
      <c r="F58" s="225" t="s">
        <v>187</v>
      </c>
      <c r="G58" s="226">
        <v>76500.899999999994</v>
      </c>
      <c r="H58" s="227">
        <f>G58-'P5'!G57</f>
        <v>15058.049999999996</v>
      </c>
      <c r="I58" s="228"/>
      <c r="J58" s="229">
        <f>H58/1000</f>
        <v>15.058049999999996</v>
      </c>
    </row>
    <row r="59" spans="1:10" x14ac:dyDescent="0.25">
      <c r="A59" s="90"/>
      <c r="B59" s="90"/>
      <c r="C59" s="90"/>
      <c r="D59" s="90"/>
      <c r="E59" s="90" t="s">
        <v>188</v>
      </c>
      <c r="F59" s="90"/>
      <c r="G59" s="91">
        <f>ROUND(SUM(G56:G58),5)</f>
        <v>77280.800000000003</v>
      </c>
    </row>
    <row r="60" spans="1:10" ht="30" customHeight="1" x14ac:dyDescent="0.25">
      <c r="A60" s="90"/>
      <c r="B60" s="90"/>
      <c r="C60" s="90"/>
      <c r="D60" s="90"/>
      <c r="E60" s="90" t="s">
        <v>107</v>
      </c>
      <c r="F60" s="90"/>
      <c r="G60" s="91">
        <v>244.47</v>
      </c>
    </row>
    <row r="61" spans="1:10" x14ac:dyDescent="0.25">
      <c r="A61" s="90"/>
      <c r="B61" s="90"/>
      <c r="C61" s="90"/>
      <c r="D61" s="90"/>
      <c r="E61" s="90" t="s">
        <v>108</v>
      </c>
      <c r="F61" s="90"/>
      <c r="G61" s="91">
        <v>43.14</v>
      </c>
    </row>
    <row r="62" spans="1:10" x14ac:dyDescent="0.25">
      <c r="A62" s="90"/>
      <c r="B62" s="90"/>
      <c r="C62" s="90"/>
      <c r="D62" s="90"/>
      <c r="E62" s="90" t="s">
        <v>109</v>
      </c>
      <c r="F62" s="90"/>
      <c r="G62" s="91">
        <v>9012.66</v>
      </c>
    </row>
    <row r="63" spans="1:10" x14ac:dyDescent="0.25">
      <c r="A63" s="90"/>
      <c r="B63" s="90"/>
      <c r="C63" s="90"/>
      <c r="D63" s="90"/>
      <c r="E63" s="90" t="s">
        <v>110</v>
      </c>
      <c r="F63" s="90"/>
      <c r="G63" s="91">
        <v>143.1</v>
      </c>
    </row>
    <row r="64" spans="1:10" x14ac:dyDescent="0.25">
      <c r="A64" s="90"/>
      <c r="B64" s="90"/>
      <c r="C64" s="90"/>
      <c r="D64" s="90"/>
      <c r="E64" s="90" t="s">
        <v>111</v>
      </c>
      <c r="F64" s="90"/>
      <c r="G64" s="91">
        <v>1800</v>
      </c>
    </row>
    <row r="65" spans="1:13" x14ac:dyDescent="0.25">
      <c r="A65" s="90"/>
      <c r="B65" s="90"/>
      <c r="C65" s="90"/>
      <c r="D65" s="90"/>
      <c r="E65" s="90" t="s">
        <v>112</v>
      </c>
      <c r="F65" s="90"/>
      <c r="G65" s="91">
        <v>2951.73</v>
      </c>
    </row>
    <row r="66" spans="1:13" ht="15.75" thickBot="1" x14ac:dyDescent="0.3">
      <c r="A66" s="90"/>
      <c r="B66" s="90"/>
      <c r="C66" s="90"/>
      <c r="D66" s="90"/>
      <c r="E66" s="207" t="s">
        <v>113</v>
      </c>
      <c r="F66" s="207"/>
      <c r="G66" s="211">
        <v>9904.2099999999991</v>
      </c>
      <c r="H66" s="222">
        <f>G66-'P5'!G63</f>
        <v>2022.9599999999991</v>
      </c>
      <c r="I66" s="223"/>
      <c r="J66" s="224">
        <f>H66/1000</f>
        <v>2.022959999999999</v>
      </c>
    </row>
    <row r="67" spans="1:13" ht="15.75" thickBot="1" x14ac:dyDescent="0.3">
      <c r="A67" s="90"/>
      <c r="B67" s="90"/>
      <c r="C67" s="90"/>
      <c r="D67" s="90" t="s">
        <v>114</v>
      </c>
      <c r="E67" s="90"/>
      <c r="F67" s="90"/>
      <c r="G67" s="95">
        <f>ROUND(SUM(G36:G43)+SUM(G49:G54)+SUM(G59:G66),5)+G55</f>
        <v>209021.79</v>
      </c>
    </row>
    <row r="68" spans="1:13" ht="30" customHeight="1" x14ac:dyDescent="0.25">
      <c r="A68" s="90"/>
      <c r="B68" s="90" t="s">
        <v>115</v>
      </c>
      <c r="C68" s="90"/>
      <c r="D68" s="90"/>
      <c r="E68" s="90"/>
      <c r="F68" s="90"/>
      <c r="G68" s="91">
        <f>ROUND(G2+G35-G67,5)</f>
        <v>217290.69</v>
      </c>
      <c r="M68" s="7">
        <f>195-159</f>
        <v>36</v>
      </c>
    </row>
    <row r="69" spans="1:13" ht="30" customHeight="1" x14ac:dyDescent="0.25">
      <c r="A69" s="90"/>
      <c r="B69" s="90" t="s">
        <v>116</v>
      </c>
      <c r="C69" s="90"/>
      <c r="D69" s="90"/>
      <c r="E69" s="90"/>
      <c r="F69" s="90"/>
      <c r="G69" s="91"/>
    </row>
    <row r="70" spans="1:13" x14ac:dyDescent="0.25">
      <c r="A70" s="90"/>
      <c r="B70" s="90"/>
      <c r="C70" s="90" t="s">
        <v>119</v>
      </c>
      <c r="D70" s="90"/>
      <c r="E70" s="90"/>
      <c r="F70" s="90"/>
      <c r="G70" s="91"/>
    </row>
    <row r="71" spans="1:13" ht="15.75" thickBot="1" x14ac:dyDescent="0.3">
      <c r="A71" s="90"/>
      <c r="B71" s="90"/>
      <c r="C71" s="207"/>
      <c r="D71" s="207" t="s">
        <v>121</v>
      </c>
      <c r="E71" s="207"/>
      <c r="F71" s="207"/>
      <c r="G71" s="211">
        <v>73106.570000000007</v>
      </c>
      <c r="H71" s="222">
        <f>G71-'P5'!G68</f>
        <v>34225.55000000001</v>
      </c>
      <c r="I71" s="223"/>
      <c r="J71" s="224">
        <f>H71/1000</f>
        <v>34.225550000000013</v>
      </c>
    </row>
    <row r="72" spans="1:13" ht="15.75" thickBot="1" x14ac:dyDescent="0.3">
      <c r="A72" s="90"/>
      <c r="B72" s="90"/>
      <c r="C72" s="90" t="s">
        <v>123</v>
      </c>
      <c r="D72" s="90"/>
      <c r="E72" s="90"/>
      <c r="F72" s="90"/>
      <c r="G72" s="94">
        <f>ROUND(SUM(G70:G71),5)</f>
        <v>73106.570000000007</v>
      </c>
      <c r="J72" s="221">
        <f>J71+J66</f>
        <v>36.24851000000001</v>
      </c>
    </row>
    <row r="73" spans="1:13" ht="30" customHeight="1" thickBot="1" x14ac:dyDescent="0.3">
      <c r="A73" s="90"/>
      <c r="B73" s="90" t="s">
        <v>124</v>
      </c>
      <c r="C73" s="90"/>
      <c r="D73" s="90"/>
      <c r="E73" s="90"/>
      <c r="F73" s="90"/>
      <c r="G73" s="94">
        <f>ROUND(G69-G72,5)</f>
        <v>-73106.570000000007</v>
      </c>
    </row>
    <row r="74" spans="1:13" s="97" customFormat="1" ht="30" customHeight="1" thickBot="1" x14ac:dyDescent="0.25">
      <c r="A74" s="90" t="s">
        <v>125</v>
      </c>
      <c r="B74" s="90"/>
      <c r="C74" s="90"/>
      <c r="D74" s="90"/>
      <c r="E74" s="90"/>
      <c r="F74" s="90"/>
      <c r="G74" s="96">
        <f>ROUND(G68+G73,5)</f>
        <v>144184.12</v>
      </c>
    </row>
    <row r="75" spans="1:13" ht="15.75" thickTop="1" x14ac:dyDescent="0.25"/>
    <row r="80" spans="1:13" x14ac:dyDescent="0.25">
      <c r="G80" s="75">
        <f>G74-'KPM-LA'!K25*1000</f>
        <v>0</v>
      </c>
    </row>
  </sheetData>
  <mergeCells count="2">
    <mergeCell ref="N4:T4"/>
    <mergeCell ref="N5:T5"/>
  </mergeCells>
  <pageMargins left="0.7" right="0.7" top="0.75" bottom="0.75" header="0.25" footer="0.3"/>
  <pageSetup orientation="portrait" r:id="rId1"/>
  <headerFooter>
    <oddHeader>&amp;L&amp;"Arial,Bold"&amp;8 2:53 AM
&amp;"Arial,Bold"&amp;8 07/05/16
&amp;"Arial,Bold"&amp;8 Accrual Basis&amp;C&amp;"Arial,Bold"&amp;12 CIS INTERNATIONAL HOLDINGS (N.A)  CORP.
&amp;"Arial,Bold"&amp;14 Profit &amp;&amp; Loss
&amp;"Arial,Bold"&amp;10 May 27 through June 30, 2016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81921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81921" r:id="rId4" name="FILTER"/>
      </mc:Fallback>
    </mc:AlternateContent>
    <mc:AlternateContent xmlns:mc="http://schemas.openxmlformats.org/markup-compatibility/2006">
      <mc:Choice Requires="x14">
        <control shapeId="81922" r:id="rId6" name="HEAD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81922" r:id="rId6" name="HEADER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3" tint="-0.499984740745262"/>
  </sheetPr>
  <dimension ref="A1:P76"/>
  <sheetViews>
    <sheetView workbookViewId="0">
      <pane xSplit="6" ySplit="1" topLeftCell="G65" activePane="bottomRight" state="frozenSplit"/>
      <selection pane="topRight" activeCell="G1" sqref="G1"/>
      <selection pane="bottomLeft" activeCell="A2" sqref="A2"/>
      <selection pane="bottomRight" activeCell="G56" sqref="G56"/>
    </sheetView>
  </sheetViews>
  <sheetFormatPr defaultRowHeight="15" x14ac:dyDescent="0.25"/>
  <cols>
    <col min="1" max="5" width="3" style="98" customWidth="1"/>
    <col min="6" max="6" width="30.42578125" style="98" customWidth="1"/>
    <col min="7" max="7" width="15.42578125" style="75" bestFit="1" customWidth="1"/>
    <col min="8" max="13" width="9.140625" style="7"/>
    <col min="14" max="14" width="11.85546875" style="7" customWidth="1"/>
    <col min="15" max="15" width="14.5703125" style="7" customWidth="1"/>
    <col min="16" max="16" width="28.85546875" style="7" customWidth="1"/>
    <col min="17" max="16384" width="9.140625" style="7"/>
  </cols>
  <sheetData>
    <row r="1" spans="1:16" s="47" customFormat="1" ht="15.75" thickBot="1" x14ac:dyDescent="0.3">
      <c r="A1" s="88"/>
      <c r="B1" s="88"/>
      <c r="C1" s="88"/>
      <c r="D1" s="88"/>
      <c r="E1" s="88"/>
      <c r="F1" s="88"/>
      <c r="G1" s="89" t="s">
        <v>210</v>
      </c>
    </row>
    <row r="2" spans="1:16" ht="15.75" thickTop="1" x14ac:dyDescent="0.25">
      <c r="A2" s="90"/>
      <c r="B2" s="90" t="s">
        <v>39</v>
      </c>
      <c r="C2" s="90"/>
      <c r="D2" s="90"/>
      <c r="E2" s="90"/>
      <c r="F2" s="90"/>
      <c r="G2" s="91"/>
      <c r="M2" s="47"/>
      <c r="N2" s="47"/>
      <c r="O2" s="47"/>
      <c r="P2" s="47"/>
    </row>
    <row r="3" spans="1:16" ht="30" x14ac:dyDescent="0.25">
      <c r="A3" s="90"/>
      <c r="B3" s="90"/>
      <c r="C3" s="90"/>
      <c r="D3" s="90" t="s">
        <v>40</v>
      </c>
      <c r="E3" s="90"/>
      <c r="F3" s="90"/>
      <c r="G3" s="91"/>
      <c r="M3" s="187" t="s">
        <v>189</v>
      </c>
      <c r="N3" s="188" t="s">
        <v>149</v>
      </c>
      <c r="O3" s="189" t="s">
        <v>190</v>
      </c>
      <c r="P3" s="188" t="s">
        <v>191</v>
      </c>
    </row>
    <row r="4" spans="1:16" x14ac:dyDescent="0.25">
      <c r="A4" s="90"/>
      <c r="B4" s="90"/>
      <c r="C4" s="90"/>
      <c r="D4" s="90"/>
      <c r="E4" s="90" t="s">
        <v>183</v>
      </c>
      <c r="F4" s="90"/>
      <c r="G4" s="91">
        <v>-4188.83</v>
      </c>
      <c r="M4" s="123" t="s">
        <v>192</v>
      </c>
      <c r="N4" s="124">
        <f>G58+G50</f>
        <v>70650.91</v>
      </c>
      <c r="O4" s="123"/>
      <c r="P4" s="123" t="s">
        <v>193</v>
      </c>
    </row>
    <row r="5" spans="1:16" x14ac:dyDescent="0.25">
      <c r="A5" s="90"/>
      <c r="B5" s="90"/>
      <c r="C5" s="90"/>
      <c r="D5" s="90"/>
      <c r="E5" s="90" t="s">
        <v>41</v>
      </c>
      <c r="F5" s="90"/>
      <c r="G5" s="91">
        <v>-12077.99</v>
      </c>
      <c r="M5" s="190"/>
      <c r="N5" s="190"/>
      <c r="O5" s="190"/>
      <c r="P5" s="190"/>
    </row>
    <row r="6" spans="1:16" x14ac:dyDescent="0.25">
      <c r="A6" s="90"/>
      <c r="B6" s="90"/>
      <c r="C6" s="90"/>
      <c r="D6" s="90"/>
      <c r="E6" s="90" t="s">
        <v>131</v>
      </c>
      <c r="F6" s="90"/>
      <c r="G6" s="91">
        <v>705</v>
      </c>
    </row>
    <row r="7" spans="1:16" ht="30" x14ac:dyDescent="0.25">
      <c r="A7" s="90"/>
      <c r="B7" s="90"/>
      <c r="C7" s="90"/>
      <c r="D7" s="90"/>
      <c r="E7" s="90" t="s">
        <v>45</v>
      </c>
      <c r="F7" s="90"/>
      <c r="G7" s="91">
        <v>65255.62</v>
      </c>
      <c r="M7" s="187" t="s">
        <v>194</v>
      </c>
      <c r="N7" s="188" t="s">
        <v>149</v>
      </c>
      <c r="O7" s="189" t="s">
        <v>190</v>
      </c>
      <c r="P7" s="188" t="s">
        <v>191</v>
      </c>
    </row>
    <row r="8" spans="1:16" ht="15.75" thickBot="1" x14ac:dyDescent="0.3">
      <c r="A8" s="90"/>
      <c r="B8" s="90"/>
      <c r="C8" s="90"/>
      <c r="D8" s="90"/>
      <c r="E8" s="90" t="s">
        <v>47</v>
      </c>
      <c r="F8" s="90"/>
      <c r="G8" s="92">
        <v>664585.94999999995</v>
      </c>
      <c r="M8" s="123" t="s">
        <v>152</v>
      </c>
      <c r="N8" s="124">
        <f>G64+G70-N4</f>
        <v>158794.84</v>
      </c>
      <c r="O8" s="123"/>
      <c r="P8" s="123" t="s">
        <v>193</v>
      </c>
    </row>
    <row r="9" spans="1:16" x14ac:dyDescent="0.25">
      <c r="A9" s="90"/>
      <c r="B9" s="90"/>
      <c r="C9" s="90"/>
      <c r="D9" s="90" t="s">
        <v>49</v>
      </c>
      <c r="E9" s="90"/>
      <c r="F9" s="90"/>
      <c r="G9" s="91">
        <f>ROUND(SUM(G3:G8),5)</f>
        <v>714279.75</v>
      </c>
    </row>
    <row r="10" spans="1:16" ht="30" customHeight="1" x14ac:dyDescent="0.25">
      <c r="A10" s="90"/>
      <c r="B10" s="90"/>
      <c r="C10" s="90"/>
      <c r="D10" s="90" t="s">
        <v>50</v>
      </c>
      <c r="E10" s="90"/>
      <c r="F10" s="90"/>
      <c r="G10" s="91"/>
    </row>
    <row r="11" spans="1:16" x14ac:dyDescent="0.25">
      <c r="A11" s="90"/>
      <c r="B11" s="90"/>
      <c r="C11" s="90"/>
      <c r="D11" s="90"/>
      <c r="E11" s="90" t="s">
        <v>51</v>
      </c>
      <c r="F11" s="90"/>
      <c r="G11" s="91">
        <v>417.95</v>
      </c>
    </row>
    <row r="12" spans="1:16" x14ac:dyDescent="0.25">
      <c r="A12" s="90"/>
      <c r="B12" s="90"/>
      <c r="C12" s="90"/>
      <c r="D12" s="90"/>
      <c r="E12" s="90" t="s">
        <v>207</v>
      </c>
      <c r="F12" s="90"/>
      <c r="G12" s="91">
        <v>6800</v>
      </c>
    </row>
    <row r="13" spans="1:16" x14ac:dyDescent="0.25">
      <c r="A13" s="90"/>
      <c r="B13" s="90"/>
      <c r="C13" s="90"/>
      <c r="D13" s="90"/>
      <c r="E13" s="90" t="s">
        <v>54</v>
      </c>
      <c r="F13" s="90"/>
      <c r="G13" s="91"/>
    </row>
    <row r="14" spans="1:16" x14ac:dyDescent="0.25">
      <c r="A14" s="90"/>
      <c r="B14" s="90"/>
      <c r="C14" s="90"/>
      <c r="D14" s="90"/>
      <c r="E14" s="90"/>
      <c r="F14" s="90" t="s">
        <v>184</v>
      </c>
      <c r="G14" s="91">
        <v>4408.9399999999996</v>
      </c>
    </row>
    <row r="15" spans="1:16" x14ac:dyDescent="0.25">
      <c r="A15" s="90"/>
      <c r="B15" s="90"/>
      <c r="C15" s="90"/>
      <c r="D15" s="90"/>
      <c r="E15" s="90"/>
      <c r="F15" s="90" t="s">
        <v>42</v>
      </c>
      <c r="G15" s="91">
        <v>-9006.19</v>
      </c>
    </row>
    <row r="16" spans="1:16" x14ac:dyDescent="0.25">
      <c r="A16" s="90"/>
      <c r="B16" s="90"/>
      <c r="C16" s="90"/>
      <c r="D16" s="90"/>
      <c r="E16" s="90"/>
      <c r="F16" s="90" t="s">
        <v>55</v>
      </c>
      <c r="G16" s="91">
        <v>2371.2399999999998</v>
      </c>
    </row>
    <row r="17" spans="1:7" ht="15.75" thickBot="1" x14ac:dyDescent="0.3">
      <c r="A17" s="90"/>
      <c r="B17" s="90"/>
      <c r="C17" s="90"/>
      <c r="D17" s="90"/>
      <c r="E17" s="90"/>
      <c r="F17" s="90" t="s">
        <v>56</v>
      </c>
      <c r="G17" s="92">
        <v>256528.2</v>
      </c>
    </row>
    <row r="18" spans="1:7" x14ac:dyDescent="0.25">
      <c r="A18" s="90"/>
      <c r="B18" s="90"/>
      <c r="C18" s="90"/>
      <c r="D18" s="90"/>
      <c r="E18" s="90" t="s">
        <v>57</v>
      </c>
      <c r="F18" s="90"/>
      <c r="G18" s="91">
        <f>ROUND(SUM(G13:G17),5)</f>
        <v>254302.19</v>
      </c>
    </row>
    <row r="19" spans="1:7" ht="30" customHeight="1" x14ac:dyDescent="0.25">
      <c r="A19" s="90"/>
      <c r="B19" s="90"/>
      <c r="C19" s="90"/>
      <c r="D19" s="90"/>
      <c r="E19" s="90" t="s">
        <v>58</v>
      </c>
      <c r="F19" s="90"/>
      <c r="G19" s="91"/>
    </row>
    <row r="20" spans="1:7" x14ac:dyDescent="0.25">
      <c r="A20" s="90"/>
      <c r="B20" s="90"/>
      <c r="C20" s="90"/>
      <c r="D20" s="90"/>
      <c r="E20" s="90"/>
      <c r="F20" s="90" t="s">
        <v>59</v>
      </c>
      <c r="G20" s="91">
        <v>20855.78</v>
      </c>
    </row>
    <row r="21" spans="1:7" x14ac:dyDescent="0.25">
      <c r="A21" s="90"/>
      <c r="B21" s="90"/>
      <c r="C21" s="90"/>
      <c r="D21" s="90"/>
      <c r="E21" s="90"/>
      <c r="F21" s="90" t="s">
        <v>60</v>
      </c>
      <c r="G21" s="91">
        <v>6469.54</v>
      </c>
    </row>
    <row r="22" spans="1:7" x14ac:dyDescent="0.25">
      <c r="A22" s="90"/>
      <c r="B22" s="90"/>
      <c r="C22" s="90"/>
      <c r="D22" s="90"/>
      <c r="E22" s="90"/>
      <c r="F22" s="90" t="s">
        <v>61</v>
      </c>
      <c r="G22" s="91">
        <v>92170.95</v>
      </c>
    </row>
    <row r="23" spans="1:7" ht="15.75" thickBot="1" x14ac:dyDescent="0.3">
      <c r="A23" s="90"/>
      <c r="B23" s="90"/>
      <c r="C23" s="90"/>
      <c r="D23" s="90"/>
      <c r="E23" s="90"/>
      <c r="F23" s="90" t="s">
        <v>63</v>
      </c>
      <c r="G23" s="92">
        <v>3573.84</v>
      </c>
    </row>
    <row r="24" spans="1:7" x14ac:dyDescent="0.25">
      <c r="A24" s="90"/>
      <c r="B24" s="90"/>
      <c r="C24" s="90"/>
      <c r="D24" s="90"/>
      <c r="E24" s="90" t="s">
        <v>65</v>
      </c>
      <c r="F24" s="90"/>
      <c r="G24" s="214">
        <f>ROUND(SUM(G19:G23),5)</f>
        <v>123070.11</v>
      </c>
    </row>
    <row r="25" spans="1:7" ht="30" customHeight="1" x14ac:dyDescent="0.25">
      <c r="A25" s="90"/>
      <c r="B25" s="90"/>
      <c r="C25" s="90"/>
      <c r="D25" s="90"/>
      <c r="E25" s="90" t="s">
        <v>67</v>
      </c>
      <c r="F25" s="90"/>
      <c r="G25" s="91"/>
    </row>
    <row r="26" spans="1:7" x14ac:dyDescent="0.25">
      <c r="A26" s="90"/>
      <c r="B26" s="90"/>
      <c r="C26" s="90"/>
      <c r="D26" s="90"/>
      <c r="E26" s="90"/>
      <c r="F26" s="90" t="s">
        <v>68</v>
      </c>
      <c r="G26" s="91">
        <v>2530</v>
      </c>
    </row>
    <row r="27" spans="1:7" ht="15.75" thickBot="1" x14ac:dyDescent="0.3">
      <c r="A27" s="90"/>
      <c r="B27" s="90"/>
      <c r="C27" s="90"/>
      <c r="D27" s="90"/>
      <c r="E27" s="90"/>
      <c r="F27" s="90" t="s">
        <v>69</v>
      </c>
      <c r="G27" s="92">
        <v>41692.15</v>
      </c>
    </row>
    <row r="28" spans="1:7" x14ac:dyDescent="0.25">
      <c r="A28" s="90"/>
      <c r="B28" s="90"/>
      <c r="C28" s="90"/>
      <c r="D28" s="90"/>
      <c r="E28" s="90" t="s">
        <v>70</v>
      </c>
      <c r="F28" s="90"/>
      <c r="G28" s="214">
        <f>ROUND(SUM(G25:G27),5)</f>
        <v>44222.15</v>
      </c>
    </row>
    <row r="29" spans="1:7" ht="30" customHeight="1" x14ac:dyDescent="0.25">
      <c r="A29" s="90"/>
      <c r="B29" s="90"/>
      <c r="C29" s="90"/>
      <c r="D29" s="90"/>
      <c r="E29" s="90" t="s">
        <v>71</v>
      </c>
      <c r="F29" s="90"/>
      <c r="G29" s="91"/>
    </row>
    <row r="30" spans="1:7" x14ac:dyDescent="0.25">
      <c r="A30" s="90"/>
      <c r="B30" s="90"/>
      <c r="C30" s="90"/>
      <c r="D30" s="90"/>
      <c r="E30" s="90"/>
      <c r="F30" s="90" t="s">
        <v>72</v>
      </c>
      <c r="G30" s="91">
        <v>2768.1</v>
      </c>
    </row>
    <row r="31" spans="1:7" x14ac:dyDescent="0.25">
      <c r="A31" s="90"/>
      <c r="B31" s="90"/>
      <c r="C31" s="90"/>
      <c r="D31" s="90"/>
      <c r="E31" s="90"/>
      <c r="F31" s="90" t="s">
        <v>73</v>
      </c>
      <c r="G31" s="91">
        <v>4683.91</v>
      </c>
    </row>
    <row r="32" spans="1:7" x14ac:dyDescent="0.25">
      <c r="A32" s="90"/>
      <c r="B32" s="90"/>
      <c r="C32" s="90"/>
      <c r="D32" s="90"/>
      <c r="E32" s="90"/>
      <c r="F32" s="90" t="s">
        <v>74</v>
      </c>
      <c r="G32" s="91">
        <v>14776.28</v>
      </c>
    </row>
    <row r="33" spans="1:7" ht="15.75" thickBot="1" x14ac:dyDescent="0.3">
      <c r="A33" s="90"/>
      <c r="B33" s="90"/>
      <c r="C33" s="90"/>
      <c r="D33" s="90"/>
      <c r="E33" s="90"/>
      <c r="F33" s="90" t="s">
        <v>75</v>
      </c>
      <c r="G33" s="93">
        <v>26367.200000000001</v>
      </c>
    </row>
    <row r="34" spans="1:7" ht="15.75" thickBot="1" x14ac:dyDescent="0.3">
      <c r="A34" s="90"/>
      <c r="B34" s="90"/>
      <c r="C34" s="90"/>
      <c r="D34" s="90"/>
      <c r="E34" s="90" t="s">
        <v>76</v>
      </c>
      <c r="F34" s="90"/>
      <c r="G34" s="94">
        <f>ROUND(SUM(G29:G33),5)</f>
        <v>48595.49</v>
      </c>
    </row>
    <row r="35" spans="1:7" ht="30" customHeight="1" thickBot="1" x14ac:dyDescent="0.3">
      <c r="A35" s="90"/>
      <c r="B35" s="90"/>
      <c r="C35" s="90"/>
      <c r="D35" s="90" t="s">
        <v>77</v>
      </c>
      <c r="E35" s="90"/>
      <c r="F35" s="90"/>
      <c r="G35" s="213">
        <f>ROUND(SUM(G10:G12)+G18+G24+G28+G34,5)</f>
        <v>477407.89</v>
      </c>
    </row>
    <row r="36" spans="1:7" ht="30" customHeight="1" x14ac:dyDescent="0.25">
      <c r="A36" s="90"/>
      <c r="B36" s="90"/>
      <c r="C36" s="90" t="s">
        <v>78</v>
      </c>
      <c r="D36" s="90"/>
      <c r="E36" s="90"/>
      <c r="F36" s="90"/>
      <c r="G36" s="91">
        <f>ROUND(G9-G35,5)</f>
        <v>236871.86</v>
      </c>
    </row>
    <row r="37" spans="1:7" ht="30" customHeight="1" x14ac:dyDescent="0.25">
      <c r="A37" s="90"/>
      <c r="B37" s="90"/>
      <c r="C37" s="90"/>
      <c r="D37" s="90" t="s">
        <v>79</v>
      </c>
      <c r="E37" s="90"/>
      <c r="F37" s="90"/>
      <c r="G37" s="91"/>
    </row>
    <row r="38" spans="1:7" x14ac:dyDescent="0.25">
      <c r="A38" s="90"/>
      <c r="B38" s="90"/>
      <c r="C38" s="90"/>
      <c r="D38" s="90"/>
      <c r="E38" s="90" t="s">
        <v>80</v>
      </c>
      <c r="F38" s="90"/>
      <c r="G38" s="91">
        <v>10.55</v>
      </c>
    </row>
    <row r="39" spans="1:7" x14ac:dyDescent="0.25">
      <c r="A39" s="90"/>
      <c r="B39" s="90"/>
      <c r="C39" s="90"/>
      <c r="D39" s="90"/>
      <c r="E39" s="90" t="s">
        <v>82</v>
      </c>
      <c r="F39" s="90"/>
      <c r="G39" s="91">
        <v>344.72</v>
      </c>
    </row>
    <row r="40" spans="1:7" x14ac:dyDescent="0.25">
      <c r="A40" s="90"/>
      <c r="B40" s="90"/>
      <c r="C40" s="90"/>
      <c r="D40" s="90"/>
      <c r="E40" s="90" t="s">
        <v>83</v>
      </c>
      <c r="F40" s="90"/>
      <c r="G40" s="91">
        <v>7788.98</v>
      </c>
    </row>
    <row r="41" spans="1:7" x14ac:dyDescent="0.25">
      <c r="A41" s="90"/>
      <c r="B41" s="90"/>
      <c r="C41" s="90"/>
      <c r="D41" s="90"/>
      <c r="E41" s="90" t="s">
        <v>84</v>
      </c>
      <c r="F41" s="90"/>
      <c r="G41" s="91">
        <v>4235.9399999999996</v>
      </c>
    </row>
    <row r="42" spans="1:7" x14ac:dyDescent="0.25">
      <c r="A42" s="90"/>
      <c r="B42" s="90"/>
      <c r="C42" s="90"/>
      <c r="D42" s="90"/>
      <c r="E42" s="90" t="s">
        <v>85</v>
      </c>
      <c r="F42" s="90"/>
      <c r="G42" s="91">
        <v>7714.83</v>
      </c>
    </row>
    <row r="43" spans="1:7" x14ac:dyDescent="0.25">
      <c r="A43" s="90"/>
      <c r="B43" s="90"/>
      <c r="C43" s="90"/>
      <c r="D43" s="90"/>
      <c r="E43" s="90" t="s">
        <v>89</v>
      </c>
      <c r="F43" s="90"/>
      <c r="G43" s="91">
        <v>6794.29</v>
      </c>
    </row>
    <row r="44" spans="1:7" x14ac:dyDescent="0.25">
      <c r="A44" s="90"/>
      <c r="B44" s="90"/>
      <c r="C44" s="90"/>
      <c r="D44" s="90"/>
      <c r="E44" s="90" t="s">
        <v>90</v>
      </c>
      <c r="F44" s="90"/>
      <c r="G44" s="91"/>
    </row>
    <row r="45" spans="1:7" x14ac:dyDescent="0.25">
      <c r="A45" s="90"/>
      <c r="B45" s="90"/>
      <c r="C45" s="90"/>
      <c r="D45" s="90"/>
      <c r="E45" s="90"/>
      <c r="F45" s="90" t="s">
        <v>91</v>
      </c>
      <c r="G45" s="91">
        <v>22415.22</v>
      </c>
    </row>
    <row r="46" spans="1:7" x14ac:dyDescent="0.25">
      <c r="A46" s="90"/>
      <c r="B46" s="90"/>
      <c r="C46" s="90"/>
      <c r="D46" s="90"/>
      <c r="E46" s="90"/>
      <c r="F46" s="90" t="s">
        <v>92</v>
      </c>
      <c r="G46" s="91">
        <v>2076.62</v>
      </c>
    </row>
    <row r="47" spans="1:7" ht="15.75" thickBot="1" x14ac:dyDescent="0.3">
      <c r="A47" s="90"/>
      <c r="B47" s="90"/>
      <c r="C47" s="90"/>
      <c r="D47" s="90"/>
      <c r="E47" s="90"/>
      <c r="F47" s="90" t="s">
        <v>93</v>
      </c>
      <c r="G47" s="92">
        <v>15750</v>
      </c>
    </row>
    <row r="48" spans="1:7" x14ac:dyDescent="0.25">
      <c r="A48" s="90"/>
      <c r="B48" s="90"/>
      <c r="C48" s="90"/>
      <c r="D48" s="90"/>
      <c r="E48" s="90" t="s">
        <v>95</v>
      </c>
      <c r="F48" s="90"/>
      <c r="G48" s="91">
        <f>ROUND(SUM(G44:G47),5)</f>
        <v>40241.839999999997</v>
      </c>
    </row>
    <row r="49" spans="1:7" ht="30" customHeight="1" x14ac:dyDescent="0.25">
      <c r="A49" s="90"/>
      <c r="B49" s="90"/>
      <c r="C49" s="90"/>
      <c r="D49" s="90"/>
      <c r="E49" s="90" t="s">
        <v>98</v>
      </c>
      <c r="F49" s="90"/>
      <c r="G49" s="91">
        <v>941.34</v>
      </c>
    </row>
    <row r="50" spans="1:7" x14ac:dyDescent="0.25">
      <c r="A50" s="90"/>
      <c r="B50" s="90"/>
      <c r="C50" s="90"/>
      <c r="D50" s="90"/>
      <c r="E50" s="90" t="s">
        <v>101</v>
      </c>
      <c r="F50" s="90"/>
      <c r="G50" s="91">
        <v>8091.76</v>
      </c>
    </row>
    <row r="51" spans="1:7" x14ac:dyDescent="0.25">
      <c r="A51" s="90"/>
      <c r="B51" s="90"/>
      <c r="C51" s="90"/>
      <c r="D51" s="90"/>
      <c r="E51" s="90" t="s">
        <v>102</v>
      </c>
      <c r="F51" s="90"/>
      <c r="G51" s="91">
        <v>0</v>
      </c>
    </row>
    <row r="52" spans="1:7" x14ac:dyDescent="0.25">
      <c r="A52" s="90"/>
      <c r="B52" s="90"/>
      <c r="C52" s="90"/>
      <c r="D52" s="90"/>
      <c r="E52" s="90" t="s">
        <v>103</v>
      </c>
      <c r="F52" s="90"/>
      <c r="G52" s="91">
        <v>100</v>
      </c>
    </row>
    <row r="53" spans="1:7" x14ac:dyDescent="0.25">
      <c r="A53" s="90"/>
      <c r="B53" s="90"/>
      <c r="C53" s="90"/>
      <c r="D53" s="90"/>
      <c r="E53" s="90" t="s">
        <v>104</v>
      </c>
      <c r="F53" s="90"/>
      <c r="G53" s="91">
        <v>26000</v>
      </c>
    </row>
    <row r="54" spans="1:7" x14ac:dyDescent="0.25">
      <c r="A54" s="90"/>
      <c r="B54" s="90"/>
      <c r="C54" s="90"/>
      <c r="D54" s="90"/>
      <c r="E54" s="90" t="s">
        <v>105</v>
      </c>
      <c r="F54" s="90"/>
      <c r="G54" s="91">
        <v>277.7</v>
      </c>
    </row>
    <row r="55" spans="1:7" x14ac:dyDescent="0.25">
      <c r="A55" s="90"/>
      <c r="B55" s="90"/>
      <c r="C55" s="90"/>
      <c r="D55" s="90"/>
      <c r="E55" s="90" t="s">
        <v>106</v>
      </c>
      <c r="F55" s="90"/>
      <c r="G55" s="91"/>
    </row>
    <row r="56" spans="1:7" x14ac:dyDescent="0.25">
      <c r="A56" s="90"/>
      <c r="B56" s="90"/>
      <c r="C56" s="90"/>
      <c r="D56" s="90"/>
      <c r="E56" s="90"/>
      <c r="F56" s="90" t="s">
        <v>186</v>
      </c>
      <c r="G56" s="91">
        <v>1116.3</v>
      </c>
    </row>
    <row r="57" spans="1:7" ht="15.75" thickBot="1" x14ac:dyDescent="0.3">
      <c r="A57" s="90"/>
      <c r="B57" s="90"/>
      <c r="C57" s="90"/>
      <c r="D57" s="90"/>
      <c r="E57" s="90"/>
      <c r="F57" s="90" t="s">
        <v>187</v>
      </c>
      <c r="G57" s="92">
        <v>61442.85</v>
      </c>
    </row>
    <row r="58" spans="1:7" x14ac:dyDescent="0.25">
      <c r="A58" s="90"/>
      <c r="B58" s="90"/>
      <c r="C58" s="90"/>
      <c r="D58" s="90"/>
      <c r="E58" s="90" t="s">
        <v>188</v>
      </c>
      <c r="F58" s="90"/>
      <c r="G58" s="91">
        <f>ROUND(SUM(G55:G57),5)</f>
        <v>62559.15</v>
      </c>
    </row>
    <row r="59" spans="1:7" ht="30" customHeight="1" x14ac:dyDescent="0.25">
      <c r="A59" s="90"/>
      <c r="B59" s="90"/>
      <c r="C59" s="90"/>
      <c r="D59" s="90"/>
      <c r="E59" s="90" t="s">
        <v>109</v>
      </c>
      <c r="F59" s="90"/>
      <c r="G59" s="91">
        <v>14514.56</v>
      </c>
    </row>
    <row r="60" spans="1:7" x14ac:dyDescent="0.25">
      <c r="A60" s="90"/>
      <c r="B60" s="90"/>
      <c r="C60" s="90"/>
      <c r="D60" s="90"/>
      <c r="E60" s="90" t="s">
        <v>110</v>
      </c>
      <c r="F60" s="90"/>
      <c r="G60" s="91">
        <v>180.29</v>
      </c>
    </row>
    <row r="61" spans="1:7" x14ac:dyDescent="0.25">
      <c r="A61" s="90"/>
      <c r="B61" s="90"/>
      <c r="C61" s="90"/>
      <c r="D61" s="90"/>
      <c r="E61" s="90" t="s">
        <v>111</v>
      </c>
      <c r="F61" s="90"/>
      <c r="G61" s="91">
        <v>1743.11</v>
      </c>
    </row>
    <row r="62" spans="1:7" x14ac:dyDescent="0.25">
      <c r="A62" s="90"/>
      <c r="B62" s="90"/>
      <c r="C62" s="90"/>
      <c r="D62" s="90"/>
      <c r="E62" s="90" t="s">
        <v>112</v>
      </c>
      <c r="F62" s="90"/>
      <c r="G62" s="91">
        <v>1144.42</v>
      </c>
    </row>
    <row r="63" spans="1:7" ht="15.75" thickBot="1" x14ac:dyDescent="0.3">
      <c r="A63" s="90"/>
      <c r="B63" s="90"/>
      <c r="C63" s="90"/>
      <c r="D63" s="90"/>
      <c r="E63" s="90" t="s">
        <v>113</v>
      </c>
      <c r="F63" s="90"/>
      <c r="G63" s="93">
        <v>7881.25</v>
      </c>
    </row>
    <row r="64" spans="1:7" ht="15.75" thickBot="1" x14ac:dyDescent="0.3">
      <c r="A64" s="90"/>
      <c r="B64" s="90"/>
      <c r="C64" s="90"/>
      <c r="D64" s="90" t="s">
        <v>114</v>
      </c>
      <c r="E64" s="90"/>
      <c r="F64" s="90"/>
      <c r="G64" s="95">
        <f>ROUND(SUM(G37:G43)+SUM(G48:G54)+SUM(G58:G63),5)</f>
        <v>190564.73</v>
      </c>
    </row>
    <row r="65" spans="1:10" ht="30" customHeight="1" x14ac:dyDescent="0.25">
      <c r="A65" s="90"/>
      <c r="B65" s="90" t="s">
        <v>115</v>
      </c>
      <c r="C65" s="90"/>
      <c r="D65" s="90"/>
      <c r="E65" s="90"/>
      <c r="F65" s="90"/>
      <c r="G65" s="91">
        <f>ROUND(G2+G36-G64,5)</f>
        <v>46307.13</v>
      </c>
    </row>
    <row r="66" spans="1:10" ht="30" customHeight="1" x14ac:dyDescent="0.25">
      <c r="A66" s="90"/>
      <c r="B66" s="90" t="s">
        <v>116</v>
      </c>
      <c r="C66" s="90"/>
      <c r="D66" s="90"/>
      <c r="E66" s="90"/>
      <c r="F66" s="90"/>
      <c r="G66" s="91"/>
    </row>
    <row r="67" spans="1:10" x14ac:dyDescent="0.25">
      <c r="A67" s="90"/>
      <c r="B67" s="90"/>
      <c r="C67" s="90" t="s">
        <v>119</v>
      </c>
      <c r="D67" s="90"/>
      <c r="E67" s="90"/>
      <c r="F67" s="90"/>
      <c r="G67" s="91"/>
    </row>
    <row r="68" spans="1:10" x14ac:dyDescent="0.25">
      <c r="A68" s="90"/>
      <c r="B68" s="90"/>
      <c r="C68" s="90"/>
      <c r="D68" s="90" t="s">
        <v>121</v>
      </c>
      <c r="E68" s="90"/>
      <c r="F68" s="90"/>
      <c r="G68" s="91">
        <v>38881.019999999997</v>
      </c>
    </row>
    <row r="69" spans="1:10" ht="15.75" thickBot="1" x14ac:dyDescent="0.3">
      <c r="A69" s="90"/>
      <c r="B69" s="90"/>
      <c r="C69" s="90"/>
      <c r="D69" s="90" t="s">
        <v>122</v>
      </c>
      <c r="E69" s="90"/>
      <c r="F69" s="90"/>
      <c r="G69" s="211">
        <v>0</v>
      </c>
      <c r="I69" s="212">
        <v>2796</v>
      </c>
      <c r="J69" s="7" t="s">
        <v>211</v>
      </c>
    </row>
    <row r="70" spans="1:10" ht="15.75" thickBot="1" x14ac:dyDescent="0.3">
      <c r="A70" s="90"/>
      <c r="B70" s="90"/>
      <c r="C70" s="90" t="s">
        <v>123</v>
      </c>
      <c r="D70" s="90"/>
      <c r="E70" s="90"/>
      <c r="F70" s="90"/>
      <c r="G70" s="94">
        <f>ROUND(SUM(G67:G69),5)</f>
        <v>38881.019999999997</v>
      </c>
    </row>
    <row r="71" spans="1:10" ht="30" customHeight="1" thickBot="1" x14ac:dyDescent="0.3">
      <c r="A71" s="90"/>
      <c r="B71" s="90" t="s">
        <v>124</v>
      </c>
      <c r="C71" s="90"/>
      <c r="D71" s="90"/>
      <c r="E71" s="90"/>
      <c r="F71" s="90"/>
      <c r="G71" s="94">
        <f>ROUND(G66-G70,5)</f>
        <v>-38881.019999999997</v>
      </c>
    </row>
    <row r="72" spans="1:10" s="97" customFormat="1" ht="30" customHeight="1" thickBot="1" x14ac:dyDescent="0.25">
      <c r="A72" s="90" t="s">
        <v>125</v>
      </c>
      <c r="B72" s="90"/>
      <c r="C72" s="90"/>
      <c r="D72" s="90"/>
      <c r="E72" s="90"/>
      <c r="F72" s="90"/>
      <c r="G72" s="96">
        <f>ROUND(G65+G71,5)</f>
        <v>7426.11</v>
      </c>
    </row>
    <row r="73" spans="1:10" ht="15.75" thickTop="1" x14ac:dyDescent="0.25"/>
    <row r="75" spans="1:10" x14ac:dyDescent="0.25">
      <c r="G75" s="215"/>
    </row>
    <row r="76" spans="1:10" x14ac:dyDescent="0.25">
      <c r="G76" s="183">
        <f>+'KPM-LA'!J25*1000-'P5'!G72</f>
        <v>2.2737367544323206E-11</v>
      </c>
    </row>
  </sheetData>
  <pageMargins left="0.7" right="0.7" top="0.75" bottom="0.75" header="0.25" footer="0.3"/>
  <pageSetup orientation="portrait" r:id="rId1"/>
  <headerFooter>
    <oddHeader>&amp;L&amp;"Arial,Bold"&amp;8 8:11 PM
&amp;"Arial,Bold"&amp;8 06/05/16
&amp;"Arial,Bold"&amp;8 Accrual Basis&amp;C&amp;"Arial,Bold"&amp;12 CIS INTERNATIONAL HOLDINGS (N.A)  CORP.
&amp;"Arial,Bold"&amp;14 Profit &amp;&amp; Loss
&amp;"Arial,Bold"&amp;10 April 29 through May 26, 2016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77825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77825" r:id="rId4" name="FILTER"/>
      </mc:Fallback>
    </mc:AlternateContent>
    <mc:AlternateContent xmlns:mc="http://schemas.openxmlformats.org/markup-compatibility/2006">
      <mc:Choice Requires="x14">
        <control shapeId="77826" r:id="rId6" name="HEAD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77826" r:id="rId6" name="HEADER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Q78"/>
  <sheetViews>
    <sheetView topLeftCell="A64" workbookViewId="0">
      <selection activeCell="G9" sqref="G9"/>
    </sheetView>
  </sheetViews>
  <sheetFormatPr defaultRowHeight="15" x14ac:dyDescent="0.25"/>
  <cols>
    <col min="1" max="5" width="3" style="98" customWidth="1"/>
    <col min="6" max="6" width="30.42578125" style="98" customWidth="1"/>
    <col min="7" max="7" width="12.7109375" style="75" customWidth="1"/>
    <col min="8" max="10" width="0" style="7" hidden="1" customWidth="1"/>
    <col min="11" max="11" width="9.140625" style="7"/>
    <col min="12" max="12" width="11.28515625" style="7" bestFit="1" customWidth="1"/>
    <col min="13" max="13" width="14.85546875" style="7" bestFit="1" customWidth="1"/>
    <col min="14" max="14" width="23.140625" style="7" bestFit="1" customWidth="1"/>
    <col min="15" max="15" width="10.140625" style="7" bestFit="1" customWidth="1"/>
    <col min="16" max="16" width="9.42578125" style="7" bestFit="1" customWidth="1"/>
    <col min="17" max="17" width="17.42578125" style="7" bestFit="1" customWidth="1"/>
    <col min="18" max="16384" width="9.140625" style="7"/>
  </cols>
  <sheetData>
    <row r="1" spans="1:17" s="47" customFormat="1" ht="15.75" thickBot="1" x14ac:dyDescent="0.3">
      <c r="A1" s="88"/>
      <c r="B1" s="88"/>
      <c r="C1" s="88"/>
      <c r="D1" s="88"/>
      <c r="E1" s="88"/>
      <c r="F1" s="88"/>
      <c r="G1" s="89" t="s">
        <v>206</v>
      </c>
    </row>
    <row r="2" spans="1:17" ht="30.75" thickTop="1" x14ac:dyDescent="0.25">
      <c r="A2" s="90"/>
      <c r="B2" s="90" t="s">
        <v>39</v>
      </c>
      <c r="C2" s="90"/>
      <c r="D2" s="90"/>
      <c r="E2" s="90"/>
      <c r="F2" s="90"/>
      <c r="G2" s="91"/>
      <c r="N2" s="187" t="s">
        <v>189</v>
      </c>
      <c r="O2" s="188" t="s">
        <v>149</v>
      </c>
      <c r="P2" s="189" t="s">
        <v>190</v>
      </c>
      <c r="Q2" s="188" t="s">
        <v>191</v>
      </c>
    </row>
    <row r="3" spans="1:17" x14ac:dyDescent="0.25">
      <c r="A3" s="90"/>
      <c r="B3" s="90"/>
      <c r="C3" s="90"/>
      <c r="D3" s="90" t="s">
        <v>40</v>
      </c>
      <c r="E3" s="90"/>
      <c r="F3" s="90"/>
      <c r="G3" s="91"/>
      <c r="N3" s="123" t="s">
        <v>192</v>
      </c>
      <c r="O3" s="124">
        <f>G62+G54</f>
        <v>68249.319999999992</v>
      </c>
      <c r="P3" s="123"/>
      <c r="Q3" s="123" t="s">
        <v>193</v>
      </c>
    </row>
    <row r="4" spans="1:17" x14ac:dyDescent="0.25">
      <c r="A4" s="90"/>
      <c r="B4" s="90"/>
      <c r="C4" s="90"/>
      <c r="D4" s="90"/>
      <c r="E4" s="90" t="s">
        <v>41</v>
      </c>
      <c r="F4" s="90"/>
      <c r="G4" s="91">
        <v>-10747.68</v>
      </c>
      <c r="N4" s="190"/>
      <c r="O4" s="190"/>
      <c r="P4" s="190"/>
      <c r="Q4" s="190"/>
    </row>
    <row r="5" spans="1:17" x14ac:dyDescent="0.25">
      <c r="A5" s="90"/>
      <c r="B5" s="90"/>
      <c r="C5" s="90"/>
      <c r="D5" s="90"/>
      <c r="E5" s="90" t="s">
        <v>131</v>
      </c>
      <c r="F5" s="90"/>
      <c r="G5" s="91">
        <v>1495</v>
      </c>
    </row>
    <row r="6" spans="1:17" ht="30" x14ac:dyDescent="0.25">
      <c r="A6" s="90"/>
      <c r="B6" s="90"/>
      <c r="C6" s="90"/>
      <c r="D6" s="90"/>
      <c r="E6" s="90" t="s">
        <v>45</v>
      </c>
      <c r="F6" s="90"/>
      <c r="G6" s="91">
        <v>54025.98</v>
      </c>
      <c r="N6" s="187" t="s">
        <v>194</v>
      </c>
      <c r="O6" s="188" t="s">
        <v>149</v>
      </c>
      <c r="P6" s="189" t="s">
        <v>190</v>
      </c>
      <c r="Q6" s="188" t="s">
        <v>191</v>
      </c>
    </row>
    <row r="7" spans="1:17" x14ac:dyDescent="0.25">
      <c r="A7" s="90"/>
      <c r="B7" s="90"/>
      <c r="C7" s="90"/>
      <c r="D7" s="90"/>
      <c r="E7" s="90" t="s">
        <v>47</v>
      </c>
      <c r="F7" s="90"/>
      <c r="G7" s="91">
        <v>559662.64</v>
      </c>
      <c r="N7" s="123" t="s">
        <v>152</v>
      </c>
      <c r="O7" s="124">
        <f>G69+G73-O3</f>
        <v>144663.5</v>
      </c>
      <c r="P7" s="123"/>
      <c r="Q7" s="123" t="s">
        <v>193</v>
      </c>
    </row>
    <row r="8" spans="1:17" ht="15.75" thickBot="1" x14ac:dyDescent="0.3">
      <c r="A8" s="90"/>
      <c r="B8" s="90"/>
      <c r="C8" s="90"/>
      <c r="D8" s="90"/>
      <c r="E8" s="90" t="s">
        <v>48</v>
      </c>
      <c r="F8" s="90"/>
      <c r="G8" s="92">
        <v>0</v>
      </c>
    </row>
    <row r="9" spans="1:17" x14ac:dyDescent="0.25">
      <c r="A9" s="90"/>
      <c r="B9" s="90"/>
      <c r="C9" s="90"/>
      <c r="D9" s="90" t="s">
        <v>49</v>
      </c>
      <c r="E9" s="90"/>
      <c r="F9" s="90"/>
      <c r="G9" s="91">
        <f>ROUND(SUM(G3:G8),5)</f>
        <v>604435.93999999994</v>
      </c>
    </row>
    <row r="10" spans="1:17" x14ac:dyDescent="0.25">
      <c r="A10" s="90"/>
      <c r="B10" s="90"/>
      <c r="C10" s="90"/>
      <c r="D10" s="90" t="s">
        <v>50</v>
      </c>
      <c r="E10" s="90"/>
      <c r="F10" s="90"/>
      <c r="G10" s="91"/>
    </row>
    <row r="11" spans="1:17" ht="30" customHeight="1" x14ac:dyDescent="0.25">
      <c r="A11" s="90"/>
      <c r="B11" s="90"/>
      <c r="C11" s="90"/>
      <c r="D11" s="90"/>
      <c r="E11" s="90" t="s">
        <v>51</v>
      </c>
      <c r="F11" s="90"/>
      <c r="G11" s="91">
        <v>380.6</v>
      </c>
      <c r="H11" s="183"/>
      <c r="I11" s="183"/>
    </row>
    <row r="12" spans="1:17" x14ac:dyDescent="0.25">
      <c r="A12" s="90"/>
      <c r="B12" s="90"/>
      <c r="C12" s="90"/>
      <c r="D12" s="90"/>
      <c r="E12" s="90" t="s">
        <v>52</v>
      </c>
      <c r="F12" s="90"/>
      <c r="G12" s="91">
        <v>21351.88</v>
      </c>
      <c r="H12" s="184">
        <v>6228.3</v>
      </c>
      <c r="I12" s="184">
        <v>5580.73</v>
      </c>
      <c r="J12" s="185">
        <f>H12+I12</f>
        <v>11809.029999999999</v>
      </c>
    </row>
    <row r="13" spans="1:17" x14ac:dyDescent="0.25">
      <c r="A13" s="90"/>
      <c r="B13" s="90"/>
      <c r="C13" s="90"/>
      <c r="D13" s="90"/>
      <c r="E13" s="90" t="s">
        <v>207</v>
      </c>
      <c r="F13" s="90"/>
      <c r="G13" s="91">
        <v>1700</v>
      </c>
      <c r="H13" s="183"/>
      <c r="I13" s="183"/>
    </row>
    <row r="14" spans="1:17" x14ac:dyDescent="0.25">
      <c r="A14" s="90"/>
      <c r="B14" s="90"/>
      <c r="C14" s="90"/>
      <c r="D14" s="90"/>
      <c r="E14" s="90" t="s">
        <v>53</v>
      </c>
      <c r="F14" s="90"/>
      <c r="G14" s="91">
        <v>0</v>
      </c>
      <c r="H14" s="183"/>
      <c r="I14" s="183"/>
    </row>
    <row r="15" spans="1:17" x14ac:dyDescent="0.25">
      <c r="A15" s="90"/>
      <c r="B15" s="90"/>
      <c r="C15" s="90"/>
      <c r="D15" s="90"/>
      <c r="E15" s="90" t="s">
        <v>54</v>
      </c>
      <c r="F15" s="90"/>
      <c r="G15" s="91"/>
      <c r="H15" s="183"/>
      <c r="I15" s="183"/>
    </row>
    <row r="16" spans="1:17" x14ac:dyDescent="0.25">
      <c r="A16" s="90"/>
      <c r="B16" s="90"/>
      <c r="C16" s="90"/>
      <c r="D16" s="90"/>
      <c r="E16" s="90"/>
      <c r="F16" s="90" t="s">
        <v>184</v>
      </c>
      <c r="G16" s="91">
        <v>12527.23</v>
      </c>
    </row>
    <row r="17" spans="1:12" x14ac:dyDescent="0.25">
      <c r="A17" s="90"/>
      <c r="B17" s="90"/>
      <c r="C17" s="90"/>
      <c r="D17" s="90"/>
      <c r="E17" s="90"/>
      <c r="F17" s="90" t="s">
        <v>42</v>
      </c>
      <c r="G17" s="91">
        <v>-4767.6400000000003</v>
      </c>
      <c r="L17" s="126"/>
    </row>
    <row r="18" spans="1:12" x14ac:dyDescent="0.25">
      <c r="A18" s="90"/>
      <c r="B18" s="90"/>
      <c r="C18" s="90"/>
      <c r="D18" s="90"/>
      <c r="E18" s="90"/>
      <c r="F18" s="90" t="s">
        <v>55</v>
      </c>
      <c r="G18" s="91">
        <v>1486.15</v>
      </c>
    </row>
    <row r="19" spans="1:12" ht="15.75" thickBot="1" x14ac:dyDescent="0.3">
      <c r="A19" s="90"/>
      <c r="B19" s="90"/>
      <c r="C19" s="90"/>
      <c r="D19" s="90"/>
      <c r="E19" s="90"/>
      <c r="F19" s="90" t="s">
        <v>56</v>
      </c>
      <c r="G19" s="92">
        <v>172698.38</v>
      </c>
    </row>
    <row r="20" spans="1:12" x14ac:dyDescent="0.25">
      <c r="A20" s="90"/>
      <c r="B20" s="90"/>
      <c r="C20" s="90"/>
      <c r="D20" s="90"/>
      <c r="E20" s="90" t="s">
        <v>57</v>
      </c>
      <c r="F20" s="90"/>
      <c r="G20" s="91">
        <f>ROUND(SUM(G15:G19),5)</f>
        <v>181944.12</v>
      </c>
    </row>
    <row r="21" spans="1:12" x14ac:dyDescent="0.25">
      <c r="A21" s="90"/>
      <c r="B21" s="90"/>
      <c r="C21" s="90"/>
      <c r="D21" s="90"/>
      <c r="E21" s="90" t="s">
        <v>58</v>
      </c>
      <c r="F21" s="90"/>
      <c r="G21" s="91"/>
    </row>
    <row r="22" spans="1:12" x14ac:dyDescent="0.25">
      <c r="A22" s="90"/>
      <c r="B22" s="90"/>
      <c r="C22" s="90"/>
      <c r="D22" s="90"/>
      <c r="E22" s="90"/>
      <c r="F22" s="90" t="s">
        <v>59</v>
      </c>
      <c r="G22" s="91">
        <v>13573.53</v>
      </c>
    </row>
    <row r="23" spans="1:12" x14ac:dyDescent="0.25">
      <c r="A23" s="90"/>
      <c r="B23" s="90"/>
      <c r="C23" s="90"/>
      <c r="D23" s="90"/>
      <c r="E23" s="90"/>
      <c r="F23" s="90" t="s">
        <v>60</v>
      </c>
      <c r="G23" s="91">
        <v>255.25</v>
      </c>
    </row>
    <row r="24" spans="1:12" x14ac:dyDescent="0.25">
      <c r="A24" s="90"/>
      <c r="B24" s="90"/>
      <c r="C24" s="90"/>
      <c r="D24" s="90"/>
      <c r="E24" s="90"/>
      <c r="F24" s="90" t="s">
        <v>61</v>
      </c>
      <c r="G24" s="91">
        <v>84907.7</v>
      </c>
    </row>
    <row r="25" spans="1:12" x14ac:dyDescent="0.25">
      <c r="A25" s="90"/>
      <c r="B25" s="90"/>
      <c r="C25" s="90"/>
      <c r="D25" s="90"/>
      <c r="E25" s="90"/>
      <c r="F25" s="90" t="s">
        <v>63</v>
      </c>
      <c r="G25" s="91">
        <v>12864.79</v>
      </c>
    </row>
    <row r="26" spans="1:12" ht="15.75" thickBot="1" x14ac:dyDescent="0.3">
      <c r="A26" s="90"/>
      <c r="B26" s="90"/>
      <c r="C26" s="90"/>
      <c r="D26" s="90"/>
      <c r="E26" s="90"/>
      <c r="F26" s="90" t="s">
        <v>64</v>
      </c>
      <c r="G26" s="92">
        <v>241.9</v>
      </c>
    </row>
    <row r="27" spans="1:12" x14ac:dyDescent="0.25">
      <c r="A27" s="90"/>
      <c r="B27" s="90"/>
      <c r="C27" s="90"/>
      <c r="D27" s="90"/>
      <c r="E27" s="90" t="s">
        <v>65</v>
      </c>
      <c r="F27" s="90"/>
      <c r="G27" s="214">
        <f>ROUND(SUM(G21:G26),5)</f>
        <v>111843.17</v>
      </c>
    </row>
    <row r="28" spans="1:12" x14ac:dyDescent="0.25">
      <c r="A28" s="90"/>
      <c r="B28" s="90"/>
      <c r="C28" s="90"/>
      <c r="D28" s="90"/>
      <c r="E28" s="90" t="s">
        <v>67</v>
      </c>
      <c r="F28" s="90"/>
      <c r="G28" s="91"/>
    </row>
    <row r="29" spans="1:12" x14ac:dyDescent="0.25">
      <c r="A29" s="90"/>
      <c r="B29" s="90"/>
      <c r="C29" s="90"/>
      <c r="D29" s="90"/>
      <c r="E29" s="90"/>
      <c r="F29" s="90" t="s">
        <v>68</v>
      </c>
      <c r="G29" s="91">
        <v>660</v>
      </c>
    </row>
    <row r="30" spans="1:12" ht="15.75" thickBot="1" x14ac:dyDescent="0.3">
      <c r="A30" s="90"/>
      <c r="B30" s="90"/>
      <c r="C30" s="90"/>
      <c r="D30" s="90"/>
      <c r="E30" s="90"/>
      <c r="F30" s="90" t="s">
        <v>69</v>
      </c>
      <c r="G30" s="92">
        <v>36040.81</v>
      </c>
    </row>
    <row r="31" spans="1:12" x14ac:dyDescent="0.25">
      <c r="A31" s="90"/>
      <c r="B31" s="90"/>
      <c r="C31" s="90"/>
      <c r="D31" s="90"/>
      <c r="E31" s="90" t="s">
        <v>70</v>
      </c>
      <c r="F31" s="90"/>
      <c r="G31" s="214">
        <f>ROUND(SUM(G28:G30),5)</f>
        <v>36700.81</v>
      </c>
      <c r="L31" s="126"/>
    </row>
    <row r="32" spans="1:12" x14ac:dyDescent="0.25">
      <c r="A32" s="90"/>
      <c r="B32" s="90"/>
      <c r="C32" s="90"/>
      <c r="D32" s="90"/>
      <c r="E32" s="90" t="s">
        <v>71</v>
      </c>
      <c r="F32" s="90"/>
      <c r="G32" s="91"/>
    </row>
    <row r="33" spans="1:8" x14ac:dyDescent="0.25">
      <c r="A33" s="90"/>
      <c r="B33" s="90"/>
      <c r="C33" s="90"/>
      <c r="D33" s="90"/>
      <c r="E33" s="90"/>
      <c r="F33" s="90" t="s">
        <v>72</v>
      </c>
      <c r="G33" s="91">
        <v>2533.27</v>
      </c>
      <c r="H33" s="186">
        <v>26978.61</v>
      </c>
    </row>
    <row r="34" spans="1:8" x14ac:dyDescent="0.25">
      <c r="A34" s="90"/>
      <c r="B34" s="90"/>
      <c r="C34" s="90"/>
      <c r="D34" s="90"/>
      <c r="E34" s="90"/>
      <c r="F34" s="90" t="s">
        <v>73</v>
      </c>
      <c r="G34" s="91">
        <v>1887.73</v>
      </c>
    </row>
    <row r="35" spans="1:8" x14ac:dyDescent="0.25">
      <c r="A35" s="90"/>
      <c r="B35" s="90"/>
      <c r="C35" s="90"/>
      <c r="D35" s="90"/>
      <c r="E35" s="90"/>
      <c r="F35" s="90" t="s">
        <v>74</v>
      </c>
      <c r="G35" s="91">
        <v>36707.26</v>
      </c>
    </row>
    <row r="36" spans="1:8" ht="15.75" thickBot="1" x14ac:dyDescent="0.3">
      <c r="A36" s="90"/>
      <c r="B36" s="90"/>
      <c r="C36" s="90"/>
      <c r="D36" s="90"/>
      <c r="E36" s="90"/>
      <c r="F36" s="90" t="s">
        <v>75</v>
      </c>
      <c r="G36" s="93">
        <v>21622.75</v>
      </c>
    </row>
    <row r="37" spans="1:8" ht="15.75" thickBot="1" x14ac:dyDescent="0.3">
      <c r="A37" s="90"/>
      <c r="B37" s="90"/>
      <c r="C37" s="90"/>
      <c r="D37" s="90"/>
      <c r="E37" s="207" t="s">
        <v>76</v>
      </c>
      <c r="F37" s="207"/>
      <c r="G37" s="208">
        <f>ROUND(SUM(G32:G36),5)</f>
        <v>62751.01</v>
      </c>
    </row>
    <row r="38" spans="1:8" ht="15.75" thickBot="1" x14ac:dyDescent="0.3">
      <c r="A38" s="90"/>
      <c r="B38" s="90"/>
      <c r="C38" s="90"/>
      <c r="D38" s="90" t="s">
        <v>77</v>
      </c>
      <c r="E38" s="90"/>
      <c r="F38" s="90"/>
      <c r="G38" s="213">
        <f>ROUND(SUM(G10:G14)+G20+G27+G31+G37,5)</f>
        <v>416671.59</v>
      </c>
    </row>
    <row r="39" spans="1:8" x14ac:dyDescent="0.25">
      <c r="A39" s="90"/>
      <c r="B39" s="90"/>
      <c r="C39" s="90" t="s">
        <v>78</v>
      </c>
      <c r="D39" s="90"/>
      <c r="E39" s="90"/>
      <c r="F39" s="90"/>
      <c r="G39" s="91">
        <f>ROUND(G9-G38,5)</f>
        <v>187764.35</v>
      </c>
    </row>
    <row r="40" spans="1:8" x14ac:dyDescent="0.25">
      <c r="A40" s="90"/>
      <c r="B40" s="90"/>
      <c r="C40" s="90"/>
      <c r="D40" s="90" t="s">
        <v>79</v>
      </c>
      <c r="E40" s="90"/>
      <c r="F40" s="90"/>
      <c r="G40" s="91"/>
    </row>
    <row r="41" spans="1:8" x14ac:dyDescent="0.25">
      <c r="A41" s="90"/>
      <c r="B41" s="90"/>
      <c r="C41" s="90"/>
      <c r="D41" s="90"/>
      <c r="E41" s="90" t="s">
        <v>80</v>
      </c>
      <c r="F41" s="90"/>
      <c r="G41" s="91">
        <v>19.36</v>
      </c>
    </row>
    <row r="42" spans="1:8" x14ac:dyDescent="0.25">
      <c r="A42" s="90"/>
      <c r="B42" s="90"/>
      <c r="C42" s="90"/>
      <c r="D42" s="90"/>
      <c r="E42" s="90" t="s">
        <v>82</v>
      </c>
      <c r="F42" s="90"/>
      <c r="G42" s="91">
        <v>7.54</v>
      </c>
    </row>
    <row r="43" spans="1:8" x14ac:dyDescent="0.25">
      <c r="A43" s="90"/>
      <c r="B43" s="90"/>
      <c r="C43" s="90"/>
      <c r="D43" s="90"/>
      <c r="E43" s="90" t="s">
        <v>83</v>
      </c>
      <c r="F43" s="90"/>
      <c r="G43" s="91">
        <v>5770.08</v>
      </c>
    </row>
    <row r="44" spans="1:8" x14ac:dyDescent="0.25">
      <c r="A44" s="90"/>
      <c r="B44" s="90"/>
      <c r="C44" s="90"/>
      <c r="D44" s="90"/>
      <c r="E44" s="90" t="s">
        <v>84</v>
      </c>
      <c r="F44" s="90"/>
      <c r="G44" s="91">
        <v>2209.88</v>
      </c>
    </row>
    <row r="45" spans="1:8" x14ac:dyDescent="0.25">
      <c r="A45" s="90"/>
      <c r="B45" s="90"/>
      <c r="C45" s="90"/>
      <c r="D45" s="90"/>
      <c r="E45" s="90" t="s">
        <v>85</v>
      </c>
      <c r="F45" s="90"/>
      <c r="G45" s="91">
        <v>3311.63</v>
      </c>
    </row>
    <row r="46" spans="1:8" x14ac:dyDescent="0.25">
      <c r="A46" s="90"/>
      <c r="B46" s="90"/>
      <c r="C46" s="90"/>
      <c r="D46" s="90"/>
      <c r="E46" s="90" t="s">
        <v>89</v>
      </c>
      <c r="F46" s="90"/>
      <c r="G46" s="91">
        <v>6059.99</v>
      </c>
    </row>
    <row r="47" spans="1:8" x14ac:dyDescent="0.25">
      <c r="A47" s="90"/>
      <c r="B47" s="90"/>
      <c r="C47" s="90"/>
      <c r="D47" s="90"/>
      <c r="E47" s="90" t="s">
        <v>90</v>
      </c>
      <c r="F47" s="90"/>
      <c r="G47" s="91"/>
    </row>
    <row r="48" spans="1:8" x14ac:dyDescent="0.25">
      <c r="A48" s="90"/>
      <c r="B48" s="90"/>
      <c r="C48" s="90"/>
      <c r="D48" s="90"/>
      <c r="E48" s="90"/>
      <c r="F48" s="90" t="s">
        <v>91</v>
      </c>
      <c r="G48" s="91">
        <v>22350</v>
      </c>
    </row>
    <row r="49" spans="1:12" x14ac:dyDescent="0.25">
      <c r="A49" s="90"/>
      <c r="B49" s="90"/>
      <c r="C49" s="90"/>
      <c r="D49" s="90"/>
      <c r="E49" s="90"/>
      <c r="F49" s="90" t="s">
        <v>92</v>
      </c>
      <c r="G49" s="91">
        <v>5000</v>
      </c>
    </row>
    <row r="50" spans="1:12" ht="15.75" thickBot="1" x14ac:dyDescent="0.3">
      <c r="A50" s="90"/>
      <c r="B50" s="90"/>
      <c r="C50" s="90"/>
      <c r="D50" s="90"/>
      <c r="E50" s="90"/>
      <c r="F50" s="90" t="s">
        <v>93</v>
      </c>
      <c r="G50" s="92">
        <v>12500</v>
      </c>
    </row>
    <row r="51" spans="1:12" x14ac:dyDescent="0.25">
      <c r="A51" s="90"/>
      <c r="B51" s="90"/>
      <c r="C51" s="90"/>
      <c r="D51" s="90"/>
      <c r="E51" s="90" t="s">
        <v>95</v>
      </c>
      <c r="F51" s="90"/>
      <c r="G51" s="91">
        <f>ROUND(SUM(G47:G50),5)</f>
        <v>39850</v>
      </c>
      <c r="L51" s="126"/>
    </row>
    <row r="52" spans="1:12" x14ac:dyDescent="0.25">
      <c r="A52" s="90"/>
      <c r="B52" s="90"/>
      <c r="C52" s="90"/>
      <c r="D52" s="90"/>
      <c r="E52" s="90" t="s">
        <v>98</v>
      </c>
      <c r="F52" s="90"/>
      <c r="G52" s="91">
        <v>2887.05</v>
      </c>
    </row>
    <row r="53" spans="1:12" x14ac:dyDescent="0.25">
      <c r="A53" s="90"/>
      <c r="B53" s="90"/>
      <c r="C53" s="90"/>
      <c r="D53" s="90"/>
      <c r="E53" s="90" t="s">
        <v>100</v>
      </c>
      <c r="F53" s="90"/>
      <c r="G53" s="91">
        <v>3500</v>
      </c>
    </row>
    <row r="54" spans="1:12" x14ac:dyDescent="0.25">
      <c r="A54" s="90"/>
      <c r="B54" s="90"/>
      <c r="C54" s="90"/>
      <c r="D54" s="90"/>
      <c r="E54" s="90" t="s">
        <v>101</v>
      </c>
      <c r="F54" s="90"/>
      <c r="G54" s="91">
        <v>7790.62</v>
      </c>
    </row>
    <row r="55" spans="1:12" x14ac:dyDescent="0.25">
      <c r="A55" s="90"/>
      <c r="B55" s="90"/>
      <c r="C55" s="90"/>
      <c r="D55" s="90"/>
      <c r="E55" s="90" t="s">
        <v>102</v>
      </c>
      <c r="F55" s="90"/>
      <c r="G55" s="91">
        <v>-660.97</v>
      </c>
    </row>
    <row r="56" spans="1:12" x14ac:dyDescent="0.25">
      <c r="A56" s="90"/>
      <c r="B56" s="90"/>
      <c r="C56" s="90"/>
      <c r="D56" s="90"/>
      <c r="E56" s="90" t="s">
        <v>103</v>
      </c>
      <c r="F56" s="90"/>
      <c r="G56" s="91">
        <v>395</v>
      </c>
    </row>
    <row r="57" spans="1:12" x14ac:dyDescent="0.25">
      <c r="A57" s="90"/>
      <c r="B57" s="90"/>
      <c r="C57" s="90"/>
      <c r="D57" s="90"/>
      <c r="E57" s="90" t="s">
        <v>104</v>
      </c>
      <c r="F57" s="90"/>
      <c r="G57" s="91">
        <v>34358</v>
      </c>
    </row>
    <row r="58" spans="1:12" x14ac:dyDescent="0.25">
      <c r="A58" s="90"/>
      <c r="B58" s="90"/>
      <c r="C58" s="90"/>
      <c r="D58" s="90"/>
      <c r="E58" s="90" t="s">
        <v>105</v>
      </c>
      <c r="F58" s="90"/>
      <c r="G58" s="91">
        <v>0</v>
      </c>
    </row>
    <row r="59" spans="1:12" x14ac:dyDescent="0.25">
      <c r="A59" s="90"/>
      <c r="B59" s="90"/>
      <c r="C59" s="90"/>
      <c r="D59" s="90"/>
      <c r="E59" s="90" t="s">
        <v>106</v>
      </c>
      <c r="F59" s="90"/>
      <c r="G59" s="91"/>
    </row>
    <row r="60" spans="1:12" x14ac:dyDescent="0.25">
      <c r="A60" s="90"/>
      <c r="B60" s="90"/>
      <c r="C60" s="90"/>
      <c r="D60" s="90"/>
      <c r="E60" s="90"/>
      <c r="F60" s="90" t="s">
        <v>186</v>
      </c>
      <c r="G60" s="91">
        <v>1855.87</v>
      </c>
    </row>
    <row r="61" spans="1:12" ht="15.75" thickBot="1" x14ac:dyDescent="0.3">
      <c r="A61" s="90"/>
      <c r="B61" s="90"/>
      <c r="C61" s="90"/>
      <c r="D61" s="90"/>
      <c r="E61" s="90"/>
      <c r="F61" s="90" t="s">
        <v>187</v>
      </c>
      <c r="G61" s="92">
        <v>58602.83</v>
      </c>
    </row>
    <row r="62" spans="1:12" x14ac:dyDescent="0.25">
      <c r="A62" s="90"/>
      <c r="B62" s="90"/>
      <c r="C62" s="90"/>
      <c r="D62" s="90"/>
      <c r="E62" s="90" t="s">
        <v>188</v>
      </c>
      <c r="F62" s="90"/>
      <c r="G62" s="91">
        <f>ROUND(SUM(G59:G61),5)</f>
        <v>60458.7</v>
      </c>
    </row>
    <row r="63" spans="1:12" x14ac:dyDescent="0.25">
      <c r="A63" s="90"/>
      <c r="B63" s="90"/>
      <c r="C63" s="90"/>
      <c r="D63" s="90"/>
      <c r="E63" s="90" t="s">
        <v>107</v>
      </c>
      <c r="F63" s="90"/>
      <c r="G63" s="91">
        <v>211.67</v>
      </c>
    </row>
    <row r="64" spans="1:12" x14ac:dyDescent="0.25">
      <c r="A64" s="90"/>
      <c r="B64" s="90"/>
      <c r="C64" s="90"/>
      <c r="D64" s="90"/>
      <c r="E64" s="90" t="s">
        <v>109</v>
      </c>
      <c r="F64" s="90"/>
      <c r="G64" s="91">
        <v>6611.93</v>
      </c>
    </row>
    <row r="65" spans="1:13" x14ac:dyDescent="0.25">
      <c r="A65" s="90"/>
      <c r="B65" s="90"/>
      <c r="C65" s="90"/>
      <c r="D65" s="90"/>
      <c r="E65" s="90" t="s">
        <v>110</v>
      </c>
      <c r="F65" s="90"/>
      <c r="G65" s="91">
        <v>-7982.58</v>
      </c>
    </row>
    <row r="66" spans="1:13" x14ac:dyDescent="0.25">
      <c r="A66" s="90"/>
      <c r="B66" s="90"/>
      <c r="C66" s="90"/>
      <c r="D66" s="90"/>
      <c r="E66" s="90" t="s">
        <v>111</v>
      </c>
      <c r="F66" s="90"/>
      <c r="G66" s="91">
        <v>1825</v>
      </c>
    </row>
    <row r="67" spans="1:13" x14ac:dyDescent="0.25">
      <c r="A67" s="90"/>
      <c r="B67" s="90"/>
      <c r="C67" s="90"/>
      <c r="D67" s="90"/>
      <c r="E67" s="90" t="s">
        <v>112</v>
      </c>
      <c r="F67" s="90"/>
      <c r="G67" s="91">
        <v>11614.69</v>
      </c>
    </row>
    <row r="68" spans="1:13" ht="15.75" thickBot="1" x14ac:dyDescent="0.3">
      <c r="A68" s="90"/>
      <c r="B68" s="90"/>
      <c r="C68" s="90"/>
      <c r="D68" s="90"/>
      <c r="E68" s="90" t="s">
        <v>113</v>
      </c>
      <c r="F68" s="90"/>
      <c r="G68" s="93">
        <v>6883.69</v>
      </c>
    </row>
    <row r="69" spans="1:13" ht="15.75" thickBot="1" x14ac:dyDescent="0.3">
      <c r="A69" s="90"/>
      <c r="B69" s="90"/>
      <c r="C69" s="90"/>
      <c r="D69" s="90" t="s">
        <v>114</v>
      </c>
      <c r="E69" s="90"/>
      <c r="F69" s="90"/>
      <c r="G69" s="95">
        <f>ROUND(SUM(G40:G46)+SUM(G51:G58)+SUM(G62:G68),5)</f>
        <v>185121.28</v>
      </c>
    </row>
    <row r="70" spans="1:13" x14ac:dyDescent="0.25">
      <c r="A70" s="90"/>
      <c r="B70" s="90" t="s">
        <v>115</v>
      </c>
      <c r="C70" s="90"/>
      <c r="D70" s="90"/>
      <c r="E70" s="90"/>
      <c r="F70" s="90"/>
      <c r="G70" s="91">
        <f>ROUND(G2+G39-G69,5)</f>
        <v>2643.07</v>
      </c>
    </row>
    <row r="71" spans="1:13" x14ac:dyDescent="0.25">
      <c r="A71" s="90"/>
      <c r="B71" s="90" t="s">
        <v>116</v>
      </c>
      <c r="C71" s="90"/>
      <c r="D71" s="90"/>
      <c r="E71" s="90"/>
      <c r="F71" s="90"/>
      <c r="G71" s="91"/>
    </row>
    <row r="72" spans="1:13" x14ac:dyDescent="0.25">
      <c r="A72" s="90"/>
      <c r="B72" s="90"/>
      <c r="C72" s="90" t="s">
        <v>119</v>
      </c>
      <c r="D72" s="90"/>
      <c r="E72" s="90"/>
      <c r="F72" s="90"/>
      <c r="G72" s="91"/>
    </row>
    <row r="73" spans="1:13" ht="15.75" thickBot="1" x14ac:dyDescent="0.3">
      <c r="A73" s="90" t="s">
        <v>125</v>
      </c>
      <c r="B73" s="90"/>
      <c r="C73" s="90"/>
      <c r="D73" s="90" t="s">
        <v>121</v>
      </c>
      <c r="E73" s="90"/>
      <c r="F73" s="90"/>
      <c r="G73" s="93">
        <v>27791.54</v>
      </c>
    </row>
    <row r="74" spans="1:13" ht="15.75" thickBot="1" x14ac:dyDescent="0.3">
      <c r="B74" s="90"/>
      <c r="C74" s="90" t="s">
        <v>123</v>
      </c>
      <c r="D74" s="90"/>
      <c r="E74" s="90"/>
      <c r="F74" s="90"/>
      <c r="G74" s="94">
        <f>ROUND(SUM(G72:G73),5)</f>
        <v>27791.54</v>
      </c>
    </row>
    <row r="75" spans="1:13" ht="15.75" thickBot="1" x14ac:dyDescent="0.3">
      <c r="B75" s="90" t="s">
        <v>124</v>
      </c>
      <c r="C75" s="90"/>
      <c r="D75" s="90"/>
      <c r="E75" s="90"/>
      <c r="F75" s="90"/>
      <c r="G75" s="94">
        <f>ROUND(G71-G74,5)</f>
        <v>-27791.54</v>
      </c>
    </row>
    <row r="76" spans="1:13" ht="15.75" thickBot="1" x14ac:dyDescent="0.3">
      <c r="B76" s="90"/>
      <c r="C76" s="90"/>
      <c r="D76" s="90"/>
      <c r="E76" s="90"/>
      <c r="F76" s="90"/>
      <c r="G76" s="96">
        <f>ROUND(G70+G75,5)</f>
        <v>-25148.47</v>
      </c>
    </row>
    <row r="77" spans="1:13" s="97" customFormat="1" ht="15.75" thickTop="1" x14ac:dyDescent="0.25">
      <c r="A77" s="98"/>
      <c r="B77" s="98"/>
      <c r="C77" s="98"/>
      <c r="D77" s="98"/>
      <c r="E77" s="98"/>
      <c r="F77" s="98"/>
      <c r="G77" s="75"/>
      <c r="M77" s="193"/>
    </row>
    <row r="78" spans="1:13" x14ac:dyDescent="0.25">
      <c r="G78" s="203">
        <f>+'KPM-LA'!I25*1000-'P4'!G76</f>
        <v>-8.7311491370201111E-11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Q77"/>
  <sheetViews>
    <sheetView workbookViewId="0">
      <pane ySplit="1" topLeftCell="A2" activePane="bottomLeft" state="frozen"/>
      <selection pane="bottomLeft" activeCell="O8" sqref="O8"/>
    </sheetView>
  </sheetViews>
  <sheetFormatPr defaultRowHeight="15" x14ac:dyDescent="0.25"/>
  <cols>
    <col min="1" max="5" width="3" style="98" customWidth="1"/>
    <col min="6" max="6" width="30.42578125" style="98" customWidth="1"/>
    <col min="7" max="7" width="15.28515625" style="203" bestFit="1" customWidth="1"/>
    <col min="8" max="10" width="0" style="7" hidden="1" customWidth="1"/>
    <col min="11" max="11" width="9.140625" style="7"/>
    <col min="12" max="12" width="11.28515625" style="7" bestFit="1" customWidth="1"/>
    <col min="13" max="13" width="14.85546875" style="7" bestFit="1" customWidth="1"/>
    <col min="14" max="14" width="23.140625" style="7" bestFit="1" customWidth="1"/>
    <col min="15" max="15" width="10.140625" style="7" bestFit="1" customWidth="1"/>
    <col min="16" max="16" width="9.42578125" style="7" bestFit="1" customWidth="1"/>
    <col min="17" max="17" width="17.42578125" style="7" bestFit="1" customWidth="1"/>
    <col min="18" max="16384" width="9.140625" style="7"/>
  </cols>
  <sheetData>
    <row r="1" spans="1:17" s="47" customFormat="1" ht="15.75" thickBot="1" x14ac:dyDescent="0.3">
      <c r="A1" s="88"/>
      <c r="B1" s="88"/>
      <c r="C1" s="88"/>
      <c r="D1" s="88"/>
      <c r="E1" s="88"/>
      <c r="F1" s="88"/>
      <c r="G1" s="194" t="s">
        <v>203</v>
      </c>
    </row>
    <row r="2" spans="1:17" ht="30.75" thickTop="1" x14ac:dyDescent="0.25">
      <c r="A2" s="90"/>
      <c r="B2" s="90" t="s">
        <v>39</v>
      </c>
      <c r="C2" s="90"/>
      <c r="D2" s="90"/>
      <c r="E2" s="90"/>
      <c r="F2" s="90"/>
      <c r="G2" s="195"/>
      <c r="N2" s="187" t="s">
        <v>189</v>
      </c>
      <c r="O2" s="188" t="s">
        <v>149</v>
      </c>
      <c r="P2" s="189" t="s">
        <v>190</v>
      </c>
      <c r="Q2" s="188" t="s">
        <v>191</v>
      </c>
    </row>
    <row r="3" spans="1:17" x14ac:dyDescent="0.25">
      <c r="A3" s="90"/>
      <c r="B3" s="90"/>
      <c r="C3" s="90"/>
      <c r="D3" s="90" t="s">
        <v>40</v>
      </c>
      <c r="E3" s="90"/>
      <c r="F3" s="90"/>
      <c r="G3" s="195"/>
      <c r="N3" s="123" t="s">
        <v>192</v>
      </c>
      <c r="O3" s="124">
        <f>+G56+G49</f>
        <v>83394.319999999992</v>
      </c>
      <c r="P3" s="123"/>
      <c r="Q3" s="123" t="s">
        <v>193</v>
      </c>
    </row>
    <row r="4" spans="1:17" x14ac:dyDescent="0.25">
      <c r="A4" s="90"/>
      <c r="B4" s="90"/>
      <c r="C4" s="90"/>
      <c r="D4" s="90"/>
      <c r="E4" s="90" t="s">
        <v>41</v>
      </c>
      <c r="F4" s="90"/>
      <c r="G4" s="195">
        <v>-15741.15</v>
      </c>
      <c r="N4" s="190"/>
      <c r="O4" s="190"/>
      <c r="P4" s="190"/>
      <c r="Q4" s="190"/>
    </row>
    <row r="5" spans="1:17" x14ac:dyDescent="0.25">
      <c r="A5" s="90"/>
      <c r="B5" s="90"/>
      <c r="C5" s="90"/>
      <c r="D5" s="90"/>
      <c r="E5" s="90" t="s">
        <v>131</v>
      </c>
      <c r="F5" s="90"/>
      <c r="G5" s="195">
        <v>3210</v>
      </c>
    </row>
    <row r="6" spans="1:17" ht="30" x14ac:dyDescent="0.25">
      <c r="A6" s="90"/>
      <c r="B6" s="90"/>
      <c r="C6" s="90"/>
      <c r="D6" s="90"/>
      <c r="E6" s="90" t="s">
        <v>45</v>
      </c>
      <c r="F6" s="90"/>
      <c r="G6" s="195">
        <v>69836.5</v>
      </c>
      <c r="N6" s="187" t="s">
        <v>194</v>
      </c>
      <c r="O6" s="188" t="s">
        <v>149</v>
      </c>
      <c r="P6" s="189" t="s">
        <v>190</v>
      </c>
      <c r="Q6" s="188" t="s">
        <v>191</v>
      </c>
    </row>
    <row r="7" spans="1:17" ht="15.75" thickBot="1" x14ac:dyDescent="0.3">
      <c r="A7" s="90"/>
      <c r="B7" s="90"/>
      <c r="C7" s="90"/>
      <c r="D7" s="90"/>
      <c r="E7" s="90" t="s">
        <v>47</v>
      </c>
      <c r="F7" s="90"/>
      <c r="G7" s="196">
        <v>812890.24</v>
      </c>
      <c r="N7" s="123" t="s">
        <v>152</v>
      </c>
      <c r="O7" s="124">
        <f>+G63-G68+G71-O3</f>
        <v>171122.81</v>
      </c>
      <c r="P7" s="123"/>
      <c r="Q7" s="123" t="s">
        <v>193</v>
      </c>
    </row>
    <row r="8" spans="1:17" x14ac:dyDescent="0.25">
      <c r="A8" s="90"/>
      <c r="B8" s="90"/>
      <c r="C8" s="90"/>
      <c r="D8" s="90" t="s">
        <v>49</v>
      </c>
      <c r="E8" s="90"/>
      <c r="F8" s="90"/>
      <c r="G8" s="195">
        <f>ROUND(SUM(G3:G7),5)</f>
        <v>870195.59</v>
      </c>
    </row>
    <row r="9" spans="1:17" x14ac:dyDescent="0.25">
      <c r="A9" s="90"/>
      <c r="B9" s="90"/>
      <c r="C9" s="90"/>
      <c r="D9" s="90" t="s">
        <v>50</v>
      </c>
      <c r="E9" s="90"/>
      <c r="F9" s="90"/>
      <c r="G9" s="195"/>
    </row>
    <row r="10" spans="1:17" x14ac:dyDescent="0.25">
      <c r="A10" s="90"/>
      <c r="B10" s="90"/>
      <c r="C10" s="90"/>
      <c r="D10" s="90"/>
      <c r="E10" s="90" t="s">
        <v>51</v>
      </c>
      <c r="F10" s="90"/>
      <c r="G10" s="195">
        <v>375.43</v>
      </c>
    </row>
    <row r="11" spans="1:17" ht="30" customHeight="1" x14ac:dyDescent="0.25">
      <c r="A11" s="90"/>
      <c r="B11" s="90"/>
      <c r="C11" s="90"/>
      <c r="D11" s="90"/>
      <c r="E11" s="90" t="s">
        <v>53</v>
      </c>
      <c r="F11" s="90"/>
      <c r="G11" s="195">
        <v>0</v>
      </c>
      <c r="H11" s="183"/>
      <c r="I11" s="183"/>
    </row>
    <row r="12" spans="1:17" x14ac:dyDescent="0.25">
      <c r="A12" s="90"/>
      <c r="B12" s="90"/>
      <c r="C12" s="90"/>
      <c r="D12" s="90"/>
      <c r="E12" s="90" t="s">
        <v>54</v>
      </c>
      <c r="F12" s="90"/>
      <c r="G12" s="195"/>
      <c r="H12" s="184">
        <v>6228.3</v>
      </c>
      <c r="I12" s="184">
        <v>5580.73</v>
      </c>
      <c r="J12" s="185">
        <f>H12+I12</f>
        <v>11809.029999999999</v>
      </c>
    </row>
    <row r="13" spans="1:17" x14ac:dyDescent="0.25">
      <c r="A13" s="90"/>
      <c r="B13" s="90"/>
      <c r="C13" s="90"/>
      <c r="D13" s="90"/>
      <c r="E13" s="90"/>
      <c r="F13" s="90" t="s">
        <v>184</v>
      </c>
      <c r="G13" s="195">
        <v>27726.27</v>
      </c>
      <c r="H13" s="183"/>
      <c r="I13" s="183"/>
    </row>
    <row r="14" spans="1:17" x14ac:dyDescent="0.25">
      <c r="A14" s="90"/>
      <c r="B14" s="90"/>
      <c r="C14" s="90"/>
      <c r="D14" s="90"/>
      <c r="E14" s="90"/>
      <c r="F14" s="90" t="s">
        <v>42</v>
      </c>
      <c r="G14" s="195">
        <v>-6838.97</v>
      </c>
      <c r="H14" s="183"/>
      <c r="I14" s="183"/>
    </row>
    <row r="15" spans="1:17" x14ac:dyDescent="0.25">
      <c r="A15" s="90"/>
      <c r="B15" s="90"/>
      <c r="C15" s="90"/>
      <c r="D15" s="90"/>
      <c r="E15" s="90"/>
      <c r="F15" s="90" t="s">
        <v>55</v>
      </c>
      <c r="G15" s="195">
        <v>1480.71</v>
      </c>
      <c r="H15" s="183"/>
      <c r="I15" s="183"/>
    </row>
    <row r="16" spans="1:17" ht="15.75" thickBot="1" x14ac:dyDescent="0.3">
      <c r="A16" s="90"/>
      <c r="B16" s="90"/>
      <c r="C16" s="90"/>
      <c r="D16" s="90"/>
      <c r="E16" s="90"/>
      <c r="F16" s="90" t="s">
        <v>56</v>
      </c>
      <c r="G16" s="196">
        <v>211903.15</v>
      </c>
    </row>
    <row r="17" spans="1:12" x14ac:dyDescent="0.25">
      <c r="A17" s="90"/>
      <c r="B17" s="90"/>
      <c r="C17" s="90"/>
      <c r="D17" s="90"/>
      <c r="E17" s="90" t="s">
        <v>57</v>
      </c>
      <c r="F17" s="90"/>
      <c r="G17" s="195">
        <f>ROUND(SUM(G12:G16),5)</f>
        <v>234271.16</v>
      </c>
      <c r="L17" s="126"/>
    </row>
    <row r="18" spans="1:12" x14ac:dyDescent="0.25">
      <c r="A18" s="90"/>
      <c r="B18" s="90"/>
      <c r="C18" s="90"/>
      <c r="D18" s="90"/>
      <c r="E18" s="90" t="s">
        <v>58</v>
      </c>
      <c r="F18" s="90"/>
      <c r="G18" s="195"/>
    </row>
    <row r="19" spans="1:12" x14ac:dyDescent="0.25">
      <c r="A19" s="90"/>
      <c r="B19" s="90"/>
      <c r="C19" s="90"/>
      <c r="D19" s="90"/>
      <c r="E19" s="90"/>
      <c r="F19" s="90" t="s">
        <v>59</v>
      </c>
      <c r="G19" s="195">
        <v>10259.370000000001</v>
      </c>
    </row>
    <row r="20" spans="1:12" x14ac:dyDescent="0.25">
      <c r="A20" s="90"/>
      <c r="B20" s="90"/>
      <c r="C20" s="90"/>
      <c r="D20" s="90"/>
      <c r="E20" s="90"/>
      <c r="F20" s="90" t="s">
        <v>60</v>
      </c>
      <c r="G20" s="195">
        <v>4057.18</v>
      </c>
    </row>
    <row r="21" spans="1:12" x14ac:dyDescent="0.25">
      <c r="A21" s="90"/>
      <c r="B21" s="90"/>
      <c r="C21" s="90"/>
      <c r="D21" s="90"/>
      <c r="E21" s="90"/>
      <c r="F21" s="90" t="s">
        <v>61</v>
      </c>
      <c r="G21" s="195">
        <v>92963.69</v>
      </c>
    </row>
    <row r="22" spans="1:12" x14ac:dyDescent="0.25">
      <c r="A22" s="90"/>
      <c r="B22" s="90"/>
      <c r="C22" s="90"/>
      <c r="D22" s="90"/>
      <c r="E22" s="90"/>
      <c r="F22" s="90" t="s">
        <v>63</v>
      </c>
      <c r="G22" s="195">
        <v>5364.06</v>
      </c>
    </row>
    <row r="23" spans="1:12" ht="15.75" thickBot="1" x14ac:dyDescent="0.3">
      <c r="A23" s="90"/>
      <c r="B23" s="90"/>
      <c r="C23" s="90"/>
      <c r="D23" s="90"/>
      <c r="E23" s="90"/>
      <c r="F23" s="90" t="s">
        <v>64</v>
      </c>
      <c r="G23" s="196">
        <v>1936.85</v>
      </c>
    </row>
    <row r="24" spans="1:12" x14ac:dyDescent="0.25">
      <c r="A24" s="90"/>
      <c r="B24" s="90"/>
      <c r="C24" s="90"/>
      <c r="D24" s="90"/>
      <c r="E24" s="90" t="s">
        <v>65</v>
      </c>
      <c r="F24" s="90"/>
      <c r="G24" s="195">
        <f>ROUND(SUM(G18:G23),5)</f>
        <v>114581.15</v>
      </c>
    </row>
    <row r="25" spans="1:12" x14ac:dyDescent="0.25">
      <c r="A25" s="90"/>
      <c r="B25" s="90"/>
      <c r="C25" s="90"/>
      <c r="D25" s="90"/>
      <c r="E25" s="90" t="s">
        <v>67</v>
      </c>
      <c r="F25" s="90"/>
      <c r="G25" s="195">
        <v>51951.81</v>
      </c>
    </row>
    <row r="26" spans="1:12" x14ac:dyDescent="0.25">
      <c r="A26" s="90"/>
      <c r="B26" s="90"/>
      <c r="C26" s="90"/>
      <c r="D26" s="90"/>
      <c r="E26" s="90" t="s">
        <v>71</v>
      </c>
      <c r="F26" s="90"/>
      <c r="G26" s="195"/>
    </row>
    <row r="27" spans="1:12" x14ac:dyDescent="0.25">
      <c r="A27" s="90"/>
      <c r="B27" s="90"/>
      <c r="C27" s="90"/>
      <c r="D27" s="90"/>
      <c r="E27" s="90"/>
      <c r="F27" s="90" t="s">
        <v>72</v>
      </c>
      <c r="G27" s="195">
        <v>3794.17</v>
      </c>
    </row>
    <row r="28" spans="1:12" x14ac:dyDescent="0.25">
      <c r="A28" s="90"/>
      <c r="B28" s="90"/>
      <c r="C28" s="90"/>
      <c r="D28" s="90"/>
      <c r="E28" s="90"/>
      <c r="F28" s="90" t="s">
        <v>73</v>
      </c>
      <c r="G28" s="195">
        <v>3502.51</v>
      </c>
    </row>
    <row r="29" spans="1:12" x14ac:dyDescent="0.25">
      <c r="A29" s="90"/>
      <c r="B29" s="90"/>
      <c r="C29" s="90"/>
      <c r="D29" s="90"/>
      <c r="E29" s="90"/>
      <c r="F29" s="90" t="s">
        <v>74</v>
      </c>
      <c r="G29" s="195">
        <v>20516.849999999999</v>
      </c>
    </row>
    <row r="30" spans="1:12" ht="15.75" thickBot="1" x14ac:dyDescent="0.3">
      <c r="A30" s="90"/>
      <c r="B30" s="90"/>
      <c r="C30" s="90"/>
      <c r="D30" s="90"/>
      <c r="E30" s="90"/>
      <c r="F30" s="90" t="s">
        <v>75</v>
      </c>
      <c r="G30" s="201">
        <v>39863.269999999997</v>
      </c>
    </row>
    <row r="31" spans="1:12" ht="15.75" thickBot="1" x14ac:dyDescent="0.3">
      <c r="A31" s="90"/>
      <c r="B31" s="90"/>
      <c r="C31" s="90"/>
      <c r="D31" s="90"/>
      <c r="E31" s="90" t="s">
        <v>76</v>
      </c>
      <c r="F31" s="90"/>
      <c r="G31" s="199">
        <f>ROUND(SUM(G26:G30),5)</f>
        <v>67676.800000000003</v>
      </c>
      <c r="L31" s="126"/>
    </row>
    <row r="32" spans="1:12" ht="15.75" thickBot="1" x14ac:dyDescent="0.3">
      <c r="A32" s="90"/>
      <c r="B32" s="90"/>
      <c r="C32" s="90"/>
      <c r="D32" s="90" t="s">
        <v>77</v>
      </c>
      <c r="E32" s="90"/>
      <c r="F32" s="90"/>
      <c r="G32" s="200">
        <f>ROUND(SUM(G9:G11)+G17+SUM(G24:G25)+G31,5)</f>
        <v>468856.35</v>
      </c>
    </row>
    <row r="33" spans="1:8" x14ac:dyDescent="0.25">
      <c r="A33" s="90"/>
      <c r="B33" s="90"/>
      <c r="C33" s="90" t="s">
        <v>78</v>
      </c>
      <c r="D33" s="90"/>
      <c r="E33" s="90"/>
      <c r="F33" s="90"/>
      <c r="G33" s="195">
        <f>ROUND(G8-G32,5)</f>
        <v>401339.24</v>
      </c>
      <c r="H33" s="186">
        <v>26978.61</v>
      </c>
    </row>
    <row r="34" spans="1:8" x14ac:dyDescent="0.25">
      <c r="A34" s="90"/>
      <c r="B34" s="90"/>
      <c r="C34" s="90"/>
      <c r="D34" s="90" t="s">
        <v>79</v>
      </c>
      <c r="E34" s="90"/>
      <c r="F34" s="90"/>
      <c r="G34" s="195"/>
    </row>
    <row r="35" spans="1:8" x14ac:dyDescent="0.25">
      <c r="A35" s="90"/>
      <c r="B35" s="90"/>
      <c r="C35" s="90"/>
      <c r="D35" s="90"/>
      <c r="E35" s="90" t="s">
        <v>80</v>
      </c>
      <c r="F35" s="90"/>
      <c r="G35" s="195">
        <v>51.32</v>
      </c>
    </row>
    <row r="36" spans="1:8" x14ac:dyDescent="0.25">
      <c r="A36" s="90"/>
      <c r="B36" s="90"/>
      <c r="C36" s="90"/>
      <c r="D36" s="90"/>
      <c r="E36" s="90" t="s">
        <v>83</v>
      </c>
      <c r="F36" s="90"/>
      <c r="G36" s="195">
        <v>4007.74</v>
      </c>
    </row>
    <row r="37" spans="1:8" x14ac:dyDescent="0.25">
      <c r="A37" s="90"/>
      <c r="B37" s="90"/>
      <c r="C37" s="90"/>
      <c r="D37" s="90"/>
      <c r="E37" s="90" t="s">
        <v>84</v>
      </c>
      <c r="F37" s="90"/>
      <c r="G37" s="195">
        <v>1318.65</v>
      </c>
    </row>
    <row r="38" spans="1:8" x14ac:dyDescent="0.25">
      <c r="A38" s="90"/>
      <c r="B38" s="90"/>
      <c r="C38" s="90"/>
      <c r="D38" s="90"/>
      <c r="E38" s="90" t="s">
        <v>85</v>
      </c>
      <c r="F38" s="90"/>
      <c r="G38" s="195">
        <v>4659.21</v>
      </c>
    </row>
    <row r="39" spans="1:8" x14ac:dyDescent="0.25">
      <c r="A39" s="90"/>
      <c r="B39" s="90"/>
      <c r="C39" s="90"/>
      <c r="D39" s="90"/>
      <c r="E39" s="90"/>
      <c r="F39" s="90"/>
      <c r="G39" s="195"/>
    </row>
    <row r="40" spans="1:8" x14ac:dyDescent="0.25">
      <c r="A40" s="90"/>
      <c r="B40" s="90"/>
      <c r="C40" s="90"/>
      <c r="D40" s="90"/>
      <c r="E40" s="90" t="s">
        <v>89</v>
      </c>
      <c r="F40" s="90"/>
      <c r="G40" s="195">
        <v>10311.83</v>
      </c>
    </row>
    <row r="41" spans="1:8" x14ac:dyDescent="0.25">
      <c r="A41" s="90"/>
      <c r="B41" s="90"/>
      <c r="C41" s="90"/>
      <c r="D41" s="90"/>
      <c r="E41" s="90" t="s">
        <v>90</v>
      </c>
      <c r="F41" s="90"/>
      <c r="G41" s="195"/>
    </row>
    <row r="42" spans="1:8" x14ac:dyDescent="0.25">
      <c r="A42" s="90"/>
      <c r="B42" s="90"/>
      <c r="C42" s="90"/>
      <c r="D42" s="90"/>
      <c r="E42" s="90"/>
      <c r="F42" s="90" t="s">
        <v>91</v>
      </c>
      <c r="G42" s="195">
        <v>22350</v>
      </c>
    </row>
    <row r="43" spans="1:8" x14ac:dyDescent="0.25">
      <c r="A43" s="90"/>
      <c r="B43" s="90"/>
      <c r="C43" s="90"/>
      <c r="D43" s="90"/>
      <c r="E43" s="90"/>
      <c r="F43" s="90" t="s">
        <v>92</v>
      </c>
      <c r="G43" s="195">
        <v>14258.62</v>
      </c>
    </row>
    <row r="44" spans="1:8" x14ac:dyDescent="0.25">
      <c r="A44" s="90"/>
      <c r="B44" s="90"/>
      <c r="C44" s="90"/>
      <c r="D44" s="90"/>
      <c r="E44" s="90"/>
      <c r="F44" s="90" t="s">
        <v>204</v>
      </c>
      <c r="G44" s="195">
        <v>233</v>
      </c>
    </row>
    <row r="45" spans="1:8" ht="15.75" thickBot="1" x14ac:dyDescent="0.3">
      <c r="A45" s="90"/>
      <c r="B45" s="90"/>
      <c r="C45" s="90"/>
      <c r="D45" s="90"/>
      <c r="E45" s="90"/>
      <c r="F45" s="90" t="s">
        <v>93</v>
      </c>
      <c r="G45" s="196">
        <v>12500</v>
      </c>
    </row>
    <row r="46" spans="1:8" x14ac:dyDescent="0.25">
      <c r="A46" s="90"/>
      <c r="B46" s="90"/>
      <c r="C46" s="90"/>
      <c r="D46" s="90"/>
      <c r="E46" s="90" t="s">
        <v>95</v>
      </c>
      <c r="F46" s="90"/>
      <c r="G46" s="195">
        <f>ROUND(SUM(G41:G45),5)</f>
        <v>49341.62</v>
      </c>
    </row>
    <row r="47" spans="1:8" x14ac:dyDescent="0.25">
      <c r="A47" s="90"/>
      <c r="B47" s="90"/>
      <c r="C47" s="90"/>
      <c r="D47" s="90"/>
      <c r="E47" s="90" t="s">
        <v>97</v>
      </c>
      <c r="F47" s="90"/>
      <c r="G47" s="195">
        <v>4650.2</v>
      </c>
    </row>
    <row r="48" spans="1:8" x14ac:dyDescent="0.25">
      <c r="A48" s="90"/>
      <c r="B48" s="90"/>
      <c r="C48" s="90"/>
      <c r="D48" s="90"/>
      <c r="E48" s="90" t="s">
        <v>98</v>
      </c>
      <c r="F48" s="90"/>
      <c r="G48" s="195">
        <v>1354.56</v>
      </c>
    </row>
    <row r="49" spans="1:12" x14ac:dyDescent="0.25">
      <c r="A49" s="90"/>
      <c r="B49" s="90"/>
      <c r="C49" s="90"/>
      <c r="D49" s="90"/>
      <c r="E49" s="90" t="s">
        <v>101</v>
      </c>
      <c r="F49" s="90"/>
      <c r="G49" s="195">
        <v>13330.84</v>
      </c>
    </row>
    <row r="50" spans="1:12" x14ac:dyDescent="0.25">
      <c r="A50" s="90"/>
      <c r="B50" s="90"/>
      <c r="C50" s="90"/>
      <c r="D50" s="90"/>
      <c r="E50" s="90" t="s">
        <v>102</v>
      </c>
      <c r="F50" s="90"/>
      <c r="G50" s="195">
        <v>362.36</v>
      </c>
    </row>
    <row r="51" spans="1:12" x14ac:dyDescent="0.25">
      <c r="A51" s="90"/>
      <c r="B51" s="90"/>
      <c r="C51" s="90"/>
      <c r="D51" s="90"/>
      <c r="E51" s="90" t="s">
        <v>104</v>
      </c>
      <c r="F51" s="90"/>
      <c r="G51" s="195">
        <v>28505.09</v>
      </c>
      <c r="L51" s="126"/>
    </row>
    <row r="52" spans="1:12" x14ac:dyDescent="0.25">
      <c r="A52" s="90"/>
      <c r="B52" s="90"/>
      <c r="C52" s="90"/>
      <c r="D52" s="90"/>
      <c r="E52" s="90" t="s">
        <v>105</v>
      </c>
      <c r="F52" s="90"/>
      <c r="G52" s="195">
        <v>182.77</v>
      </c>
    </row>
    <row r="53" spans="1:12" x14ac:dyDescent="0.25">
      <c r="A53" s="90"/>
      <c r="B53" s="90"/>
      <c r="C53" s="90"/>
      <c r="D53" s="90"/>
      <c r="E53" s="90" t="s">
        <v>106</v>
      </c>
      <c r="F53" s="90"/>
      <c r="G53" s="195"/>
    </row>
    <row r="54" spans="1:12" x14ac:dyDescent="0.25">
      <c r="A54" s="90"/>
      <c r="B54" s="90"/>
      <c r="C54" s="90"/>
      <c r="D54" s="90"/>
      <c r="E54" s="90"/>
      <c r="F54" s="90" t="s">
        <v>186</v>
      </c>
      <c r="G54" s="195">
        <v>797.48</v>
      </c>
    </row>
    <row r="55" spans="1:12" ht="15.75" thickBot="1" x14ac:dyDescent="0.3">
      <c r="A55" s="90"/>
      <c r="B55" s="90"/>
      <c r="C55" s="90"/>
      <c r="D55" s="90"/>
      <c r="E55" s="90"/>
      <c r="F55" s="90" t="s">
        <v>187</v>
      </c>
      <c r="G55" s="196">
        <v>69266</v>
      </c>
    </row>
    <row r="56" spans="1:12" x14ac:dyDescent="0.25">
      <c r="A56" s="90"/>
      <c r="B56" s="90"/>
      <c r="C56" s="90"/>
      <c r="D56" s="90"/>
      <c r="E56" s="90" t="s">
        <v>188</v>
      </c>
      <c r="F56" s="90"/>
      <c r="G56" s="195">
        <f>ROUND(SUM(G53:G55),5)</f>
        <v>70063.48</v>
      </c>
    </row>
    <row r="57" spans="1:12" x14ac:dyDescent="0.25">
      <c r="A57" s="90"/>
      <c r="B57" s="90"/>
      <c r="C57" s="90"/>
      <c r="D57" s="90"/>
      <c r="E57" s="90" t="s">
        <v>107</v>
      </c>
      <c r="F57" s="90"/>
      <c r="G57" s="195">
        <v>243.31</v>
      </c>
    </row>
    <row r="58" spans="1:12" x14ac:dyDescent="0.25">
      <c r="A58" s="90"/>
      <c r="B58" s="90"/>
      <c r="C58" s="90"/>
      <c r="D58" s="90"/>
      <c r="E58" s="90" t="s">
        <v>109</v>
      </c>
      <c r="F58" s="90"/>
      <c r="G58" s="195">
        <v>5828.98</v>
      </c>
    </row>
    <row r="59" spans="1:12" x14ac:dyDescent="0.25">
      <c r="A59" s="90"/>
      <c r="B59" s="90"/>
      <c r="C59" s="90"/>
      <c r="D59" s="90"/>
      <c r="E59" s="90" t="s">
        <v>110</v>
      </c>
      <c r="F59" s="90"/>
      <c r="G59" s="195">
        <v>2771.48</v>
      </c>
    </row>
    <row r="60" spans="1:12" x14ac:dyDescent="0.25">
      <c r="A60" s="90"/>
      <c r="B60" s="90"/>
      <c r="C60" s="90"/>
      <c r="D60" s="90"/>
      <c r="E60" s="90" t="s">
        <v>111</v>
      </c>
      <c r="F60" s="90"/>
      <c r="G60" s="195">
        <v>2025</v>
      </c>
    </row>
    <row r="61" spans="1:12" x14ac:dyDescent="0.25">
      <c r="A61" s="90"/>
      <c r="B61" s="90"/>
      <c r="C61" s="90"/>
      <c r="D61" s="90"/>
      <c r="E61" s="90" t="s">
        <v>112</v>
      </c>
      <c r="F61" s="90"/>
      <c r="G61" s="195">
        <v>2150.61</v>
      </c>
    </row>
    <row r="62" spans="1:12" ht="15.75" thickBot="1" x14ac:dyDescent="0.3">
      <c r="A62" s="90"/>
      <c r="B62" s="90"/>
      <c r="C62" s="90"/>
      <c r="D62" s="90"/>
      <c r="E62" s="90" t="s">
        <v>113</v>
      </c>
      <c r="F62" s="90"/>
      <c r="G62" s="201">
        <v>10017.18</v>
      </c>
    </row>
    <row r="63" spans="1:12" ht="15.75" thickBot="1" x14ac:dyDescent="0.3">
      <c r="A63" s="90"/>
      <c r="B63" s="90"/>
      <c r="C63" s="90"/>
      <c r="D63" s="90" t="s">
        <v>114</v>
      </c>
      <c r="E63" s="90"/>
      <c r="F63" s="90"/>
      <c r="G63" s="200">
        <f>ROUND(SUM(G34:G40)+SUM(G46:G52)+SUM(G56:G62),5)</f>
        <v>211176.23</v>
      </c>
    </row>
    <row r="64" spans="1:12" x14ac:dyDescent="0.25">
      <c r="A64" s="90"/>
      <c r="B64" s="90" t="s">
        <v>115</v>
      </c>
      <c r="C64" s="90"/>
      <c r="D64" s="90"/>
      <c r="E64" s="90"/>
      <c r="F64" s="90"/>
      <c r="G64" s="195">
        <f>ROUND(G2+G33-G63,5)</f>
        <v>190163.01</v>
      </c>
    </row>
    <row r="65" spans="1:13" x14ac:dyDescent="0.25">
      <c r="A65" s="90"/>
      <c r="B65" s="90" t="s">
        <v>116</v>
      </c>
      <c r="C65" s="90"/>
      <c r="D65" s="90"/>
      <c r="E65" s="90"/>
      <c r="F65" s="90"/>
      <c r="G65" s="195"/>
    </row>
    <row r="66" spans="1:13" x14ac:dyDescent="0.25">
      <c r="A66" s="90"/>
      <c r="B66" s="90"/>
      <c r="C66" s="90" t="s">
        <v>117</v>
      </c>
      <c r="D66" s="90"/>
      <c r="E66" s="90"/>
      <c r="F66" s="90"/>
      <c r="G66" s="195"/>
    </row>
    <row r="67" spans="1:13" ht="15.75" thickBot="1" x14ac:dyDescent="0.3">
      <c r="A67" s="90"/>
      <c r="B67" s="90"/>
      <c r="C67" s="90"/>
      <c r="D67" s="90" t="s">
        <v>117</v>
      </c>
      <c r="E67" s="90"/>
      <c r="F67" s="90"/>
      <c r="G67" s="196">
        <v>-7000</v>
      </c>
    </row>
    <row r="68" spans="1:13" x14ac:dyDescent="0.25">
      <c r="A68" s="90"/>
      <c r="B68" s="90"/>
      <c r="C68" s="90" t="s">
        <v>118</v>
      </c>
      <c r="D68" s="90"/>
      <c r="E68" s="90"/>
      <c r="F68" s="90"/>
      <c r="G68" s="195">
        <f>ROUND(SUM(G66:G67),5)</f>
        <v>-7000</v>
      </c>
    </row>
    <row r="69" spans="1:13" x14ac:dyDescent="0.25">
      <c r="A69" s="90"/>
      <c r="B69" s="90"/>
      <c r="C69" s="90" t="s">
        <v>119</v>
      </c>
      <c r="D69" s="90"/>
      <c r="E69" s="90"/>
      <c r="F69" s="90"/>
      <c r="G69" s="195"/>
    </row>
    <row r="70" spans="1:13" ht="15.75" thickBot="1" x14ac:dyDescent="0.3">
      <c r="A70" s="90"/>
      <c r="B70" s="90"/>
      <c r="C70" s="90"/>
      <c r="D70" s="90" t="s">
        <v>121</v>
      </c>
      <c r="E70" s="90"/>
      <c r="F70" s="90"/>
      <c r="G70" s="201">
        <v>36340.9</v>
      </c>
    </row>
    <row r="71" spans="1:13" ht="15.75" thickBot="1" x14ac:dyDescent="0.3">
      <c r="A71" s="90"/>
      <c r="B71" s="90"/>
      <c r="C71" s="90" t="s">
        <v>123</v>
      </c>
      <c r="D71" s="90"/>
      <c r="E71" s="90"/>
      <c r="F71" s="90"/>
      <c r="G71" s="199">
        <f>ROUND(SUM(G69:G70),5)</f>
        <v>36340.9</v>
      </c>
    </row>
    <row r="72" spans="1:13" ht="15.75" thickBot="1" x14ac:dyDescent="0.3">
      <c r="A72" s="90"/>
      <c r="B72" s="90" t="s">
        <v>124</v>
      </c>
      <c r="C72" s="90"/>
      <c r="D72" s="90"/>
      <c r="E72" s="90"/>
      <c r="F72" s="90"/>
      <c r="G72" s="199">
        <f>ROUND(G65+G68-G71,5)</f>
        <v>-43340.9</v>
      </c>
    </row>
    <row r="73" spans="1:13" ht="15.75" thickBot="1" x14ac:dyDescent="0.3">
      <c r="A73" s="90" t="s">
        <v>125</v>
      </c>
      <c r="B73" s="90"/>
      <c r="C73" s="90"/>
      <c r="D73" s="90"/>
      <c r="E73" s="90"/>
      <c r="F73" s="90"/>
      <c r="G73" s="202">
        <f>ROUND(G64+G72,5)</f>
        <v>146822.10999999999</v>
      </c>
    </row>
    <row r="74" spans="1:13" ht="15.75" thickTop="1" x14ac:dyDescent="0.25"/>
    <row r="75" spans="1:13" x14ac:dyDescent="0.25">
      <c r="G75" s="203">
        <f>+'KPM-LA'!H25*1000-'P3'!G73</f>
        <v>0</v>
      </c>
    </row>
    <row r="77" spans="1:13" s="97" customFormat="1" x14ac:dyDescent="0.25">
      <c r="A77" s="98"/>
      <c r="B77" s="98"/>
      <c r="C77" s="98"/>
      <c r="D77" s="98"/>
      <c r="E77" s="98"/>
      <c r="F77" s="98"/>
      <c r="G77" s="203"/>
      <c r="M77" s="19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7</vt:i4>
      </vt:variant>
    </vt:vector>
  </HeadingPairs>
  <TitlesOfParts>
    <vt:vector size="24" baseType="lpstr">
      <vt:lpstr>KPM-LA</vt:lpstr>
      <vt:lpstr>P10</vt:lpstr>
      <vt:lpstr>P9</vt:lpstr>
      <vt:lpstr>P8</vt:lpstr>
      <vt:lpstr>P7</vt:lpstr>
      <vt:lpstr>P6</vt:lpstr>
      <vt:lpstr>P5</vt:lpstr>
      <vt:lpstr>P4</vt:lpstr>
      <vt:lpstr>P3</vt:lpstr>
      <vt:lpstr>P2</vt:lpstr>
      <vt:lpstr>P1</vt:lpstr>
      <vt:lpstr>Jan 30 - Feb 26qb</vt:lpstr>
      <vt:lpstr>2Jan-29Jan-QB extract-16thMar </vt:lpstr>
      <vt:lpstr>Summary-LA</vt:lpstr>
      <vt:lpstr>P&amp;L'13 LA</vt:lpstr>
      <vt:lpstr>Appportionment Basis-Common cos</vt:lpstr>
      <vt:lpstr>Mail from Sam</vt:lpstr>
      <vt:lpstr>'2Jan-29Jan-QB extract-16thMar '!Print_Titles</vt:lpstr>
      <vt:lpstr>'Jan 30 - Feb 26qb'!Print_Titles</vt:lpstr>
      <vt:lpstr>'P10'!Print_Titles</vt:lpstr>
      <vt:lpstr>'P5'!Print_Titles</vt:lpstr>
      <vt:lpstr>'P6'!Print_Titles</vt:lpstr>
      <vt:lpstr>'P7'!Print_Titles</vt:lpstr>
      <vt:lpstr>'P9'!Print_Titles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Edward Gawlik</dc:creator>
  <cp:lastModifiedBy>Chathurangani</cp:lastModifiedBy>
  <cp:lastPrinted>2016-01-12T23:38:15Z</cp:lastPrinted>
  <dcterms:created xsi:type="dcterms:W3CDTF">2012-12-13T14:40:52Z</dcterms:created>
  <dcterms:modified xsi:type="dcterms:W3CDTF">2016-11-22T06:09:11Z</dcterms:modified>
</cp:coreProperties>
</file>