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4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5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rts\KPM\STF\"/>
    </mc:Choice>
  </mc:AlternateContent>
  <bookViews>
    <workbookView xWindow="0" yWindow="495" windowWidth="19155" windowHeight="7590" tabRatio="703" firstSheet="1" activeTab="1"/>
  </bookViews>
  <sheets>
    <sheet name="KPM-Thai" sheetId="1" state="hidden" r:id="rId1"/>
    <sheet name="KPM Thai update 2015 " sheetId="6" r:id="rId2"/>
    <sheet name="STF 10" sheetId="37" r:id="rId3"/>
    <sheet name="STF P9" sheetId="36" r:id="rId4"/>
    <sheet name="STFP8" sheetId="35" r:id="rId5"/>
    <sheet name="STFP7" sheetId="34" r:id="rId6"/>
    <sheet name="STF P6" sheetId="33" r:id="rId7"/>
    <sheet name="STF P5" sheetId="32" r:id="rId8"/>
    <sheet name="STF P4" sheetId="31" r:id="rId9"/>
    <sheet name="STF P3" sheetId="30" r:id="rId10"/>
    <sheet name="STF P2" sheetId="29" r:id="rId11"/>
    <sheet name="STF P1" sheetId="28" r:id="rId12"/>
    <sheet name="KPM Thai update 2014 " sheetId="24" state="hidden" r:id="rId13"/>
    <sheet name="Sheet1" sheetId="27" state="hidden" r:id="rId14"/>
    <sheet name="Summary Thai" sheetId="2" state="hidden" r:id="rId15"/>
    <sheet name="P&amp;L'13 Thai" sheetId="3" state="hidden" r:id="rId16"/>
    <sheet name="P&amp;L Thai'13 update 27.1.14" sheetId="4" state="hidden" r:id="rId17"/>
    <sheet name="Summary Thai update 27.1.14" sheetId="5" state="hidden" r:id="rId18"/>
    <sheet name="Appportionment Basis-Common cos" sheetId="25" state="hidden" r:id="rId19"/>
  </sheets>
  <externalReferences>
    <externalReference r:id="rId20"/>
  </externalReferences>
  <definedNames>
    <definedName name="_xlnm.Print_Titles" localSheetId="2">'STF 10'!$A:$H,'STF 10'!$1:$2</definedName>
    <definedName name="_xlnm.Print_Titles" localSheetId="6">'STF P6'!$A:$H,'STF P6'!$1:$1</definedName>
    <definedName name="_xlnm.Print_Titles" localSheetId="3">'STF P9'!$A:$H,'STF P9'!$1:$2</definedName>
    <definedName name="_xlnm.Print_Titles" localSheetId="5">STFP7!$A:$H,STFP7!$1:$1</definedName>
    <definedName name="_xlnm.Print_Titles" localSheetId="4">STFP8!$A:$H,STFP8!$1:$1</definedName>
    <definedName name="QB_COLUMN_29" localSheetId="6" hidden="1">'STF P6'!$I$1</definedName>
    <definedName name="QB_COLUMN_29" localSheetId="5" hidden="1">STFP7!$I$1</definedName>
    <definedName name="QB_COLUMN_29" localSheetId="4" hidden="1">STFP8!$I$1</definedName>
    <definedName name="QB_COLUMN_59200" localSheetId="2" hidden="1">'STF 10'!$I$2</definedName>
    <definedName name="QB_COLUMN_59200" localSheetId="3" hidden="1">'STF P9'!$I$2</definedName>
    <definedName name="QB_COLUMN_60210" localSheetId="2" hidden="1">'STF 10'!#REF!</definedName>
    <definedName name="QB_COLUMN_60210" localSheetId="3" hidden="1">'STF P9'!#REF!</definedName>
    <definedName name="QB_DATA_0" localSheetId="2" hidden="1">'STF 10'!$6:$6,'STF 10'!$7:$7,'STF 10'!$8:$8,'STF 10'!$9:$9,'STF 10'!$10:$10,'STF 10'!$16:$16,'STF 10'!$18:$18,'STF 10'!$19:$19,'STF 10'!$21:$21,'STF 10'!$22:$22,'STF 10'!$23:$23,'STF 10'!$24:$24,'STF 10'!$25:$25,'STF 10'!$27:$27,'STF 10'!$35:$35,'STF 10'!$36:$36</definedName>
    <definedName name="QB_DATA_0" localSheetId="6" hidden="1">'STF P6'!$5:$5,'STF P6'!$6:$6,'STF P6'!$7:$7,'STF P6'!$8:$8,'STF P6'!$14:$14,'STF P6'!$16:$16,'STF P6'!$17:$17,'STF P6'!$19:$19,'STF P6'!$20:$20,'STF P6'!$21:$21,'STF P6'!$22:$22,'STF P6'!$31:$31,'STF P6'!$32:$32,'STF P6'!$33:$33,'STF P6'!$36:$36,'STF P6'!$39:$39</definedName>
    <definedName name="QB_DATA_0" localSheetId="3" hidden="1">'STF P9'!$6:$6,'STF P9'!$7:$7,'STF P9'!$8:$8,'STF P9'!$9:$9,'STF P9'!$10:$10,'STF P9'!$16:$16,'STF P9'!$18:$18,'STF P9'!$19:$19,'STF P9'!$21:$21,'STF P9'!$22:$22,'STF P9'!$23:$23,'STF P9'!$24:$24,'STF P9'!$25:$25,'STF P9'!$27:$27,'STF P9'!$35:$35,'STF P9'!$36:$36</definedName>
    <definedName name="QB_DATA_0" localSheetId="5" hidden="1">STFP7!$5:$5,STFP7!$6:$6,STFP7!$7:$7,STFP7!$8:$8,STFP7!$14:$14,STFP7!$16:$16,STFP7!$17:$17,STFP7!$18:$18,STFP7!$20:$20,STFP7!$21:$21,STFP7!$22:$22,STFP7!$23:$23,STFP7!$32:$32,STFP7!$33:$33,STFP7!$34:$34,STFP7!$35:$35</definedName>
    <definedName name="QB_DATA_0" localSheetId="4" hidden="1">STFP8!$5:$5,STFP8!$6:$6,STFP8!$7:$7,STFP8!$8:$8,STFP8!$9:$9,STFP8!$15:$15,STFP8!$17:$17,STFP8!$18:$18,STFP8!$20:$20,STFP8!$21:$21,STFP8!$22:$22,STFP8!$23:$23,STFP8!$24:$24,STFP8!$33:$33,STFP8!$34:$34,STFP8!$35:$35</definedName>
    <definedName name="QB_DATA_1" localSheetId="2" hidden="1">'STF 10'!$37:$37,'STF 10'!$38:$38,'STF 10'!$39:$39,'STF 10'!$42:$42,'STF 10'!$43:$43,'STF 10'!$46:$46,'STF 10'!$47:$47,'STF 10'!$48:$48,'STF 10'!$51:$51,'STF 10'!$52:$52,'STF 10'!$55:$55,'STF 10'!$56:$56,'STF 10'!$57:$57,'STF 10'!$58:$58,'STF 10'!$61:$61,'STF 10'!$62:$62</definedName>
    <definedName name="QB_DATA_1" localSheetId="6" hidden="1">'STF P6'!$40:$40,'STF P6'!$41:$41,'STF P6'!$44:$44,'STF P6'!$45:$45,'STF P6'!$48:$48,'STF P6'!$51:$51,'STF P6'!$52:$52,'STF P6'!$56:$56,'STF P6'!$64:$64</definedName>
    <definedName name="QB_DATA_1" localSheetId="3" hidden="1">'STF P9'!$37:$37,'STF P9'!$38:$38,'STF P9'!$39:$39,'STF P9'!$42:$42,'STF P9'!$43:$43,'STF P9'!$46:$46,'STF P9'!$47:$47,'STF P9'!$48:$48,'STF P9'!$51:$51,'STF P9'!$52:$52,'STF P9'!$55:$55,'STF P9'!$56:$56,'STF P9'!$57:$57,'STF P9'!$58:$58,'STF P9'!$61:$61,'STF P9'!$62:$62</definedName>
    <definedName name="QB_DATA_1" localSheetId="5" hidden="1">STFP7!$38:$38,STFP7!$39:$39,STFP7!$42:$42,STFP7!$43:$43,STFP7!$44:$44,STFP7!$47:$47,STFP7!$50:$50,STFP7!$51:$51,STFP7!$52:$52,STFP7!$55:$55,STFP7!$58:$58,STFP7!$59:$59,STFP7!$60:$60,STFP7!$64:$64</definedName>
    <definedName name="QB_DATA_1" localSheetId="4" hidden="1">STFP8!$36:$36,STFP8!$39:$39,STFP8!$40:$40,STFP8!$43:$43,STFP8!$44:$44,STFP8!$45:$45,STFP8!$48:$48,STFP8!$49:$49,STFP8!$50:$50,STFP8!$53:$53,STFP8!$54:$54,STFP8!$57:$57,STFP8!$58:$58,STFP8!$62:$62,STFP8!$65:$65</definedName>
    <definedName name="QB_DATA_2" localSheetId="2" hidden="1">'STF 10'!$63:$63,'STF 10'!$66:$66,'STF 10'!$67:$67,'STF 10'!$68:$68,'STF 10'!$72:$72,'STF 10'!$75:$75,'STF 10'!$76:$76</definedName>
    <definedName name="QB_DATA_2" localSheetId="3" hidden="1">'STF P9'!$63:$63,'STF P9'!$66:$66,'STF P9'!$67:$67,'STF P9'!$68:$68,'STF P9'!$72:$72,'STF P9'!$75:$75,'STF P9'!$76:$76</definedName>
    <definedName name="QB_FORMULA_0" localSheetId="2" hidden="1">'STF 10'!$I$11,'STF 10'!#REF!,'STF 10'!$I$12,'STF 10'!#REF!,'STF 10'!$I$20,'STF 10'!#REF!,'STF 10'!$I$26,'STF 10'!#REF!,'STF 10'!$I$28,'STF 10'!#REF!,'STF 10'!$I$29,'STF 10'!#REF!,'STF 10'!$I$30,'STF 10'!#REF!,'STF 10'!$I$40,'STF 10'!#REF!</definedName>
    <definedName name="QB_FORMULA_0" localSheetId="6" hidden="1">'STF P6'!$I$9,'STF P6'!$I$10,'STF P6'!$I$18,'STF P6'!$I$23,'STF P6'!$I$24,'STF P6'!$I$25,'STF P6'!$I$26,'STF P6'!$I$34,'STF P6'!$I$37,'STF P6'!$I$42,'STF P6'!$I$46,'STF P6'!$I$49,'STF P6'!$I$53,'STF P6'!$I$54,'STF P6'!$I$57,'STF P6'!$I$58</definedName>
    <definedName name="QB_FORMULA_0" localSheetId="3" hidden="1">'STF P9'!$I$11,'STF P9'!#REF!,'STF P9'!$I$12,'STF P9'!#REF!,'STF P9'!$I$20,'STF P9'!#REF!,'STF P9'!$I$26,'STF P9'!#REF!,'STF P9'!$I$28,'STF P9'!#REF!,'STF P9'!$I$29,'STF P9'!#REF!,'STF P9'!$I$30,'STF P9'!#REF!,'STF P9'!$I$40,'STF P9'!#REF!</definedName>
    <definedName name="QB_FORMULA_0" localSheetId="5" hidden="1">STFP7!$I$9,STFP7!$I$10,STFP7!$I$19,STFP7!$I$24,STFP7!$I$25,STFP7!$I$26,STFP7!$I$27,STFP7!$I$36,STFP7!$I$40,STFP7!$I$45,STFP7!$I$48,STFP7!$I$53,STFP7!$I$56,STFP7!$I$61,STFP7!$I$62,STFP7!$I$65</definedName>
    <definedName name="QB_FORMULA_0" localSheetId="4" hidden="1">STFP8!$I$10,STFP8!$I$11,STFP8!$I$19,STFP8!$I$25,STFP8!$I$26,STFP8!$I$27,STFP8!$I$28,STFP8!$I$37,STFP8!$I$41,STFP8!$I$46,STFP8!$I$51,STFP8!$I$55,STFP8!$I$59,STFP8!$I$60,STFP8!$I$63,STFP8!$I$66</definedName>
    <definedName name="QB_FORMULA_1" localSheetId="2" hidden="1">'STF 10'!$I$44,'STF 10'!#REF!,'STF 10'!$I$49,'STF 10'!#REF!,'STF 10'!$I$53,'STF 10'!#REF!,'STF 10'!$I$59,'STF 10'!#REF!,'STF 10'!$I$64,'STF 10'!#REF!,'STF 10'!$I$69,'STF 10'!#REF!,'STF 10'!$I$70,'STF 10'!#REF!,'STF 10'!$I$73,'STF 10'!#REF!</definedName>
    <definedName name="QB_FORMULA_1" localSheetId="6" hidden="1">'STF P6'!$I$59,'STF P6'!$I$60,'STF P6'!$I$65,'STF P6'!$I$66,'STF P6'!$I$67,'STF P6'!$I$68</definedName>
    <definedName name="QB_FORMULA_1" localSheetId="3" hidden="1">'STF P9'!$I$44,'STF P9'!#REF!,'STF P9'!$I$49,'STF P9'!#REF!,'STF P9'!$I$53,'STF P9'!#REF!,'STF P9'!$I$59,'STF P9'!#REF!,'STF P9'!$I$64,'STF P9'!#REF!,'STF P9'!$I$69,'STF P9'!#REF!,'STF P9'!$I$70,'STF P9'!#REF!,'STF P9'!$I$73,'STF P9'!#REF!</definedName>
    <definedName name="QB_FORMULA_1" localSheetId="5" hidden="1">STFP7!$I$66,STFP7!$I$67,STFP7!$I$68,STFP7!$I$69</definedName>
    <definedName name="QB_FORMULA_1" localSheetId="4" hidden="1">STFP8!$I$67,STFP8!$I$68,STFP8!$I$69,STFP8!$I$70</definedName>
    <definedName name="QB_FORMULA_2" localSheetId="2" hidden="1">'STF 10'!$I$77,'STF 10'!#REF!,'STF 10'!$I$78,'STF 10'!#REF!,'STF 10'!$I$79,'STF 10'!#REF!,'STF 10'!$I$80,'STF 10'!#REF!,'STF 10'!$I$81,'STF 10'!#REF!</definedName>
    <definedName name="QB_FORMULA_2" localSheetId="3" hidden="1">'STF P9'!$I$77,'STF P9'!#REF!,'STF P9'!$I$78,'STF P9'!#REF!,'STF P9'!$I$79,'STF P9'!#REF!,'STF P9'!$I$80,'STF P9'!#REF!,'STF P9'!$I$81,'STF P9'!#REF!</definedName>
    <definedName name="QB_ROW_102040" localSheetId="2" hidden="1">'STF 10'!$E$5</definedName>
    <definedName name="QB_ROW_102040" localSheetId="6" hidden="1">'STF P6'!$E$4</definedName>
    <definedName name="QB_ROW_102040" localSheetId="3" hidden="1">'STF P9'!$E$5</definedName>
    <definedName name="QB_ROW_102040" localSheetId="5" hidden="1">STFP7!$E$4</definedName>
    <definedName name="QB_ROW_102040" localSheetId="4" hidden="1">STFP8!$E$4</definedName>
    <definedName name="QB_ROW_102250" localSheetId="2" hidden="1">'STF 10'!$F$10</definedName>
    <definedName name="QB_ROW_102250" localSheetId="3" hidden="1">'STF P9'!$F$10</definedName>
    <definedName name="QB_ROW_102250" localSheetId="4" hidden="1">STFP8!$F$9</definedName>
    <definedName name="QB_ROW_102340" localSheetId="2" hidden="1">'STF 10'!$E$11</definedName>
    <definedName name="QB_ROW_102340" localSheetId="6" hidden="1">'STF P6'!$E$9</definedName>
    <definedName name="QB_ROW_102340" localSheetId="3" hidden="1">'STF P9'!$E$11</definedName>
    <definedName name="QB_ROW_102340" localSheetId="5" hidden="1">STFP7!$E$9</definedName>
    <definedName name="QB_ROW_102340" localSheetId="4" hidden="1">STFP8!$E$10</definedName>
    <definedName name="QB_ROW_10260" localSheetId="2" hidden="1">'STF 10'!$G$75</definedName>
    <definedName name="QB_ROW_10260" localSheetId="6" hidden="1">'STF P6'!$G$56</definedName>
    <definedName name="QB_ROW_10260" localSheetId="3" hidden="1">'STF P9'!$G$75</definedName>
    <definedName name="QB_ROW_10260" localSheetId="5" hidden="1">STFP7!$G$64</definedName>
    <definedName name="QB_ROW_10260" localSheetId="4" hidden="1">STFP8!$G$65</definedName>
    <definedName name="QB_ROW_103250" localSheetId="2" hidden="1">'STF 10'!$F$6</definedName>
    <definedName name="QB_ROW_103250" localSheetId="6" hidden="1">'STF P6'!$F$5</definedName>
    <definedName name="QB_ROW_103250" localSheetId="3" hidden="1">'STF P9'!$F$6</definedName>
    <definedName name="QB_ROW_103250" localSheetId="5" hidden="1">STFP7!$F$5</definedName>
    <definedName name="QB_ROW_103250" localSheetId="4" hidden="1">STFP8!$F$5</definedName>
    <definedName name="QB_ROW_105040" localSheetId="2" hidden="1">'STF 10'!$E$14</definedName>
    <definedName name="QB_ROW_105040" localSheetId="6" hidden="1">'STF P6'!$E$12</definedName>
    <definedName name="QB_ROW_105040" localSheetId="3" hidden="1">'STF P9'!$E$14</definedName>
    <definedName name="QB_ROW_105040" localSheetId="5" hidden="1">STFP7!$E$12</definedName>
    <definedName name="QB_ROW_105040" localSheetId="4" hidden="1">STFP8!$E$13</definedName>
    <definedName name="QB_ROW_105250" localSheetId="2" hidden="1">'STF 10'!$F$27</definedName>
    <definedName name="QB_ROW_105250" localSheetId="3" hidden="1">'STF P9'!$F$27</definedName>
    <definedName name="QB_ROW_105340" localSheetId="2" hidden="1">'STF 10'!$E$28</definedName>
    <definedName name="QB_ROW_105340" localSheetId="6" hidden="1">'STF P6'!$E$24</definedName>
    <definedName name="QB_ROW_105340" localSheetId="3" hidden="1">'STF P9'!$E$28</definedName>
    <definedName name="QB_ROW_105340" localSheetId="5" hidden="1">STFP7!$E$25</definedName>
    <definedName name="QB_ROW_105340" localSheetId="4" hidden="1">STFP8!$E$26</definedName>
    <definedName name="QB_ROW_106050" localSheetId="2" hidden="1">'STF 10'!$F$15</definedName>
    <definedName name="QB_ROW_106050" localSheetId="6" hidden="1">'STF P6'!$F$13</definedName>
    <definedName name="QB_ROW_106050" localSheetId="3" hidden="1">'STF P9'!$F$15</definedName>
    <definedName name="QB_ROW_106050" localSheetId="5" hidden="1">STFP7!$F$13</definedName>
    <definedName name="QB_ROW_106050" localSheetId="4" hidden="1">STFP8!$F$14</definedName>
    <definedName name="QB_ROW_106350" localSheetId="2" hidden="1">'STF 10'!$F$26</definedName>
    <definedName name="QB_ROW_106350" localSheetId="6" hidden="1">'STF P6'!$F$23</definedName>
    <definedName name="QB_ROW_106350" localSheetId="3" hidden="1">'STF P9'!$F$26</definedName>
    <definedName name="QB_ROW_106350" localSheetId="5" hidden="1">STFP7!$F$24</definedName>
    <definedName name="QB_ROW_106350" localSheetId="4" hidden="1">STFP8!$F$25</definedName>
    <definedName name="QB_ROW_107260" localSheetId="2" hidden="1">'STF 10'!$G$16</definedName>
    <definedName name="QB_ROW_107260" localSheetId="6" hidden="1">'STF P6'!$G$14</definedName>
    <definedName name="QB_ROW_107260" localSheetId="3" hidden="1">'STF P9'!$G$16</definedName>
    <definedName name="QB_ROW_107260" localSheetId="5" hidden="1">STFP7!$G$14</definedName>
    <definedName name="QB_ROW_107260" localSheetId="4" hidden="1">STFP8!$G$15</definedName>
    <definedName name="QB_ROW_108260" localSheetId="2" hidden="1">'STF 10'!$G$21</definedName>
    <definedName name="QB_ROW_108260" localSheetId="6" hidden="1">'STF P6'!$G$19</definedName>
    <definedName name="QB_ROW_108260" localSheetId="3" hidden="1">'STF P9'!$G$21</definedName>
    <definedName name="QB_ROW_108260" localSheetId="5" hidden="1">STFP7!$G$20</definedName>
    <definedName name="QB_ROW_108260" localSheetId="4" hidden="1">STFP8!$G$20</definedName>
    <definedName name="QB_ROW_111260" localSheetId="2" hidden="1">'STF 10'!$G$24</definedName>
    <definedName name="QB_ROW_111260" localSheetId="6" hidden="1">'STF P6'!$G$21</definedName>
    <definedName name="QB_ROW_111260" localSheetId="3" hidden="1">'STF P9'!$G$24</definedName>
    <definedName name="QB_ROW_111260" localSheetId="5" hidden="1">STFP7!$G$22</definedName>
    <definedName name="QB_ROW_111260" localSheetId="4" hidden="1">STFP8!$G$23</definedName>
    <definedName name="QB_ROW_112270" localSheetId="5" hidden="1">STFP7!$H$17</definedName>
    <definedName name="QB_ROW_115260" localSheetId="2" hidden="1">'STF 10'!$G$23</definedName>
    <definedName name="QB_ROW_115260" localSheetId="6" hidden="1">'STF P6'!$G$20</definedName>
    <definedName name="QB_ROW_115260" localSheetId="3" hidden="1">'STF P9'!$G$23</definedName>
    <definedName name="QB_ROW_115260" localSheetId="5" hidden="1">STFP7!$G$21</definedName>
    <definedName name="QB_ROW_115260" localSheetId="4" hidden="1">STFP8!$G$22</definedName>
    <definedName name="QB_ROW_116260" localSheetId="2" hidden="1">'STF 10'!$G$25</definedName>
    <definedName name="QB_ROW_116260" localSheetId="6" hidden="1">'STF P6'!$G$22</definedName>
    <definedName name="QB_ROW_116260" localSheetId="3" hidden="1">'STF P9'!$G$25</definedName>
    <definedName name="QB_ROW_116260" localSheetId="5" hidden="1">STFP7!$G$23</definedName>
    <definedName name="QB_ROW_116260" localSheetId="4" hidden="1">STFP8!$G$24</definedName>
    <definedName name="QB_ROW_119270" localSheetId="2" hidden="1">'STF 10'!$H$46</definedName>
    <definedName name="QB_ROW_119270" localSheetId="6" hidden="1">'STF P6'!$H$39</definedName>
    <definedName name="QB_ROW_119270" localSheetId="3" hidden="1">'STF P9'!$H$46</definedName>
    <definedName name="QB_ROW_119270" localSheetId="5" hidden="1">STFP7!$H$42</definedName>
    <definedName name="QB_ROW_119270" localSheetId="4" hidden="1">STFP8!$H$43</definedName>
    <definedName name="QB_ROW_120270" localSheetId="2" hidden="1">'STF 10'!$H$48</definedName>
    <definedName name="QB_ROW_120270" localSheetId="6" hidden="1">'STF P6'!$H$41</definedName>
    <definedName name="QB_ROW_120270" localSheetId="3" hidden="1">'STF P9'!$H$48</definedName>
    <definedName name="QB_ROW_120270" localSheetId="5" hidden="1">STFP7!$H$44</definedName>
    <definedName name="QB_ROW_120270" localSheetId="4" hidden="1">STFP8!$H$45</definedName>
    <definedName name="QB_ROW_12270" localSheetId="2" hidden="1">'STF 10'!$H$61</definedName>
    <definedName name="QB_ROW_12270" localSheetId="6" hidden="1">'STF P6'!$H$48</definedName>
    <definedName name="QB_ROW_12270" localSheetId="3" hidden="1">'STF P9'!$H$61</definedName>
    <definedName name="QB_ROW_12270" localSheetId="5" hidden="1">STFP7!$H$55</definedName>
    <definedName name="QB_ROW_12270" localSheetId="4" hidden="1">STFP8!$H$53</definedName>
    <definedName name="QB_ROW_123270" localSheetId="2" hidden="1">'STF 10'!$H$47</definedName>
    <definedName name="QB_ROW_123270" localSheetId="6" hidden="1">'STF P6'!$H$40</definedName>
    <definedName name="QB_ROW_123270" localSheetId="3" hidden="1">'STF P9'!$H$47</definedName>
    <definedName name="QB_ROW_123270" localSheetId="5" hidden="1">STFP7!$H$43</definedName>
    <definedName name="QB_ROW_123270" localSheetId="4" hidden="1">STFP8!$H$44</definedName>
    <definedName name="QB_ROW_125270" localSheetId="2" hidden="1">'STF 10'!$H$43</definedName>
    <definedName name="QB_ROW_125270" localSheetId="3" hidden="1">'STF P9'!$H$43</definedName>
    <definedName name="QB_ROW_125270" localSheetId="5" hidden="1">STFP7!$H$39</definedName>
    <definedName name="QB_ROW_125270" localSheetId="4" hidden="1">STFP8!$H$40</definedName>
    <definedName name="QB_ROW_127250" localSheetId="2" hidden="1">'STF 10'!$F$9</definedName>
    <definedName name="QB_ROW_127250" localSheetId="6" hidden="1">'STF P6'!$F$8</definedName>
    <definedName name="QB_ROW_127250" localSheetId="3" hidden="1">'STF P9'!$F$9</definedName>
    <definedName name="QB_ROW_127250" localSheetId="5" hidden="1">STFP7!$F$8</definedName>
    <definedName name="QB_ROW_127250" localSheetId="4" hidden="1">STFP8!$F$8</definedName>
    <definedName name="QB_ROW_128270" localSheetId="2" hidden="1">'STF 10'!$H$18</definedName>
    <definedName name="QB_ROW_128270" localSheetId="6" hidden="1">'STF P6'!$H$16</definedName>
    <definedName name="QB_ROW_128270" localSheetId="3" hidden="1">'STF P9'!$H$18</definedName>
    <definedName name="QB_ROW_128270" localSheetId="5" hidden="1">STFP7!$H$16</definedName>
    <definedName name="QB_ROW_128270" localSheetId="4" hidden="1">STFP8!$H$17</definedName>
    <definedName name="QB_ROW_129270" localSheetId="2" hidden="1">'STF 10'!$H$57</definedName>
    <definedName name="QB_ROW_129270" localSheetId="3" hidden="1">'STF P9'!$H$57</definedName>
    <definedName name="QB_ROW_131270" localSheetId="5" hidden="1">STFP7!$H$34</definedName>
    <definedName name="QB_ROW_139060" localSheetId="2" hidden="1">'STF 10'!$G$17</definedName>
    <definedName name="QB_ROW_139060" localSheetId="6" hidden="1">'STF P6'!$G$15</definedName>
    <definedName name="QB_ROW_139060" localSheetId="3" hidden="1">'STF P9'!$G$17</definedName>
    <definedName name="QB_ROW_139060" localSheetId="5" hidden="1">STFP7!$G$15</definedName>
    <definedName name="QB_ROW_139060" localSheetId="4" hidden="1">STFP8!$G$16</definedName>
    <definedName name="QB_ROW_139360" localSheetId="2" hidden="1">'STF 10'!$G$20</definedName>
    <definedName name="QB_ROW_139360" localSheetId="6" hidden="1">'STF P6'!$G$18</definedName>
    <definedName name="QB_ROW_139360" localSheetId="3" hidden="1">'STF P9'!$G$20</definedName>
    <definedName name="QB_ROW_139360" localSheetId="5" hidden="1">STFP7!$G$19</definedName>
    <definedName name="QB_ROW_139360" localSheetId="4" hidden="1">STFP8!$G$19</definedName>
    <definedName name="QB_ROW_140270" localSheetId="2" hidden="1">'STF 10'!$H$58</definedName>
    <definedName name="QB_ROW_140270" localSheetId="6" hidden="1">'STF P6'!$H$45</definedName>
    <definedName name="QB_ROW_140270" localSheetId="3" hidden="1">'STF P9'!$H$58</definedName>
    <definedName name="QB_ROW_140270" localSheetId="5" hidden="1">STFP7!$H$52</definedName>
    <definedName name="QB_ROW_140270" localSheetId="4" hidden="1">STFP8!$H$50</definedName>
    <definedName name="QB_ROW_142260" localSheetId="2" hidden="1">'STF 10'!$G$22</definedName>
    <definedName name="QB_ROW_142260" localSheetId="3" hidden="1">'STF P9'!$G$22</definedName>
    <definedName name="QB_ROW_142260" localSheetId="4" hidden="1">STFP8!$G$21</definedName>
    <definedName name="QB_ROW_14260" localSheetId="2" hidden="1">'STF 10'!$G$72</definedName>
    <definedName name="QB_ROW_14260" localSheetId="3" hidden="1">'STF P9'!$G$72</definedName>
    <definedName name="QB_ROW_14260" localSheetId="4" hidden="1">STFP8!$G$62</definedName>
    <definedName name="QB_ROW_147270" localSheetId="2" hidden="1">'STF 10'!$H$68</definedName>
    <definedName name="QB_ROW_147270" localSheetId="6" hidden="1">'STF P6'!$H$52</definedName>
    <definedName name="QB_ROW_147270" localSheetId="3" hidden="1">'STF P9'!$H$68</definedName>
    <definedName name="QB_ROW_147270" localSheetId="5" hidden="1">STFP7!$H$60</definedName>
    <definedName name="QB_ROW_147270" localSheetId="4" hidden="1">STFP8!$H$58</definedName>
    <definedName name="QB_ROW_148270" localSheetId="2" hidden="1">'STF 10'!$H$19</definedName>
    <definedName name="QB_ROW_148270" localSheetId="6" hidden="1">'STF P6'!$H$17</definedName>
    <definedName name="QB_ROW_148270" localSheetId="3" hidden="1">'STF P9'!$H$19</definedName>
    <definedName name="QB_ROW_148270" localSheetId="5" hidden="1">STFP7!$H$18</definedName>
    <definedName name="QB_ROW_148270" localSheetId="4" hidden="1">STFP8!$H$18</definedName>
    <definedName name="QB_ROW_168270" localSheetId="2" hidden="1">'STF 10'!$H$35</definedName>
    <definedName name="QB_ROW_168270" localSheetId="6" hidden="1">'STF P6'!$H$31</definedName>
    <definedName name="QB_ROW_168270" localSheetId="3" hidden="1">'STF P9'!$H$35</definedName>
    <definedName name="QB_ROW_168270" localSheetId="4" hidden="1">STFP8!$H$33</definedName>
    <definedName name="QB_ROW_169270" localSheetId="2" hidden="1">'STF 10'!$H$66</definedName>
    <definedName name="QB_ROW_169270" localSheetId="3" hidden="1">'STF P9'!$H$66</definedName>
    <definedName name="QB_ROW_169270" localSheetId="5" hidden="1">STFP7!$H$58</definedName>
    <definedName name="QB_ROW_171040" localSheetId="2" hidden="1">'STF 10'!$E$32</definedName>
    <definedName name="QB_ROW_171040" localSheetId="6" hidden="1">'STF P6'!$E$28</definedName>
    <definedName name="QB_ROW_171040" localSheetId="3" hidden="1">'STF P9'!$E$32</definedName>
    <definedName name="QB_ROW_171040" localSheetId="5" hidden="1">STFP7!$E$29</definedName>
    <definedName name="QB_ROW_171040" localSheetId="4" hidden="1">STFP8!$E$30</definedName>
    <definedName name="QB_ROW_171340" localSheetId="2" hidden="1">'STF 10'!$E$78</definedName>
    <definedName name="QB_ROW_171340" localSheetId="6" hidden="1">'STF P6'!$E$58</definedName>
    <definedName name="QB_ROW_171340" localSheetId="3" hidden="1">'STF P9'!$E$78</definedName>
    <definedName name="QB_ROW_171340" localSheetId="5" hidden="1">STFP7!$E$66</definedName>
    <definedName name="QB_ROW_171340" localSheetId="4" hidden="1">STFP8!$E$67</definedName>
    <definedName name="QB_ROW_172060" localSheetId="2" hidden="1">'STF 10'!$G$65</definedName>
    <definedName name="QB_ROW_172060" localSheetId="6" hidden="1">'STF P6'!$G$50</definedName>
    <definedName name="QB_ROW_172060" localSheetId="3" hidden="1">'STF P9'!$G$65</definedName>
    <definedName name="QB_ROW_172060" localSheetId="5" hidden="1">STFP7!$G$57</definedName>
    <definedName name="QB_ROW_172060" localSheetId="4" hidden="1">STFP8!$G$56</definedName>
    <definedName name="QB_ROW_172360" localSheetId="2" hidden="1">'STF 10'!$G$69</definedName>
    <definedName name="QB_ROW_172360" localSheetId="6" hidden="1">'STF P6'!$G$53</definedName>
    <definedName name="QB_ROW_172360" localSheetId="3" hidden="1">'STF P9'!$G$69</definedName>
    <definedName name="QB_ROW_172360" localSheetId="5" hidden="1">STFP7!$G$61</definedName>
    <definedName name="QB_ROW_172360" localSheetId="4" hidden="1">STFP8!$G$59</definedName>
    <definedName name="QB_ROW_173060" localSheetId="2" hidden="1">'STF 10'!$G$50</definedName>
    <definedName name="QB_ROW_173060" localSheetId="3" hidden="1">'STF P9'!$G$50</definedName>
    <definedName name="QB_ROW_173060" localSheetId="5" hidden="1">STFP7!$G$46</definedName>
    <definedName name="QB_ROW_173270" localSheetId="2" hidden="1">'STF 10'!$H$52</definedName>
    <definedName name="QB_ROW_173270" localSheetId="3" hidden="1">'STF P9'!$H$52</definedName>
    <definedName name="QB_ROW_173360" localSheetId="2" hidden="1">'STF 10'!$G$53</definedName>
    <definedName name="QB_ROW_173360" localSheetId="3" hidden="1">'STF P9'!$G$53</definedName>
    <definedName name="QB_ROW_173360" localSheetId="5" hidden="1">STFP7!$G$48</definedName>
    <definedName name="QB_ROW_174060" localSheetId="2" hidden="1">'STF 10'!$G$41</definedName>
    <definedName name="QB_ROW_174060" localSheetId="6" hidden="1">'STF P6'!$G$35</definedName>
    <definedName name="QB_ROW_174060" localSheetId="3" hidden="1">'STF P9'!$G$41</definedName>
    <definedName name="QB_ROW_174060" localSheetId="5" hidden="1">STFP7!$G$37</definedName>
    <definedName name="QB_ROW_174060" localSheetId="4" hidden="1">STFP8!$G$38</definedName>
    <definedName name="QB_ROW_174360" localSheetId="2" hidden="1">'STF 10'!$G$44</definedName>
    <definedName name="QB_ROW_174360" localSheetId="6" hidden="1">'STF P6'!$G$37</definedName>
    <definedName name="QB_ROW_174360" localSheetId="3" hidden="1">'STF P9'!$G$44</definedName>
    <definedName name="QB_ROW_174360" localSheetId="5" hidden="1">STFP7!$G$40</definedName>
    <definedName name="QB_ROW_174360" localSheetId="4" hidden="1">STFP8!$G$41</definedName>
    <definedName name="QB_ROW_175060" localSheetId="2" hidden="1">'STF 10'!$G$45</definedName>
    <definedName name="QB_ROW_175060" localSheetId="6" hidden="1">'STF P6'!$G$38</definedName>
    <definedName name="QB_ROW_175060" localSheetId="3" hidden="1">'STF P9'!$G$45</definedName>
    <definedName name="QB_ROW_175060" localSheetId="5" hidden="1">STFP7!$G$41</definedName>
    <definedName name="QB_ROW_175060" localSheetId="4" hidden="1">STFP8!$G$42</definedName>
    <definedName name="QB_ROW_175360" localSheetId="2" hidden="1">'STF 10'!$G$49</definedName>
    <definedName name="QB_ROW_175360" localSheetId="6" hidden="1">'STF P6'!$G$42</definedName>
    <definedName name="QB_ROW_175360" localSheetId="3" hidden="1">'STF P9'!$G$49</definedName>
    <definedName name="QB_ROW_175360" localSheetId="5" hidden="1">STFP7!$G$45</definedName>
    <definedName name="QB_ROW_175360" localSheetId="4" hidden="1">STFP8!$G$46</definedName>
    <definedName name="QB_ROW_176060" localSheetId="2" hidden="1">'STF 10'!$G$54</definedName>
    <definedName name="QB_ROW_176060" localSheetId="6" hidden="1">'STF P6'!$G$43</definedName>
    <definedName name="QB_ROW_176060" localSheetId="3" hidden="1">'STF P9'!$G$54</definedName>
    <definedName name="QB_ROW_176060" localSheetId="5" hidden="1">STFP7!$G$49</definedName>
    <definedName name="QB_ROW_176060" localSheetId="4" hidden="1">STFP8!$G$47</definedName>
    <definedName name="QB_ROW_176360" localSheetId="2" hidden="1">'STF 10'!$G$59</definedName>
    <definedName name="QB_ROW_176360" localSheetId="6" hidden="1">'STF P6'!$G$46</definedName>
    <definedName name="QB_ROW_176360" localSheetId="3" hidden="1">'STF P9'!$G$59</definedName>
    <definedName name="QB_ROW_176360" localSheetId="5" hidden="1">STFP7!$G$53</definedName>
    <definedName name="QB_ROW_176360" localSheetId="4" hidden="1">STFP8!$G$51</definedName>
    <definedName name="QB_ROW_177060" localSheetId="2" hidden="1">'STF 10'!$G$60</definedName>
    <definedName name="QB_ROW_177060" localSheetId="6" hidden="1">'STF P6'!$G$47</definedName>
    <definedName name="QB_ROW_177060" localSheetId="3" hidden="1">'STF P9'!$G$60</definedName>
    <definedName name="QB_ROW_177060" localSheetId="5" hidden="1">STFP7!$G$54</definedName>
    <definedName name="QB_ROW_177060" localSheetId="4" hidden="1">STFP8!$G$52</definedName>
    <definedName name="QB_ROW_177270" localSheetId="2" hidden="1">'STF 10'!$H$63</definedName>
    <definedName name="QB_ROW_177270" localSheetId="3" hidden="1">'STF P9'!$H$63</definedName>
    <definedName name="QB_ROW_177360" localSheetId="2" hidden="1">'STF 10'!$G$64</definedName>
    <definedName name="QB_ROW_177360" localSheetId="6" hidden="1">'STF P6'!$G$49</definedName>
    <definedName name="QB_ROW_177360" localSheetId="3" hidden="1">'STF P9'!$G$64</definedName>
    <definedName name="QB_ROW_177360" localSheetId="5" hidden="1">STFP7!$G$56</definedName>
    <definedName name="QB_ROW_177360" localSheetId="4" hidden="1">STFP8!$G$55</definedName>
    <definedName name="QB_ROW_178050" localSheetId="2" hidden="1">'STF 10'!$F$71</definedName>
    <definedName name="QB_ROW_178050" localSheetId="3" hidden="1">'STF P9'!$F$71</definedName>
    <definedName name="QB_ROW_178050" localSheetId="4" hidden="1">STFP8!$F$61</definedName>
    <definedName name="QB_ROW_178350" localSheetId="2" hidden="1">'STF 10'!$F$73</definedName>
    <definedName name="QB_ROW_178350" localSheetId="3" hidden="1">'STF P9'!$F$73</definedName>
    <definedName name="QB_ROW_178350" localSheetId="4" hidden="1">STFP8!$F$63</definedName>
    <definedName name="QB_ROW_179050" localSheetId="2" hidden="1">'STF 10'!$F$74</definedName>
    <definedName name="QB_ROW_179050" localSheetId="6" hidden="1">'STF P6'!$F$55</definedName>
    <definedName name="QB_ROW_179050" localSheetId="3" hidden="1">'STF P9'!$F$74</definedName>
    <definedName name="QB_ROW_179050" localSheetId="5" hidden="1">STFP7!$F$63</definedName>
    <definedName name="QB_ROW_179050" localSheetId="4" hidden="1">STFP8!$F$64</definedName>
    <definedName name="QB_ROW_179350" localSheetId="2" hidden="1">'STF 10'!$F$77</definedName>
    <definedName name="QB_ROW_179350" localSheetId="6" hidden="1">'STF P6'!$F$57</definedName>
    <definedName name="QB_ROW_179350" localSheetId="3" hidden="1">'STF P9'!$F$77</definedName>
    <definedName name="QB_ROW_179350" localSheetId="5" hidden="1">STFP7!$F$65</definedName>
    <definedName name="QB_ROW_179350" localSheetId="4" hidden="1">STFP8!$F$66</definedName>
    <definedName name="QB_ROW_18301" localSheetId="2" hidden="1">'STF 10'!$A$81</definedName>
    <definedName name="QB_ROW_18301" localSheetId="6" hidden="1">'STF P6'!$A$68</definedName>
    <definedName name="QB_ROW_18301" localSheetId="3" hidden="1">'STF P9'!$A$81</definedName>
    <definedName name="QB_ROW_18301" localSheetId="5" hidden="1">STFP7!$A$69</definedName>
    <definedName name="QB_ROW_18301" localSheetId="4" hidden="1">STFP8!$A$70</definedName>
    <definedName name="QB_ROW_189270" localSheetId="2" hidden="1">'STF 10'!$H$37</definedName>
    <definedName name="QB_ROW_189270" localSheetId="6" hidden="1">'STF P6'!$H$33</definedName>
    <definedName name="QB_ROW_189270" localSheetId="3" hidden="1">'STF P9'!$H$37</definedName>
    <definedName name="QB_ROW_189270" localSheetId="5" hidden="1">STFP7!$H$33</definedName>
    <definedName name="QB_ROW_189270" localSheetId="4" hidden="1">STFP8!$H$35</definedName>
    <definedName name="QB_ROW_19011" localSheetId="2" hidden="1">'STF 10'!$B$3</definedName>
    <definedName name="QB_ROW_19011" localSheetId="6" hidden="1">'STF P6'!$B$2</definedName>
    <definedName name="QB_ROW_19011" localSheetId="3" hidden="1">'STF P9'!$B$3</definedName>
    <definedName name="QB_ROW_19011" localSheetId="5" hidden="1">STFP7!$B$2</definedName>
    <definedName name="QB_ROW_19011" localSheetId="4" hidden="1">STFP8!$B$2</definedName>
    <definedName name="QB_ROW_190270" localSheetId="2" hidden="1">'STF 10'!$H$36</definedName>
    <definedName name="QB_ROW_190270" localSheetId="6" hidden="1">'STF P6'!$H$32</definedName>
    <definedName name="QB_ROW_190270" localSheetId="3" hidden="1">'STF P9'!$H$36</definedName>
    <definedName name="QB_ROW_190270" localSheetId="5" hidden="1">STFP7!$H$32</definedName>
    <definedName name="QB_ROW_190270" localSheetId="4" hidden="1">STFP8!$H$34</definedName>
    <definedName name="QB_ROW_191060" localSheetId="2" hidden="1">'STF 10'!$G$34</definedName>
    <definedName name="QB_ROW_191060" localSheetId="6" hidden="1">'STF P6'!$G$30</definedName>
    <definedName name="QB_ROW_191060" localSheetId="3" hidden="1">'STF P9'!$G$34</definedName>
    <definedName name="QB_ROW_191060" localSheetId="5" hidden="1">STFP7!$G$31</definedName>
    <definedName name="QB_ROW_191060" localSheetId="4" hidden="1">STFP8!$G$32</definedName>
    <definedName name="QB_ROW_191360" localSheetId="2" hidden="1">'STF 10'!$G$40</definedName>
    <definedName name="QB_ROW_191360" localSheetId="6" hidden="1">'STF P6'!$G$34</definedName>
    <definedName name="QB_ROW_191360" localSheetId="3" hidden="1">'STF P9'!$G$40</definedName>
    <definedName name="QB_ROW_191360" localSheetId="5" hidden="1">STFP7!$G$36</definedName>
    <definedName name="QB_ROW_191360" localSheetId="4" hidden="1">STFP8!$G$37</definedName>
    <definedName name="QB_ROW_19311" localSheetId="2" hidden="1">'STF 10'!$B$80</definedName>
    <definedName name="QB_ROW_19311" localSheetId="6" hidden="1">'STF P6'!$B$60</definedName>
    <definedName name="QB_ROW_19311" localSheetId="3" hidden="1">'STF P9'!$B$80</definedName>
    <definedName name="QB_ROW_19311" localSheetId="5" hidden="1">STFP7!$B$68</definedName>
    <definedName name="QB_ROW_19311" localSheetId="4" hidden="1">STFP8!$B$69</definedName>
    <definedName name="QB_ROW_200270" localSheetId="2" hidden="1">'STF 10'!$H$62</definedName>
    <definedName name="QB_ROW_200270" localSheetId="3" hidden="1">'STF P9'!$H$62</definedName>
    <definedName name="QB_ROW_200270" localSheetId="4" hidden="1">STFP8!$H$54</definedName>
    <definedName name="QB_ROW_20031" localSheetId="2" hidden="1">'STF 10'!$D$4</definedName>
    <definedName name="QB_ROW_20031" localSheetId="6" hidden="1">'STF P6'!$D$3</definedName>
    <definedName name="QB_ROW_20031" localSheetId="3" hidden="1">'STF P9'!$D$4</definedName>
    <definedName name="QB_ROW_20031" localSheetId="5" hidden="1">STFP7!$D$3</definedName>
    <definedName name="QB_ROW_20031" localSheetId="4" hidden="1">STFP8!$D$3</definedName>
    <definedName name="QB_ROW_202050" localSheetId="2" hidden="1">'STF 10'!$F$33</definedName>
    <definedName name="QB_ROW_202050" localSheetId="6" hidden="1">'STF P6'!$F$29</definedName>
    <definedName name="QB_ROW_202050" localSheetId="3" hidden="1">'STF P9'!$F$33</definedName>
    <definedName name="QB_ROW_202050" localSheetId="5" hidden="1">STFP7!$F$30</definedName>
    <definedName name="QB_ROW_202050" localSheetId="4" hidden="1">STFP8!$F$31</definedName>
    <definedName name="QB_ROW_202350" localSheetId="2" hidden="1">'STF 10'!$F$70</definedName>
    <definedName name="QB_ROW_202350" localSheetId="6" hidden="1">'STF P6'!$F$54</definedName>
    <definedName name="QB_ROW_202350" localSheetId="3" hidden="1">'STF P9'!$F$70</definedName>
    <definedName name="QB_ROW_202350" localSheetId="5" hidden="1">STFP7!$F$62</definedName>
    <definedName name="QB_ROW_202350" localSheetId="4" hidden="1">STFP8!$F$60</definedName>
    <definedName name="QB_ROW_20331" localSheetId="2" hidden="1">'STF 10'!$D$12</definedName>
    <definedName name="QB_ROW_20331" localSheetId="6" hidden="1">'STF P6'!$D$10</definedName>
    <definedName name="QB_ROW_20331" localSheetId="3" hidden="1">'STF P9'!$D$12</definedName>
    <definedName name="QB_ROW_20331" localSheetId="5" hidden="1">STFP7!$D$10</definedName>
    <definedName name="QB_ROW_20331" localSheetId="4" hidden="1">STFP8!$D$11</definedName>
    <definedName name="QB_ROW_210270" localSheetId="2" hidden="1">'STF 10'!$H$38</definedName>
    <definedName name="QB_ROW_210270" localSheetId="3" hidden="1">'STF P9'!$H$38</definedName>
    <definedName name="QB_ROW_210270" localSheetId="5" hidden="1">STFP7!$H$35</definedName>
    <definedName name="QB_ROW_21031" localSheetId="2" hidden="1">'STF 10'!$D$31</definedName>
    <definedName name="QB_ROW_21031" localSheetId="6" hidden="1">'STF P6'!$D$27</definedName>
    <definedName name="QB_ROW_21031" localSheetId="3" hidden="1">'STF P9'!$D$31</definedName>
    <definedName name="QB_ROW_21031" localSheetId="5" hidden="1">STFP7!$D$28</definedName>
    <definedName name="QB_ROW_21031" localSheetId="4" hidden="1">STFP8!$D$29</definedName>
    <definedName name="QB_ROW_211270" localSheetId="2" hidden="1">'STF 10'!$H$39</definedName>
    <definedName name="QB_ROW_211270" localSheetId="3" hidden="1">'STF P9'!$H$39</definedName>
    <definedName name="QB_ROW_211270" localSheetId="4" hidden="1">STFP8!$H$36</definedName>
    <definedName name="QB_ROW_21331" localSheetId="2" hidden="1">'STF 10'!$D$79</definedName>
    <definedName name="QB_ROW_21331" localSheetId="6" hidden="1">'STF P6'!$D$59</definedName>
    <definedName name="QB_ROW_21331" localSheetId="3" hidden="1">'STF P9'!$D$79</definedName>
    <definedName name="QB_ROW_21331" localSheetId="5" hidden="1">STFP7!$D$67</definedName>
    <definedName name="QB_ROW_21331" localSheetId="4" hidden="1">STFP8!$D$68</definedName>
    <definedName name="QB_ROW_22011" localSheetId="6" hidden="1">'STF P6'!$B$61</definedName>
    <definedName name="QB_ROW_22311" localSheetId="6" hidden="1">'STF P6'!$B$67</definedName>
    <definedName name="QB_ROW_23021" localSheetId="6" hidden="1">'STF P6'!$C$62</definedName>
    <definedName name="QB_ROW_23321" localSheetId="6" hidden="1">'STF P6'!$C$66</definedName>
    <definedName name="QB_ROW_26260" localSheetId="2" hidden="1">'STF 10'!$G$76</definedName>
    <definedName name="QB_ROW_26260" localSheetId="3" hidden="1">'STF P9'!$G$76</definedName>
    <definedName name="QB_ROW_33270" localSheetId="2" hidden="1">'STF 10'!$H$42</definedName>
    <definedName name="QB_ROW_33270" localSheetId="6" hidden="1">'STF P6'!$H$36</definedName>
    <definedName name="QB_ROW_33270" localSheetId="3" hidden="1">'STF P9'!$H$42</definedName>
    <definedName name="QB_ROW_33270" localSheetId="5" hidden="1">STFP7!$H$38</definedName>
    <definedName name="QB_ROW_33270" localSheetId="4" hidden="1">STFP8!$H$39</definedName>
    <definedName name="QB_ROW_38240" localSheetId="6" hidden="1">'STF P6'!$E$64</definedName>
    <definedName name="QB_ROW_39270" localSheetId="2" hidden="1">'STF 10'!$H$56</definedName>
    <definedName name="QB_ROW_39270" localSheetId="6" hidden="1">'STF P6'!$H$44</definedName>
    <definedName name="QB_ROW_39270" localSheetId="3" hidden="1">'STF P9'!$H$56</definedName>
    <definedName name="QB_ROW_39270" localSheetId="5" hidden="1">STFP7!$H$51</definedName>
    <definedName name="QB_ROW_39270" localSheetId="4" hidden="1">STFP8!$H$49</definedName>
    <definedName name="QB_ROW_40270" localSheetId="2" hidden="1">'STF 10'!$H$55</definedName>
    <definedName name="QB_ROW_40270" localSheetId="3" hidden="1">'STF P9'!$H$55</definedName>
    <definedName name="QB_ROW_40270" localSheetId="5" hidden="1">STFP7!$H$50</definedName>
    <definedName name="QB_ROW_40270" localSheetId="4" hidden="1">STFP8!$H$48</definedName>
    <definedName name="QB_ROW_43250" localSheetId="2" hidden="1">'STF 10'!$F$8</definedName>
    <definedName name="QB_ROW_43250" localSheetId="6" hidden="1">'STF P6'!$F$7</definedName>
    <definedName name="QB_ROW_43250" localSheetId="3" hidden="1">'STF P9'!$F$8</definedName>
    <definedName name="QB_ROW_43250" localSheetId="5" hidden="1">STFP7!$F$7</definedName>
    <definedName name="QB_ROW_43250" localSheetId="4" hidden="1">STFP8!$F$7</definedName>
    <definedName name="QB_ROW_61250" localSheetId="2" hidden="1">'STF 10'!$F$7</definedName>
    <definedName name="QB_ROW_61250" localSheetId="6" hidden="1">'STF P6'!$F$6</definedName>
    <definedName name="QB_ROW_61250" localSheetId="3" hidden="1">'STF P9'!$F$7</definedName>
    <definedName name="QB_ROW_61250" localSheetId="5" hidden="1">STFP7!$F$6</definedName>
    <definedName name="QB_ROW_61250" localSheetId="4" hidden="1">STFP8!$F$6</definedName>
    <definedName name="QB_ROW_6270" localSheetId="2" hidden="1">'STF 10'!$H$67</definedName>
    <definedName name="QB_ROW_6270" localSheetId="6" hidden="1">'STF P6'!$H$51</definedName>
    <definedName name="QB_ROW_6270" localSheetId="3" hidden="1">'STF P9'!$H$67</definedName>
    <definedName name="QB_ROW_6270" localSheetId="5" hidden="1">STFP7!$H$59</definedName>
    <definedName name="QB_ROW_6270" localSheetId="4" hidden="1">STFP8!$H$57</definedName>
    <definedName name="QB_ROW_8030" localSheetId="6" hidden="1">'STF P6'!$D$63</definedName>
    <definedName name="QB_ROW_8330" localSheetId="6" hidden="1">'STF P6'!$D$65</definedName>
    <definedName name="QB_ROW_86321" localSheetId="2" hidden="1">'STF 10'!$C$30</definedName>
    <definedName name="QB_ROW_86321" localSheetId="6" hidden="1">'STF P6'!$C$26</definedName>
    <definedName name="QB_ROW_86321" localSheetId="3" hidden="1">'STF P9'!$C$30</definedName>
    <definedName name="QB_ROW_86321" localSheetId="5" hidden="1">STFP7!$C$27</definedName>
    <definedName name="QB_ROW_86321" localSheetId="4" hidden="1">STFP8!$C$28</definedName>
    <definedName name="QB_ROW_87031" localSheetId="2" hidden="1">'STF 10'!$D$13</definedName>
    <definedName name="QB_ROW_87031" localSheetId="6" hidden="1">'STF P6'!$D$11</definedName>
    <definedName name="QB_ROW_87031" localSheetId="3" hidden="1">'STF P9'!$D$13</definedName>
    <definedName name="QB_ROW_87031" localSheetId="5" hidden="1">STFP7!$D$11</definedName>
    <definedName name="QB_ROW_87031" localSheetId="4" hidden="1">STFP8!$D$12</definedName>
    <definedName name="QB_ROW_87331" localSheetId="2" hidden="1">'STF 10'!$D$29</definedName>
    <definedName name="QB_ROW_87331" localSheetId="6" hidden="1">'STF P6'!$D$25</definedName>
    <definedName name="QB_ROW_87331" localSheetId="3" hidden="1">'STF P9'!$D$29</definedName>
    <definedName name="QB_ROW_87331" localSheetId="5" hidden="1">STFP7!$D$26</definedName>
    <definedName name="QB_ROW_87331" localSheetId="4" hidden="1">STFP8!$D$27</definedName>
    <definedName name="QB_ROW_9270" localSheetId="2" hidden="1">'STF 10'!$H$51</definedName>
    <definedName name="QB_ROW_9270" localSheetId="3" hidden="1">'STF P9'!$H$51</definedName>
    <definedName name="QB_ROW_9270" localSheetId="5" hidden="1">STFP7!$H$47</definedName>
    <definedName name="QBCANSUPPORTUPDATE" localSheetId="2">TRUE</definedName>
    <definedName name="QBCANSUPPORTUPDATE" localSheetId="6">TRUE</definedName>
    <definedName name="QBCANSUPPORTUPDATE" localSheetId="3">TRUE</definedName>
    <definedName name="QBCANSUPPORTUPDATE" localSheetId="5">TRUE</definedName>
    <definedName name="QBCANSUPPORTUPDATE" localSheetId="4">TRUE</definedName>
    <definedName name="QBCOMPANYFILENAME" localSheetId="2">"\\10.0.0.41\QuickBooks\QB-STF-TL\STF-TL.QBW"</definedName>
    <definedName name="QBCOMPANYFILENAME" localSheetId="6">"\\10.0.0.41\QuickBooks\QB-STF-TL\STF-TL.QBW"</definedName>
    <definedName name="QBCOMPANYFILENAME" localSheetId="3">"\\10.0.0.41\QuickBooks\QB-STF-TL\STF-TL.QBW"</definedName>
    <definedName name="QBCOMPANYFILENAME" localSheetId="5">"\\10.0.0.41\QuickBooks\QB-STF-TL\STF-TL.QBW"</definedName>
    <definedName name="QBCOMPANYFILENAME" localSheetId="4">"\\10.0.0.41\QuickBooks\QB-STF-TL\STF-TL.QBW"</definedName>
    <definedName name="QBENDDATE" localSheetId="2">20160929</definedName>
    <definedName name="QBENDDATE" localSheetId="6">20160630</definedName>
    <definedName name="QBENDDATE" localSheetId="3">20160929</definedName>
    <definedName name="QBENDDATE" localSheetId="5">20160728</definedName>
    <definedName name="QBENDDATE" localSheetId="4">20160825</definedName>
    <definedName name="QBHEADERSONSCREEN" localSheetId="2">FALSE</definedName>
    <definedName name="QBHEADERSONSCREEN" localSheetId="6">FALSE</definedName>
    <definedName name="QBHEADERSONSCREEN" localSheetId="3">FALSE</definedName>
    <definedName name="QBHEADERSONSCREEN" localSheetId="5">FALSE</definedName>
    <definedName name="QBHEADERSONSCREEN" localSheetId="4">FALSE</definedName>
    <definedName name="QBMETADATASIZE" localSheetId="2">5785</definedName>
    <definedName name="QBMETADATASIZE" localSheetId="6">5785</definedName>
    <definedName name="QBMETADATASIZE" localSheetId="3">5785</definedName>
    <definedName name="QBMETADATASIZE" localSheetId="5">5785</definedName>
    <definedName name="QBMETADATASIZE" localSheetId="4">5785</definedName>
    <definedName name="QBPRESERVECOLOR" localSheetId="2">TRUE</definedName>
    <definedName name="QBPRESERVECOLOR" localSheetId="6">TRUE</definedName>
    <definedName name="QBPRESERVECOLOR" localSheetId="3">TRUE</definedName>
    <definedName name="QBPRESERVECOLOR" localSheetId="5">TRUE</definedName>
    <definedName name="QBPRESERVECOLOR" localSheetId="4">TRUE</definedName>
    <definedName name="QBPRESERVEFONT" localSheetId="2">TRUE</definedName>
    <definedName name="QBPRESERVEFONT" localSheetId="6">TRUE</definedName>
    <definedName name="QBPRESERVEFONT" localSheetId="3">TRUE</definedName>
    <definedName name="QBPRESERVEFONT" localSheetId="5">TRUE</definedName>
    <definedName name="QBPRESERVEFONT" localSheetId="4">TRUE</definedName>
    <definedName name="QBPRESERVEROWHEIGHT" localSheetId="2">TRUE</definedName>
    <definedName name="QBPRESERVEROWHEIGHT" localSheetId="6">TRUE</definedName>
    <definedName name="QBPRESERVEROWHEIGHT" localSheetId="3">TRUE</definedName>
    <definedName name="QBPRESERVEROWHEIGHT" localSheetId="5">TRUE</definedName>
    <definedName name="QBPRESERVEROWHEIGHT" localSheetId="4">TRUE</definedName>
    <definedName name="QBPRESERVESPACE" localSheetId="2">TRUE</definedName>
    <definedName name="QBPRESERVESPACE" localSheetId="6">TRUE</definedName>
    <definedName name="QBPRESERVESPACE" localSheetId="3">TRUE</definedName>
    <definedName name="QBPRESERVESPACE" localSheetId="5">TRUE</definedName>
    <definedName name="QBPRESERVESPACE" localSheetId="4">TRUE</definedName>
    <definedName name="QBREPORTCOLAXIS" localSheetId="2">0</definedName>
    <definedName name="QBREPORTCOLAXIS" localSheetId="6">0</definedName>
    <definedName name="QBREPORTCOLAXIS" localSheetId="3">0</definedName>
    <definedName name="QBREPORTCOLAXIS" localSheetId="5">0</definedName>
    <definedName name="QBREPORTCOLAXIS" localSheetId="4">0</definedName>
    <definedName name="QBREPORTCOMPANYID" localSheetId="2">"9b15006f6e1f43d6a0a5f7442666f950"</definedName>
    <definedName name="QBREPORTCOMPANYID" localSheetId="6">"9b15006f6e1f43d6a0a5f7442666f950"</definedName>
    <definedName name="QBREPORTCOMPANYID" localSheetId="3">"9b15006f6e1f43d6a0a5f7442666f950"</definedName>
    <definedName name="QBREPORTCOMPANYID" localSheetId="5">"9b15006f6e1f43d6a0a5f7442666f950"</definedName>
    <definedName name="QBREPORTCOMPANYID" localSheetId="4">"9b15006f6e1f43d6a0a5f7442666f950"</definedName>
    <definedName name="QBREPORTCOMPARECOL_ANNUALBUDGET" localSheetId="2">FALSE</definedName>
    <definedName name="QBREPORTCOMPARECOL_ANNUALBUDGET" localSheetId="6">FALSE</definedName>
    <definedName name="QBREPORTCOMPARECOL_ANNUALBUDGET" localSheetId="3">FALSE</definedName>
    <definedName name="QBREPORTCOMPARECOL_ANNUALBUDGET" localSheetId="5">FALSE</definedName>
    <definedName name="QBREPORTCOMPARECOL_ANNUALBUDGET" localSheetId="4">FALSE</definedName>
    <definedName name="QBREPORTCOMPARECOL_AVGCOGS" localSheetId="2">FALSE</definedName>
    <definedName name="QBREPORTCOMPARECOL_AVGCOGS" localSheetId="6">FALSE</definedName>
    <definedName name="QBREPORTCOMPARECOL_AVGCOGS" localSheetId="3">FALSE</definedName>
    <definedName name="QBREPORTCOMPARECOL_AVGCOGS" localSheetId="5">FALSE</definedName>
    <definedName name="QBREPORTCOMPARECOL_AVGCOGS" localSheetId="4">FALSE</definedName>
    <definedName name="QBREPORTCOMPARECOL_AVGPRICE" localSheetId="2">FALSE</definedName>
    <definedName name="QBREPORTCOMPARECOL_AVGPRICE" localSheetId="6">FALSE</definedName>
    <definedName name="QBREPORTCOMPARECOL_AVGPRICE" localSheetId="3">FALSE</definedName>
    <definedName name="QBREPORTCOMPARECOL_AVGPRICE" localSheetId="5">FALSE</definedName>
    <definedName name="QBREPORTCOMPARECOL_AVGPRICE" localSheetId="4">FALSE</definedName>
    <definedName name="QBREPORTCOMPARECOL_BUDDIFF" localSheetId="2">FALSE</definedName>
    <definedName name="QBREPORTCOMPARECOL_BUDDIFF" localSheetId="6">FALSE</definedName>
    <definedName name="QBREPORTCOMPARECOL_BUDDIFF" localSheetId="3">FALSE</definedName>
    <definedName name="QBREPORTCOMPARECOL_BUDDIFF" localSheetId="5">FALSE</definedName>
    <definedName name="QBREPORTCOMPARECOL_BUDDIFF" localSheetId="4">FALSE</definedName>
    <definedName name="QBREPORTCOMPARECOL_BUDGET" localSheetId="2">FALSE</definedName>
    <definedName name="QBREPORTCOMPARECOL_BUDGET" localSheetId="6">FALSE</definedName>
    <definedName name="QBREPORTCOMPARECOL_BUDGET" localSheetId="3">FALSE</definedName>
    <definedName name="QBREPORTCOMPARECOL_BUDGET" localSheetId="5">FALSE</definedName>
    <definedName name="QBREPORTCOMPARECOL_BUDGET" localSheetId="4">FALSE</definedName>
    <definedName name="QBREPORTCOMPARECOL_BUDPCT" localSheetId="2">FALSE</definedName>
    <definedName name="QBREPORTCOMPARECOL_BUDPCT" localSheetId="6">FALSE</definedName>
    <definedName name="QBREPORTCOMPARECOL_BUDPCT" localSheetId="3">FALSE</definedName>
    <definedName name="QBREPORTCOMPARECOL_BUDPCT" localSheetId="5">FALSE</definedName>
    <definedName name="QBREPORTCOMPARECOL_BUDPCT" localSheetId="4">FALSE</definedName>
    <definedName name="QBREPORTCOMPARECOL_COGS" localSheetId="2">FALSE</definedName>
    <definedName name="QBREPORTCOMPARECOL_COGS" localSheetId="6">FALSE</definedName>
    <definedName name="QBREPORTCOMPARECOL_COGS" localSheetId="3">FALSE</definedName>
    <definedName name="QBREPORTCOMPARECOL_COGS" localSheetId="5">FALSE</definedName>
    <definedName name="QBREPORTCOMPARECOL_COGS" localSheetId="4">FALSE</definedName>
    <definedName name="QBREPORTCOMPARECOL_EXCLUDEAMOUNT" localSheetId="2">FALSE</definedName>
    <definedName name="QBREPORTCOMPARECOL_EXCLUDEAMOUNT" localSheetId="6">FALSE</definedName>
    <definedName name="QBREPORTCOMPARECOL_EXCLUDEAMOUNT" localSheetId="3">FALSE</definedName>
    <definedName name="QBREPORTCOMPARECOL_EXCLUDEAMOUNT" localSheetId="5">FALSE</definedName>
    <definedName name="QBREPORTCOMPARECOL_EXCLUDEAMOUNT" localSheetId="4">FALSE</definedName>
    <definedName name="QBREPORTCOMPARECOL_EXCLUDECURPERIOD" localSheetId="2">FALSE</definedName>
    <definedName name="QBREPORTCOMPARECOL_EXCLUDECURPERIOD" localSheetId="6">FALSE</definedName>
    <definedName name="QBREPORTCOMPARECOL_EXCLUDECURPERIOD" localSheetId="3">FALSE</definedName>
    <definedName name="QBREPORTCOMPARECOL_EXCLUDECURPERIOD" localSheetId="5">FALSE</definedName>
    <definedName name="QBREPORTCOMPARECOL_EXCLUDECURPERIOD" localSheetId="4">FALSE</definedName>
    <definedName name="QBREPORTCOMPARECOL_FORECAST" localSheetId="2">FALSE</definedName>
    <definedName name="QBREPORTCOMPARECOL_FORECAST" localSheetId="6">FALSE</definedName>
    <definedName name="QBREPORTCOMPARECOL_FORECAST" localSheetId="3">FALSE</definedName>
    <definedName name="QBREPORTCOMPARECOL_FORECAST" localSheetId="5">FALSE</definedName>
    <definedName name="QBREPORTCOMPARECOL_FORECAST" localSheetId="4">FALSE</definedName>
    <definedName name="QBREPORTCOMPARECOL_GROSSMARGIN" localSheetId="2">FALSE</definedName>
    <definedName name="QBREPORTCOMPARECOL_GROSSMARGIN" localSheetId="6">FALSE</definedName>
    <definedName name="QBREPORTCOMPARECOL_GROSSMARGIN" localSheetId="3">FALSE</definedName>
    <definedName name="QBREPORTCOMPARECOL_GROSSMARGIN" localSheetId="5">FALSE</definedName>
    <definedName name="QBREPORTCOMPARECOL_GROSSMARGIN" localSheetId="4">FALSE</definedName>
    <definedName name="QBREPORTCOMPARECOL_GROSSMARGINPCT" localSheetId="2">FALSE</definedName>
    <definedName name="QBREPORTCOMPARECOL_GROSSMARGINPCT" localSheetId="6">FALSE</definedName>
    <definedName name="QBREPORTCOMPARECOL_GROSSMARGINPCT" localSheetId="3">FALSE</definedName>
    <definedName name="QBREPORTCOMPARECOL_GROSSMARGINPCT" localSheetId="5">FALSE</definedName>
    <definedName name="QBREPORTCOMPARECOL_GROSSMARGINPCT" localSheetId="4">FALSE</definedName>
    <definedName name="QBREPORTCOMPARECOL_HOURS" localSheetId="2">FALSE</definedName>
    <definedName name="QBREPORTCOMPARECOL_HOURS" localSheetId="6">FALSE</definedName>
    <definedName name="QBREPORTCOMPARECOL_HOURS" localSheetId="3">FALSE</definedName>
    <definedName name="QBREPORTCOMPARECOL_HOURS" localSheetId="5">FALSE</definedName>
    <definedName name="QBREPORTCOMPARECOL_HOURS" localSheetId="4">FALSE</definedName>
    <definedName name="QBREPORTCOMPARECOL_PCTCOL" localSheetId="2">FALSE</definedName>
    <definedName name="QBREPORTCOMPARECOL_PCTCOL" localSheetId="6">FALSE</definedName>
    <definedName name="QBREPORTCOMPARECOL_PCTCOL" localSheetId="3">FALSE</definedName>
    <definedName name="QBREPORTCOMPARECOL_PCTCOL" localSheetId="5">FALSE</definedName>
    <definedName name="QBREPORTCOMPARECOL_PCTCOL" localSheetId="4">FALSE</definedName>
    <definedName name="QBREPORTCOMPARECOL_PCTEXPENSE" localSheetId="2">FALSE</definedName>
    <definedName name="QBREPORTCOMPARECOL_PCTEXPENSE" localSheetId="6">FALSE</definedName>
    <definedName name="QBREPORTCOMPARECOL_PCTEXPENSE" localSheetId="3">FALSE</definedName>
    <definedName name="QBREPORTCOMPARECOL_PCTEXPENSE" localSheetId="5">FALSE</definedName>
    <definedName name="QBREPORTCOMPARECOL_PCTEXPENSE" localSheetId="4">FALSE</definedName>
    <definedName name="QBREPORTCOMPARECOL_PCTINCOME" localSheetId="2">FALSE</definedName>
    <definedName name="QBREPORTCOMPARECOL_PCTINCOME" localSheetId="6">FALSE</definedName>
    <definedName name="QBREPORTCOMPARECOL_PCTINCOME" localSheetId="3">FALSE</definedName>
    <definedName name="QBREPORTCOMPARECOL_PCTINCOME" localSheetId="5">FALSE</definedName>
    <definedName name="QBREPORTCOMPARECOL_PCTINCOME" localSheetId="4">FALSE</definedName>
    <definedName name="QBREPORTCOMPARECOL_PCTOFSALES" localSheetId="2">FALSE</definedName>
    <definedName name="QBREPORTCOMPARECOL_PCTOFSALES" localSheetId="6">FALSE</definedName>
    <definedName name="QBREPORTCOMPARECOL_PCTOFSALES" localSheetId="3">FALSE</definedName>
    <definedName name="QBREPORTCOMPARECOL_PCTOFSALES" localSheetId="5">FALSE</definedName>
    <definedName name="QBREPORTCOMPARECOL_PCTOFSALES" localSheetId="4">FALSE</definedName>
    <definedName name="QBREPORTCOMPARECOL_PCTROW" localSheetId="2">FALSE</definedName>
    <definedName name="QBREPORTCOMPARECOL_PCTROW" localSheetId="6">FALSE</definedName>
    <definedName name="QBREPORTCOMPARECOL_PCTROW" localSheetId="3">FALSE</definedName>
    <definedName name="QBREPORTCOMPARECOL_PCTROW" localSheetId="5">FALSE</definedName>
    <definedName name="QBREPORTCOMPARECOL_PCTROW" localSheetId="4">FALSE</definedName>
    <definedName name="QBREPORTCOMPARECOL_PPDIFF" localSheetId="2">FALSE</definedName>
    <definedName name="QBREPORTCOMPARECOL_PPDIFF" localSheetId="6">FALSE</definedName>
    <definedName name="QBREPORTCOMPARECOL_PPDIFF" localSheetId="3">FALSE</definedName>
    <definedName name="QBREPORTCOMPARECOL_PPDIFF" localSheetId="5">FALSE</definedName>
    <definedName name="QBREPORTCOMPARECOL_PPDIFF" localSheetId="4">FALSE</definedName>
    <definedName name="QBREPORTCOMPARECOL_PPPCT" localSheetId="2">FALSE</definedName>
    <definedName name="QBREPORTCOMPARECOL_PPPCT" localSheetId="6">FALSE</definedName>
    <definedName name="QBREPORTCOMPARECOL_PPPCT" localSheetId="3">FALSE</definedName>
    <definedName name="QBREPORTCOMPARECOL_PPPCT" localSheetId="5">FALSE</definedName>
    <definedName name="QBREPORTCOMPARECOL_PPPCT" localSheetId="4">FALSE</definedName>
    <definedName name="QBREPORTCOMPARECOL_PREVPERIOD" localSheetId="2">TRUE</definedName>
    <definedName name="QBREPORTCOMPARECOL_PREVPERIOD" localSheetId="6">FALSE</definedName>
    <definedName name="QBREPORTCOMPARECOL_PREVPERIOD" localSheetId="3">TRUE</definedName>
    <definedName name="QBREPORTCOMPARECOL_PREVPERIOD" localSheetId="5">FALSE</definedName>
    <definedName name="QBREPORTCOMPARECOL_PREVPERIOD" localSheetId="4">FALSE</definedName>
    <definedName name="QBREPORTCOMPARECOL_PREVYEAR" localSheetId="2">FALSE</definedName>
    <definedName name="QBREPORTCOMPARECOL_PREVYEAR" localSheetId="6">FALSE</definedName>
    <definedName name="QBREPORTCOMPARECOL_PREVYEAR" localSheetId="3">FALSE</definedName>
    <definedName name="QBREPORTCOMPARECOL_PREVYEAR" localSheetId="5">FALSE</definedName>
    <definedName name="QBREPORTCOMPARECOL_PREVYEAR" localSheetId="4">FALSE</definedName>
    <definedName name="QBREPORTCOMPARECOL_PYDIFF" localSheetId="2">FALSE</definedName>
    <definedName name="QBREPORTCOMPARECOL_PYDIFF" localSheetId="6">FALSE</definedName>
    <definedName name="QBREPORTCOMPARECOL_PYDIFF" localSheetId="3">FALSE</definedName>
    <definedName name="QBREPORTCOMPARECOL_PYDIFF" localSheetId="5">FALSE</definedName>
    <definedName name="QBREPORTCOMPARECOL_PYDIFF" localSheetId="4">FALSE</definedName>
    <definedName name="QBREPORTCOMPARECOL_PYPCT" localSheetId="2">FALSE</definedName>
    <definedName name="QBREPORTCOMPARECOL_PYPCT" localSheetId="6">FALSE</definedName>
    <definedName name="QBREPORTCOMPARECOL_PYPCT" localSheetId="3">FALSE</definedName>
    <definedName name="QBREPORTCOMPARECOL_PYPCT" localSheetId="5">FALSE</definedName>
    <definedName name="QBREPORTCOMPARECOL_PYPCT" localSheetId="4">FALSE</definedName>
    <definedName name="QBREPORTCOMPARECOL_QTY" localSheetId="2">FALSE</definedName>
    <definedName name="QBREPORTCOMPARECOL_QTY" localSheetId="6">FALSE</definedName>
    <definedName name="QBREPORTCOMPARECOL_QTY" localSheetId="3">FALSE</definedName>
    <definedName name="QBREPORTCOMPARECOL_QTY" localSheetId="5">FALSE</definedName>
    <definedName name="QBREPORTCOMPARECOL_QTY" localSheetId="4">FALSE</definedName>
    <definedName name="QBREPORTCOMPARECOL_RATE" localSheetId="2">FALSE</definedName>
    <definedName name="QBREPORTCOMPARECOL_RATE" localSheetId="6">FALSE</definedName>
    <definedName name="QBREPORTCOMPARECOL_RATE" localSheetId="3">FALSE</definedName>
    <definedName name="QBREPORTCOMPARECOL_RATE" localSheetId="5">FALSE</definedName>
    <definedName name="QBREPORTCOMPARECOL_RATE" localSheetId="4">FALSE</definedName>
    <definedName name="QBREPORTCOMPARECOL_TRIPBILLEDMILES" localSheetId="2">FALSE</definedName>
    <definedName name="QBREPORTCOMPARECOL_TRIPBILLEDMILES" localSheetId="6">FALSE</definedName>
    <definedName name="QBREPORTCOMPARECOL_TRIPBILLEDMILES" localSheetId="3">FALSE</definedName>
    <definedName name="QBREPORTCOMPARECOL_TRIPBILLEDMILES" localSheetId="5">FALSE</definedName>
    <definedName name="QBREPORTCOMPARECOL_TRIPBILLEDMILES" localSheetId="4">FALSE</definedName>
    <definedName name="QBREPORTCOMPARECOL_TRIPBILLINGAMOUNT" localSheetId="2">FALSE</definedName>
    <definedName name="QBREPORTCOMPARECOL_TRIPBILLINGAMOUNT" localSheetId="6">FALSE</definedName>
    <definedName name="QBREPORTCOMPARECOL_TRIPBILLINGAMOUNT" localSheetId="3">FALSE</definedName>
    <definedName name="QBREPORTCOMPARECOL_TRIPBILLINGAMOUNT" localSheetId="5">FALSE</definedName>
    <definedName name="QBREPORTCOMPARECOL_TRIPBILLINGAMOUNT" localSheetId="4">FALSE</definedName>
    <definedName name="QBREPORTCOMPARECOL_TRIPMILES" localSheetId="2">FALSE</definedName>
    <definedName name="QBREPORTCOMPARECOL_TRIPMILES" localSheetId="6">FALSE</definedName>
    <definedName name="QBREPORTCOMPARECOL_TRIPMILES" localSheetId="3">FALSE</definedName>
    <definedName name="QBREPORTCOMPARECOL_TRIPMILES" localSheetId="5">FALSE</definedName>
    <definedName name="QBREPORTCOMPARECOL_TRIPMILES" localSheetId="4">FALSE</definedName>
    <definedName name="QBREPORTCOMPARECOL_TRIPNOTBILLABLEMILES" localSheetId="2">FALSE</definedName>
    <definedName name="QBREPORTCOMPARECOL_TRIPNOTBILLABLEMILES" localSheetId="6">FALSE</definedName>
    <definedName name="QBREPORTCOMPARECOL_TRIPNOTBILLABLEMILES" localSheetId="3">FALSE</definedName>
    <definedName name="QBREPORTCOMPARECOL_TRIPNOTBILLABLEMILES" localSheetId="5">FALSE</definedName>
    <definedName name="QBREPORTCOMPARECOL_TRIPNOTBILLABLEMILES" localSheetId="4">FALSE</definedName>
    <definedName name="QBREPORTCOMPARECOL_TRIPTAXDEDUCTIBLEAMOUNT" localSheetId="2">FALSE</definedName>
    <definedName name="QBREPORTCOMPARECOL_TRIPTAXDEDUCTIBLEAMOUNT" localSheetId="6">FALSE</definedName>
    <definedName name="QBREPORTCOMPARECOL_TRIPTAXDEDUCTIBLEAMOUNT" localSheetId="3">FALSE</definedName>
    <definedName name="QBREPORTCOMPARECOL_TRIPTAXDEDUCTIBLEAMOUNT" localSheetId="5">FALSE</definedName>
    <definedName name="QBREPORTCOMPARECOL_TRIPTAXDEDUCTIBLEAMOUNT" localSheetId="4">FALSE</definedName>
    <definedName name="QBREPORTCOMPARECOL_TRIPUNBILLEDMILES" localSheetId="2">FALSE</definedName>
    <definedName name="QBREPORTCOMPARECOL_TRIPUNBILLEDMILES" localSheetId="6">FALSE</definedName>
    <definedName name="QBREPORTCOMPARECOL_TRIPUNBILLEDMILES" localSheetId="3">FALSE</definedName>
    <definedName name="QBREPORTCOMPARECOL_TRIPUNBILLEDMILES" localSheetId="5">FALSE</definedName>
    <definedName name="QBREPORTCOMPARECOL_TRIPUNBILLEDMILES" localSheetId="4">FALSE</definedName>
    <definedName name="QBREPORTCOMPARECOL_YTD" localSheetId="2">FALSE</definedName>
    <definedName name="QBREPORTCOMPARECOL_YTD" localSheetId="6">FALSE</definedName>
    <definedName name="QBREPORTCOMPARECOL_YTD" localSheetId="3">FALSE</definedName>
    <definedName name="QBREPORTCOMPARECOL_YTD" localSheetId="5">FALSE</definedName>
    <definedName name="QBREPORTCOMPARECOL_YTD" localSheetId="4">FALSE</definedName>
    <definedName name="QBREPORTCOMPARECOL_YTDBUDGET" localSheetId="2">FALSE</definedName>
    <definedName name="QBREPORTCOMPARECOL_YTDBUDGET" localSheetId="6">FALSE</definedName>
    <definedName name="QBREPORTCOMPARECOL_YTDBUDGET" localSheetId="3">FALSE</definedName>
    <definedName name="QBREPORTCOMPARECOL_YTDBUDGET" localSheetId="5">FALSE</definedName>
    <definedName name="QBREPORTCOMPARECOL_YTDBUDGET" localSheetId="4">FALSE</definedName>
    <definedName name="QBREPORTCOMPARECOL_YTDPCT" localSheetId="2">FALSE</definedName>
    <definedName name="QBREPORTCOMPARECOL_YTDPCT" localSheetId="6">FALSE</definedName>
    <definedName name="QBREPORTCOMPARECOL_YTDPCT" localSheetId="3">FALSE</definedName>
    <definedName name="QBREPORTCOMPARECOL_YTDPCT" localSheetId="5">FALSE</definedName>
    <definedName name="QBREPORTCOMPARECOL_YTDPCT" localSheetId="4">FALSE</definedName>
    <definedName name="QBREPORTROWAXIS" localSheetId="2">11</definedName>
    <definedName name="QBREPORTROWAXIS" localSheetId="6">11</definedName>
    <definedName name="QBREPORTROWAXIS" localSheetId="3">11</definedName>
    <definedName name="QBREPORTROWAXIS" localSheetId="5">11</definedName>
    <definedName name="QBREPORTROWAXIS" localSheetId="4">11</definedName>
    <definedName name="QBREPORTSUBCOLAXIS" localSheetId="2">24</definedName>
    <definedName name="QBREPORTSUBCOLAXIS" localSheetId="6">0</definedName>
    <definedName name="QBREPORTSUBCOLAXIS" localSheetId="3">24</definedName>
    <definedName name="QBREPORTSUBCOLAXIS" localSheetId="5">0</definedName>
    <definedName name="QBREPORTSUBCOLAXIS" localSheetId="4">0</definedName>
    <definedName name="QBREPORTTYPE" localSheetId="2">0</definedName>
    <definedName name="QBREPORTTYPE" localSheetId="6">0</definedName>
    <definedName name="QBREPORTTYPE" localSheetId="3">0</definedName>
    <definedName name="QBREPORTTYPE" localSheetId="5">0</definedName>
    <definedName name="QBREPORTTYPE" localSheetId="4">0</definedName>
    <definedName name="QBROWHEADERS" localSheetId="2">8</definedName>
    <definedName name="QBROWHEADERS" localSheetId="6">8</definedName>
    <definedName name="QBROWHEADERS" localSheetId="3">8</definedName>
    <definedName name="QBROWHEADERS" localSheetId="5">8</definedName>
    <definedName name="QBROWHEADERS" localSheetId="4">8</definedName>
    <definedName name="QBSTARTDATE" localSheetId="2">20160826</definedName>
    <definedName name="QBSTARTDATE" localSheetId="6">20160603</definedName>
    <definedName name="QBSTARTDATE" localSheetId="3">20160826</definedName>
    <definedName name="QBSTARTDATE" localSheetId="5">20160701</definedName>
    <definedName name="QBSTARTDATE" localSheetId="4">20160729</definedName>
  </definedNames>
  <calcPr calcId="152511"/>
</workbook>
</file>

<file path=xl/calcChain.xml><?xml version="1.0" encoding="utf-8"?>
<calcChain xmlns="http://schemas.openxmlformats.org/spreadsheetml/2006/main">
  <c r="O21" i="6" l="1"/>
  <c r="P21" i="6" s="1"/>
  <c r="O16" i="6"/>
  <c r="O17" i="6" s="1"/>
  <c r="O7" i="37"/>
  <c r="O4" i="37"/>
  <c r="O7" i="6"/>
  <c r="P7" i="6" s="1"/>
  <c r="O5" i="6"/>
  <c r="P5" i="6" s="1"/>
  <c r="P14" i="6"/>
  <c r="P9" i="6"/>
  <c r="I51" i="37"/>
  <c r="I47" i="37"/>
  <c r="I42" i="37"/>
  <c r="I39" i="37"/>
  <c r="I35" i="37"/>
  <c r="I30" i="37"/>
  <c r="I48" i="37" s="1"/>
  <c r="I52" i="37" s="1"/>
  <c r="I53" i="37" s="1"/>
  <c r="I17" i="37"/>
  <c r="I20" i="37" s="1"/>
  <c r="I21" i="37" s="1"/>
  <c r="I22" i="37" s="1"/>
  <c r="I23" i="37" s="1"/>
  <c r="I54" i="37" s="1"/>
  <c r="I55" i="37" s="1"/>
  <c r="I9" i="37"/>
  <c r="I8" i="37"/>
  <c r="O14" i="6"/>
  <c r="O18" i="6" s="1"/>
  <c r="O19" i="6" s="1"/>
  <c r="O9" i="6"/>
  <c r="O10" i="6" s="1"/>
  <c r="P16" i="6" l="1"/>
  <c r="O8" i="6"/>
  <c r="O22" i="6"/>
  <c r="O15" i="6"/>
  <c r="O11" i="6"/>
  <c r="O12" i="6" s="1"/>
  <c r="N21" i="6"/>
  <c r="N16" i="6"/>
  <c r="N14" i="6"/>
  <c r="N9" i="6"/>
  <c r="N7" i="6"/>
  <c r="N5" i="6"/>
  <c r="O7" i="36"/>
  <c r="O4" i="36"/>
  <c r="O4" i="35"/>
  <c r="I77" i="36"/>
  <c r="I73" i="36"/>
  <c r="I69" i="36"/>
  <c r="I64" i="36"/>
  <c r="I59" i="36"/>
  <c r="I53" i="36"/>
  <c r="I70" i="36" s="1"/>
  <c r="I78" i="36" s="1"/>
  <c r="I79" i="36" s="1"/>
  <c r="I49" i="36"/>
  <c r="I44" i="36"/>
  <c r="I40" i="36"/>
  <c r="I20" i="36"/>
  <c r="I6" i="36"/>
  <c r="I8" i="36" s="1"/>
  <c r="O24" i="6" l="1"/>
  <c r="O25" i="6" s="1"/>
  <c r="I21" i="36"/>
  <c r="I16" i="36"/>
  <c r="I26" i="36" s="1"/>
  <c r="I28" i="36" s="1"/>
  <c r="I29" i="36" s="1"/>
  <c r="I9" i="36"/>
  <c r="I7" i="36"/>
  <c r="I11" i="36" s="1"/>
  <c r="I12" i="36" s="1"/>
  <c r="I30" i="36" s="1"/>
  <c r="I80" i="36" s="1"/>
  <c r="I81" i="36" s="1"/>
  <c r="N22" i="6" l="1"/>
  <c r="N17" i="6"/>
  <c r="N15" i="6"/>
  <c r="N10" i="6"/>
  <c r="N8" i="6"/>
  <c r="N11" i="6" l="1"/>
  <c r="N18" i="6"/>
  <c r="N19" i="6" s="1"/>
  <c r="M21" i="6"/>
  <c r="M16" i="6"/>
  <c r="M14" i="6"/>
  <c r="M9" i="6"/>
  <c r="M7" i="6"/>
  <c r="M5" i="6"/>
  <c r="O7" i="35"/>
  <c r="I66" i="35"/>
  <c r="I63" i="35"/>
  <c r="I59" i="35"/>
  <c r="I55" i="35"/>
  <c r="I51" i="35"/>
  <c r="I46" i="35"/>
  <c r="I41" i="35"/>
  <c r="I37" i="35"/>
  <c r="I60" i="35" s="1"/>
  <c r="I67" i="35" s="1"/>
  <c r="I68" i="35" s="1"/>
  <c r="I25" i="35"/>
  <c r="I26" i="35" s="1"/>
  <c r="I27" i="35" s="1"/>
  <c r="I19" i="35"/>
  <c r="I10" i="35"/>
  <c r="I11" i="35" s="1"/>
  <c r="N24" i="6" l="1"/>
  <c r="N25" i="6"/>
  <c r="N12" i="6"/>
  <c r="M11" i="6"/>
  <c r="M17" i="6"/>
  <c r="M22" i="6"/>
  <c r="M10" i="6"/>
  <c r="M12" i="6"/>
  <c r="M15" i="6"/>
  <c r="M8" i="6"/>
  <c r="M18" i="6"/>
  <c r="M19" i="6" s="1"/>
  <c r="I28" i="35"/>
  <c r="I69" i="35" s="1"/>
  <c r="I70" i="35" s="1"/>
  <c r="M24" i="6" l="1"/>
  <c r="M25" i="6" s="1"/>
  <c r="I10" i="34" l="1"/>
  <c r="L21" i="6" l="1"/>
  <c r="L16" i="6"/>
  <c r="L14" i="6"/>
  <c r="L9" i="6"/>
  <c r="L7" i="6"/>
  <c r="L5" i="6"/>
  <c r="O7" i="34"/>
  <c r="O4" i="34"/>
  <c r="N7" i="33"/>
  <c r="N4" i="33"/>
  <c r="I65" i="34"/>
  <c r="I61" i="34"/>
  <c r="I56" i="34"/>
  <c r="I53" i="34"/>
  <c r="I48" i="34"/>
  <c r="I45" i="34"/>
  <c r="I40" i="34"/>
  <c r="I36" i="34"/>
  <c r="I62" i="34" s="1"/>
  <c r="I66" i="34" s="1"/>
  <c r="I67" i="34" s="1"/>
  <c r="I24" i="34"/>
  <c r="I25" i="34" s="1"/>
  <c r="I26" i="34" s="1"/>
  <c r="I19" i="34"/>
  <c r="I9" i="34"/>
  <c r="I27" i="34" s="1"/>
  <c r="L18" i="6" l="1"/>
  <c r="L11" i="6"/>
  <c r="L24" i="6" s="1"/>
  <c r="I68" i="34"/>
  <c r="I69" i="34" s="1"/>
  <c r="L22" i="6" l="1"/>
  <c r="L17" i="6"/>
  <c r="L15" i="6"/>
  <c r="L10" i="6"/>
  <c r="L8" i="6"/>
  <c r="L19" i="6" l="1"/>
  <c r="K9" i="6"/>
  <c r="K10" i="33"/>
  <c r="L25" i="6" l="1"/>
  <c r="L12" i="6"/>
  <c r="K21" i="6"/>
  <c r="N45" i="33"/>
  <c r="I56" i="32"/>
  <c r="I54" i="33"/>
  <c r="L61" i="32"/>
  <c r="K46" i="33"/>
  <c r="I46" i="33"/>
  <c r="M4" i="32"/>
  <c r="L18" i="32" l="1"/>
  <c r="K16" i="6"/>
  <c r="K14" i="6"/>
  <c r="K7" i="6"/>
  <c r="K11" i="6" s="1"/>
  <c r="M7" i="32"/>
  <c r="N1" i="33"/>
  <c r="K5" i="6"/>
  <c r="K10" i="6" s="1"/>
  <c r="I65" i="33"/>
  <c r="I66" i="33" s="1"/>
  <c r="I67" i="33" s="1"/>
  <c r="I57" i="33"/>
  <c r="I53" i="33"/>
  <c r="I49" i="33"/>
  <c r="I42" i="33"/>
  <c r="I37" i="33"/>
  <c r="I34" i="33"/>
  <c r="I58" i="33" s="1"/>
  <c r="I59" i="33" s="1"/>
  <c r="I18" i="33"/>
  <c r="I23" i="33" s="1"/>
  <c r="I24" i="33" s="1"/>
  <c r="I25" i="33" s="1"/>
  <c r="I9" i="33"/>
  <c r="I10" i="33" s="1"/>
  <c r="K18" i="6" l="1"/>
  <c r="K19" i="6" s="1"/>
  <c r="K15" i="6"/>
  <c r="K12" i="6"/>
  <c r="K17" i="6"/>
  <c r="K22" i="6"/>
  <c r="K8" i="6"/>
  <c r="I26" i="33"/>
  <c r="I60" i="33" s="1"/>
  <c r="I68" i="33" s="1"/>
  <c r="K24" i="6" l="1"/>
  <c r="K25" i="6" s="1"/>
  <c r="J21" i="6" l="1"/>
  <c r="J16" i="6"/>
  <c r="J14" i="6"/>
  <c r="J9" i="6"/>
  <c r="J7" i="6"/>
  <c r="J5" i="6"/>
  <c r="I59" i="32"/>
  <c r="I55" i="32"/>
  <c r="I50" i="32"/>
  <c r="I47" i="32"/>
  <c r="I42" i="32"/>
  <c r="I37" i="32"/>
  <c r="I33" i="32"/>
  <c r="I60" i="32" s="1"/>
  <c r="I61" i="32" s="1"/>
  <c r="I23" i="32"/>
  <c r="I24" i="32" s="1"/>
  <c r="I25" i="32" s="1"/>
  <c r="I17" i="32"/>
  <c r="I9" i="32"/>
  <c r="I10" i="32" s="1"/>
  <c r="I26" i="32" l="1"/>
  <c r="I62" i="32" s="1"/>
  <c r="I63" i="32" s="1"/>
  <c r="M1" i="32"/>
  <c r="J22" i="6"/>
  <c r="J17" i="6"/>
  <c r="J18" i="6"/>
  <c r="J19" i="6" s="1"/>
  <c r="J11" i="6"/>
  <c r="J12" i="6" s="1"/>
  <c r="J24" i="6" l="1"/>
  <c r="J25" i="6" s="1"/>
  <c r="J10" i="6"/>
  <c r="J8" i="6"/>
  <c r="J15" i="6"/>
  <c r="M1" i="30"/>
  <c r="M1" i="31"/>
  <c r="I5" i="6"/>
  <c r="I7" i="6"/>
  <c r="I9" i="6"/>
  <c r="I14" i="6"/>
  <c r="I16" i="6"/>
  <c r="I21" i="6"/>
  <c r="M7" i="31"/>
  <c r="M4" i="31"/>
  <c r="I63" i="31"/>
  <c r="I59" i="31"/>
  <c r="I54" i="31"/>
  <c r="I50" i="31"/>
  <c r="I45" i="31"/>
  <c r="I42" i="31"/>
  <c r="I37" i="31"/>
  <c r="I33" i="31"/>
  <c r="I60" i="31" s="1"/>
  <c r="I23" i="31"/>
  <c r="I24" i="31" s="1"/>
  <c r="I25" i="31" s="1"/>
  <c r="I17" i="31"/>
  <c r="I9" i="31"/>
  <c r="I10" i="31" s="1"/>
  <c r="I15" i="6" l="1"/>
  <c r="I10" i="6"/>
  <c r="I17" i="6"/>
  <c r="I8" i="6"/>
  <c r="I22" i="6"/>
  <c r="I18" i="6"/>
  <c r="I19" i="6" s="1"/>
  <c r="I11" i="6"/>
  <c r="I64" i="31"/>
  <c r="I65" i="31" s="1"/>
  <c r="I26" i="31"/>
  <c r="H21" i="6"/>
  <c r="H16" i="6"/>
  <c r="M7" i="30"/>
  <c r="M4" i="30"/>
  <c r="H14" i="6"/>
  <c r="H9" i="6"/>
  <c r="H7" i="6"/>
  <c r="H5" i="6"/>
  <c r="I66" i="30"/>
  <c r="I67" i="30" s="1"/>
  <c r="I68" i="30" s="1"/>
  <c r="I58" i="30"/>
  <c r="I54" i="30"/>
  <c r="I50" i="30"/>
  <c r="I47" i="30"/>
  <c r="I41" i="30"/>
  <c r="I36" i="30"/>
  <c r="I32" i="30"/>
  <c r="I55" i="30" s="1"/>
  <c r="I59" i="30" s="1"/>
  <c r="I60" i="30" s="1"/>
  <c r="I17" i="30"/>
  <c r="I22" i="30" s="1"/>
  <c r="I23" i="30" s="1"/>
  <c r="I24" i="30" s="1"/>
  <c r="I9" i="30"/>
  <c r="I10" i="30" s="1"/>
  <c r="I12" i="6" l="1"/>
  <c r="I24" i="6"/>
  <c r="I66" i="31"/>
  <c r="I67" i="31" s="1"/>
  <c r="H17" i="6"/>
  <c r="H11" i="6"/>
  <c r="H12" i="6" s="1"/>
  <c r="H10" i="6"/>
  <c r="H15" i="6"/>
  <c r="H22" i="6"/>
  <c r="H8" i="6"/>
  <c r="I25" i="30"/>
  <c r="I61" i="30" s="1"/>
  <c r="H18" i="6"/>
  <c r="H19" i="6" s="1"/>
  <c r="M7" i="29"/>
  <c r="G9" i="6"/>
  <c r="G5" i="6"/>
  <c r="G7" i="6"/>
  <c r="M4" i="29"/>
  <c r="I67" i="29"/>
  <c r="I68" i="29" s="1"/>
  <c r="I69" i="29" s="1"/>
  <c r="I59" i="29"/>
  <c r="I55" i="29"/>
  <c r="I51" i="29"/>
  <c r="I48" i="29"/>
  <c r="I42" i="29"/>
  <c r="I37" i="29"/>
  <c r="I56" i="29" s="1"/>
  <c r="I60" i="29" s="1"/>
  <c r="I61" i="29" s="1"/>
  <c r="I33" i="29"/>
  <c r="I17" i="29"/>
  <c r="I23" i="29" s="1"/>
  <c r="I24" i="29" s="1"/>
  <c r="I25" i="29" s="1"/>
  <c r="I9" i="29"/>
  <c r="I10" i="29" s="1"/>
  <c r="I25" i="6" l="1"/>
  <c r="I69" i="30"/>
  <c r="H24" i="6"/>
  <c r="I26" i="29"/>
  <c r="I62" i="29" s="1"/>
  <c r="I70" i="29" s="1"/>
  <c r="G21" i="6"/>
  <c r="G14" i="6"/>
  <c r="H25" i="6" l="1"/>
  <c r="I71" i="30"/>
  <c r="G16" i="6"/>
  <c r="G17" i="6" s="1"/>
  <c r="G22" i="6"/>
  <c r="G8" i="6"/>
  <c r="G18" i="6" l="1"/>
  <c r="G19" i="6" s="1"/>
  <c r="G11" i="6"/>
  <c r="G12" i="6" s="1"/>
  <c r="G15" i="6"/>
  <c r="G10" i="6"/>
  <c r="F9" i="6"/>
  <c r="F21" i="6"/>
  <c r="F16" i="6"/>
  <c r="F14" i="6"/>
  <c r="P18" i="6" s="1"/>
  <c r="F7" i="6"/>
  <c r="P11" i="6" s="1"/>
  <c r="F5" i="6"/>
  <c r="L7" i="28"/>
  <c r="L4" i="28"/>
  <c r="P24" i="6" l="1"/>
  <c r="P15" i="6"/>
  <c r="P19" i="6"/>
  <c r="P17" i="6"/>
  <c r="P8" i="6"/>
  <c r="P12" i="6"/>
  <c r="P10" i="6"/>
  <c r="G24" i="6"/>
  <c r="G25" i="6" s="1"/>
  <c r="F22" i="6"/>
  <c r="F17" i="6"/>
  <c r="F18" i="6"/>
  <c r="F19" i="6" s="1"/>
  <c r="F10" i="6"/>
  <c r="F8" i="6"/>
  <c r="P25" i="6" l="1"/>
  <c r="P22" i="6"/>
  <c r="F15" i="6"/>
  <c r="F11" i="6"/>
  <c r="F12" i="6" s="1"/>
  <c r="F24" i="6" l="1"/>
  <c r="F25" i="6" l="1"/>
  <c r="H57" i="28" l="1"/>
  <c r="H51" i="28"/>
  <c r="H47" i="28"/>
  <c r="H42" i="28"/>
  <c r="H37" i="28"/>
  <c r="H34" i="28"/>
  <c r="H58" i="28" s="1"/>
  <c r="H59" i="28" s="1"/>
  <c r="H29" i="28"/>
  <c r="H17" i="28"/>
  <c r="H23" i="28" s="1"/>
  <c r="H24" i="28" s="1"/>
  <c r="H10" i="28"/>
  <c r="H11" i="28" s="1"/>
  <c r="H25" i="28" l="1"/>
  <c r="H60" i="28" s="1"/>
  <c r="H61" i="28" s="1"/>
  <c r="J9" i="25" l="1"/>
  <c r="I9" i="25"/>
  <c r="H9" i="25"/>
  <c r="G9" i="25"/>
  <c r="F9" i="25"/>
  <c r="E9" i="25"/>
  <c r="D9" i="25"/>
  <c r="C9" i="25"/>
  <c r="B9" i="25"/>
  <c r="O10" i="24" l="1"/>
  <c r="R14" i="24"/>
  <c r="R13" i="24"/>
  <c r="B26" i="24"/>
  <c r="O25" i="24"/>
  <c r="N25" i="24"/>
  <c r="M25" i="24"/>
  <c r="L25" i="24"/>
  <c r="K25" i="24"/>
  <c r="J25" i="24"/>
  <c r="I25" i="24"/>
  <c r="H25" i="24"/>
  <c r="G25" i="24"/>
  <c r="F25" i="24"/>
  <c r="E25" i="24"/>
  <c r="D25" i="24"/>
  <c r="C25" i="24"/>
  <c r="B25" i="24"/>
  <c r="Q23" i="24"/>
  <c r="B23" i="24"/>
  <c r="O22" i="24"/>
  <c r="N22" i="24"/>
  <c r="M22" i="24"/>
  <c r="L22" i="24"/>
  <c r="K22" i="24"/>
  <c r="J22" i="24"/>
  <c r="I22" i="24"/>
  <c r="H22" i="24"/>
  <c r="G22" i="24"/>
  <c r="F22" i="24"/>
  <c r="E22" i="24"/>
  <c r="D22" i="24"/>
  <c r="C22" i="24"/>
  <c r="B22" i="24"/>
  <c r="B20" i="24"/>
  <c r="Q19" i="24"/>
  <c r="Q28" i="24" s="1"/>
  <c r="B19" i="24"/>
  <c r="Q18" i="24"/>
  <c r="B18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Q16" i="24"/>
  <c r="B16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Q13" i="24"/>
  <c r="B13" i="24"/>
  <c r="B12" i="24"/>
  <c r="B11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Q9" i="24"/>
  <c r="B9" i="24"/>
  <c r="O8" i="24"/>
  <c r="N8" i="24"/>
  <c r="N12" i="24" s="1"/>
  <c r="M8" i="24"/>
  <c r="L8" i="24"/>
  <c r="K8" i="24"/>
  <c r="J8" i="24"/>
  <c r="J12" i="24" s="1"/>
  <c r="I8" i="24"/>
  <c r="H8" i="24"/>
  <c r="G8" i="24"/>
  <c r="F8" i="24"/>
  <c r="F12" i="24" s="1"/>
  <c r="E8" i="24"/>
  <c r="D8" i="24"/>
  <c r="C8" i="24"/>
  <c r="B8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G18" i="24" l="1"/>
  <c r="R15" i="24"/>
  <c r="R17" i="24" s="1"/>
  <c r="R19" i="24" s="1"/>
  <c r="G16" i="24"/>
  <c r="O16" i="24"/>
  <c r="E9" i="24"/>
  <c r="J16" i="24"/>
  <c r="H12" i="24"/>
  <c r="H13" i="24" s="1"/>
  <c r="J18" i="24"/>
  <c r="O9" i="24"/>
  <c r="C11" i="24"/>
  <c r="G11" i="24"/>
  <c r="K11" i="24"/>
  <c r="E18" i="24"/>
  <c r="I18" i="24"/>
  <c r="M18" i="24"/>
  <c r="D12" i="24"/>
  <c r="D13" i="24" s="1"/>
  <c r="F18" i="24"/>
  <c r="C16" i="24"/>
  <c r="I9" i="24"/>
  <c r="M9" i="24"/>
  <c r="P15" i="24"/>
  <c r="H16" i="24"/>
  <c r="L16" i="24"/>
  <c r="C19" i="24"/>
  <c r="C20" i="24" s="1"/>
  <c r="K19" i="24"/>
  <c r="K20" i="24" s="1"/>
  <c r="O18" i="24"/>
  <c r="G19" i="24"/>
  <c r="N18" i="24"/>
  <c r="K16" i="24"/>
  <c r="F13" i="24"/>
  <c r="J13" i="24"/>
  <c r="N13" i="24"/>
  <c r="E16" i="24"/>
  <c r="I16" i="24"/>
  <c r="M16" i="24"/>
  <c r="O19" i="24"/>
  <c r="O20" i="24" s="1"/>
  <c r="O11" i="24"/>
  <c r="C9" i="24"/>
  <c r="K9" i="24"/>
  <c r="C18" i="24"/>
  <c r="G20" i="24"/>
  <c r="C23" i="24"/>
  <c r="G23" i="24"/>
  <c r="K23" i="24"/>
  <c r="O23" i="24"/>
  <c r="C26" i="24"/>
  <c r="G26" i="24"/>
  <c r="K26" i="24"/>
  <c r="O26" i="24"/>
  <c r="F9" i="24"/>
  <c r="N9" i="24"/>
  <c r="H19" i="24"/>
  <c r="H20" i="24" s="1"/>
  <c r="P22" i="24"/>
  <c r="D26" i="24"/>
  <c r="H26" i="24"/>
  <c r="L26" i="24"/>
  <c r="C12" i="24"/>
  <c r="C13" i="24" s="1"/>
  <c r="G12" i="24"/>
  <c r="G13" i="24" s="1"/>
  <c r="K12" i="24"/>
  <c r="K13" i="24" s="1"/>
  <c r="G9" i="24"/>
  <c r="E11" i="24"/>
  <c r="I11" i="24"/>
  <c r="M11" i="24"/>
  <c r="F19" i="24"/>
  <c r="F20" i="24" s="1"/>
  <c r="J19" i="24"/>
  <c r="J20" i="24" s="1"/>
  <c r="N19" i="24"/>
  <c r="N20" i="24" s="1"/>
  <c r="F16" i="24"/>
  <c r="N16" i="24"/>
  <c r="K18" i="24"/>
  <c r="E26" i="24"/>
  <c r="I26" i="24"/>
  <c r="M26" i="24"/>
  <c r="B28" i="24"/>
  <c r="P8" i="24"/>
  <c r="H9" i="24"/>
  <c r="L9" i="24"/>
  <c r="J9" i="24"/>
  <c r="F11" i="24"/>
  <c r="J11" i="24"/>
  <c r="N11" i="24"/>
  <c r="L12" i="24"/>
  <c r="L13" i="24" s="1"/>
  <c r="P17" i="24"/>
  <c r="D19" i="24"/>
  <c r="L19" i="24"/>
  <c r="L20" i="24" s="1"/>
  <c r="F23" i="24"/>
  <c r="J23" i="24"/>
  <c r="N23" i="24"/>
  <c r="F26" i="24"/>
  <c r="J26" i="24"/>
  <c r="N26" i="24"/>
  <c r="O12" i="24"/>
  <c r="O13" i="24" s="1"/>
  <c r="P10" i="24"/>
  <c r="J28" i="24"/>
  <c r="P6" i="24"/>
  <c r="D23" i="24"/>
  <c r="H11" i="24"/>
  <c r="I12" i="24"/>
  <c r="I13" i="24" s="1"/>
  <c r="M12" i="24"/>
  <c r="M13" i="24" s="1"/>
  <c r="D18" i="24"/>
  <c r="L18" i="24"/>
  <c r="I23" i="24"/>
  <c r="M23" i="24"/>
  <c r="D9" i="24"/>
  <c r="D16" i="24"/>
  <c r="E19" i="24"/>
  <c r="E20" i="24" s="1"/>
  <c r="I19" i="24"/>
  <c r="I20" i="24" s="1"/>
  <c r="M19" i="24"/>
  <c r="M20" i="24" s="1"/>
  <c r="Q20" i="24"/>
  <c r="H23" i="24"/>
  <c r="L23" i="24"/>
  <c r="D11" i="24"/>
  <c r="L11" i="24"/>
  <c r="E12" i="24"/>
  <c r="E13" i="24" s="1"/>
  <c r="H18" i="24"/>
  <c r="E23" i="24"/>
  <c r="P25" i="24"/>
  <c r="Q25" i="24"/>
  <c r="Q26" i="24" s="1"/>
  <c r="P11" i="24" l="1"/>
  <c r="F28" i="24"/>
  <c r="D28" i="24"/>
  <c r="D20" i="24"/>
  <c r="C28" i="24"/>
  <c r="K28" i="24"/>
  <c r="P18" i="24"/>
  <c r="P9" i="24"/>
  <c r="P26" i="24"/>
  <c r="P23" i="24"/>
  <c r="P16" i="24"/>
  <c r="L28" i="24"/>
  <c r="H28" i="24"/>
  <c r="G28" i="24"/>
  <c r="N28" i="24"/>
  <c r="O28" i="24"/>
  <c r="P19" i="24"/>
  <c r="P20" i="24" s="1"/>
  <c r="M28" i="24"/>
  <c r="P12" i="24"/>
  <c r="P13" i="24" s="1"/>
  <c r="I28" i="24"/>
  <c r="E28" i="24"/>
  <c r="P28" i="24" l="1"/>
  <c r="D20" i="5" l="1"/>
  <c r="E20" i="5" s="1"/>
  <c r="B14" i="6" s="1"/>
  <c r="D15" i="5"/>
  <c r="C34" i="5"/>
  <c r="B34" i="5"/>
  <c r="H86" i="4"/>
  <c r="H79" i="4"/>
  <c r="H73" i="4"/>
  <c r="H70" i="4"/>
  <c r="H66" i="4"/>
  <c r="D22" i="5" s="1"/>
  <c r="E22" i="5" s="1"/>
  <c r="B16" i="6" s="1"/>
  <c r="H61" i="4"/>
  <c r="H48" i="4"/>
  <c r="H45" i="4"/>
  <c r="H41" i="4"/>
  <c r="H24" i="4"/>
  <c r="H32" i="4" s="1"/>
  <c r="H33" i="4" s="1"/>
  <c r="H12" i="4"/>
  <c r="H13" i="4" s="1"/>
  <c r="D20" i="2"/>
  <c r="D15" i="2"/>
  <c r="H86" i="3"/>
  <c r="H79" i="3"/>
  <c r="H73" i="3"/>
  <c r="H70" i="3"/>
  <c r="H66" i="3"/>
  <c r="D22" i="2" s="1"/>
  <c r="H61" i="3"/>
  <c r="H48" i="3"/>
  <c r="H45" i="3"/>
  <c r="H41" i="3"/>
  <c r="H24" i="3"/>
  <c r="H32" i="3" s="1"/>
  <c r="H33" i="3" s="1"/>
  <c r="D13" i="2" s="1"/>
  <c r="H12" i="3"/>
  <c r="H13" i="3" s="1"/>
  <c r="D11" i="2" s="1"/>
  <c r="E11" i="2" s="1"/>
  <c r="Q6" i="1"/>
  <c r="B25" i="1"/>
  <c r="B22" i="1"/>
  <c r="B19" i="1"/>
  <c r="B17" i="1"/>
  <c r="B15" i="1"/>
  <c r="B12" i="1"/>
  <c r="B10" i="1"/>
  <c r="B8" i="1"/>
  <c r="B6" i="1"/>
  <c r="B23" i="1"/>
  <c r="B26" i="1"/>
  <c r="B16" i="1"/>
  <c r="B18" i="1"/>
  <c r="B20" i="1"/>
  <c r="B9" i="1"/>
  <c r="B11" i="1"/>
  <c r="B13" i="1"/>
  <c r="C34" i="2"/>
  <c r="B34" i="2"/>
  <c r="H34" i="4" l="1"/>
  <c r="H81" i="4"/>
  <c r="H87" i="4" s="1"/>
  <c r="D27" i="5" s="1"/>
  <c r="E27" i="5" s="1"/>
  <c r="B21" i="6" s="1"/>
  <c r="D11" i="5"/>
  <c r="D23" i="5" s="1"/>
  <c r="H81" i="3"/>
  <c r="H87" i="3" s="1"/>
  <c r="D27" i="2" s="1"/>
  <c r="D13" i="5"/>
  <c r="E13" i="5" s="1"/>
  <c r="B7" i="6" s="1"/>
  <c r="E22" i="2"/>
  <c r="C17" i="1" s="1"/>
  <c r="D17" i="2"/>
  <c r="D18" i="2" s="1"/>
  <c r="D14" i="2"/>
  <c r="D23" i="2"/>
  <c r="E13" i="2"/>
  <c r="D21" i="2"/>
  <c r="D16" i="2"/>
  <c r="B18" i="6"/>
  <c r="E15" i="5"/>
  <c r="B9" i="6" s="1"/>
  <c r="D24" i="5"/>
  <c r="E15" i="2"/>
  <c r="D24" i="2"/>
  <c r="E20" i="2"/>
  <c r="C6" i="1"/>
  <c r="H34" i="3"/>
  <c r="H88" i="3" s="1"/>
  <c r="H89" i="3" s="1"/>
  <c r="D30" i="2" s="1"/>
  <c r="D31" i="2" s="1"/>
  <c r="B28" i="1"/>
  <c r="D16" i="5" l="1"/>
  <c r="D28" i="2"/>
  <c r="E27" i="2"/>
  <c r="E28" i="2" s="1"/>
  <c r="F27" i="2" s="1"/>
  <c r="D17" i="5"/>
  <c r="E17" i="5" s="1"/>
  <c r="E30" i="2"/>
  <c r="E31" i="2" s="1"/>
  <c r="F30" i="2" s="1"/>
  <c r="F31" i="2" s="1"/>
  <c r="B11" i="6"/>
  <c r="D28" i="5"/>
  <c r="D14" i="5"/>
  <c r="D21" i="5"/>
  <c r="E11" i="5"/>
  <c r="E16" i="5" s="1"/>
  <c r="F15" i="5" s="1"/>
  <c r="F16" i="5" s="1"/>
  <c r="H88" i="4"/>
  <c r="E17" i="2"/>
  <c r="E18" i="2" s="1"/>
  <c r="C18" i="1"/>
  <c r="Q17" i="1" s="1"/>
  <c r="Q18" i="1" s="1"/>
  <c r="E23" i="2"/>
  <c r="F22" i="2" s="1"/>
  <c r="F23" i="2" s="1"/>
  <c r="E14" i="2"/>
  <c r="F13" i="2" s="1"/>
  <c r="F14" i="2" s="1"/>
  <c r="C8" i="1"/>
  <c r="C9" i="1" s="1"/>
  <c r="Q8" i="1" s="1"/>
  <c r="Q9" i="1" s="1"/>
  <c r="B5" i="6"/>
  <c r="B10" i="6" s="1"/>
  <c r="D25" i="5"/>
  <c r="E24" i="5"/>
  <c r="D34" i="5"/>
  <c r="C10" i="1"/>
  <c r="E16" i="2"/>
  <c r="F15" i="2" s="1"/>
  <c r="D34" i="2"/>
  <c r="D25" i="2"/>
  <c r="E24" i="2"/>
  <c r="C15" i="1"/>
  <c r="E21" i="2"/>
  <c r="F20" i="2" s="1"/>
  <c r="C22" i="1" l="1"/>
  <c r="C23" i="1" s="1"/>
  <c r="Q22" i="1" s="1"/>
  <c r="Q23" i="1" s="1"/>
  <c r="C25" i="1"/>
  <c r="C26" i="1" s="1"/>
  <c r="E14" i="5"/>
  <c r="F13" i="5" s="1"/>
  <c r="F14" i="5" s="1"/>
  <c r="D18" i="5"/>
  <c r="E28" i="5"/>
  <c r="F27" i="5" s="1"/>
  <c r="F28" i="5" s="1"/>
  <c r="E23" i="5"/>
  <c r="F22" i="5" s="1"/>
  <c r="F23" i="5" s="1"/>
  <c r="E25" i="5"/>
  <c r="E21" i="5"/>
  <c r="F20" i="5" s="1"/>
  <c r="E18" i="5"/>
  <c r="H89" i="4"/>
  <c r="D30" i="5"/>
  <c r="B22" i="6"/>
  <c r="B19" i="6"/>
  <c r="B17" i="6"/>
  <c r="B15" i="6"/>
  <c r="B8" i="6"/>
  <c r="B12" i="6"/>
  <c r="E34" i="5"/>
  <c r="F17" i="5"/>
  <c r="F18" i="5" s="1"/>
  <c r="C11" i="1"/>
  <c r="Q10" i="1" s="1"/>
  <c r="C12" i="1"/>
  <c r="C19" i="1"/>
  <c r="C20" i="1" s="1"/>
  <c r="C16" i="1"/>
  <c r="Q15" i="1" s="1"/>
  <c r="F16" i="2"/>
  <c r="F17" i="2"/>
  <c r="F28" i="2"/>
  <c r="F21" i="2"/>
  <c r="F24" i="2"/>
  <c r="F25" i="2" s="1"/>
  <c r="E25" i="2"/>
  <c r="E34" i="2"/>
  <c r="F24" i="5" l="1"/>
  <c r="F25" i="5" s="1"/>
  <c r="F21" i="5"/>
  <c r="E30" i="5"/>
  <c r="D31" i="5"/>
  <c r="F34" i="2"/>
  <c r="Q16" i="1"/>
  <c r="Q19" i="1"/>
  <c r="Q20" i="1" s="1"/>
  <c r="Q11" i="1"/>
  <c r="Q12" i="1"/>
  <c r="C13" i="1"/>
  <c r="C28" i="1"/>
  <c r="F34" i="5" l="1"/>
  <c r="B24" i="6"/>
  <c r="B25" i="6" s="1"/>
  <c r="E31" i="5"/>
  <c r="F30" i="5" s="1"/>
  <c r="F31" i="5" s="1"/>
  <c r="Q13" i="1"/>
  <c r="Q28" i="1"/>
  <c r="Q25" i="1"/>
  <c r="Q26" i="1" s="1"/>
</calcChain>
</file>

<file path=xl/sharedStrings.xml><?xml version="1.0" encoding="utf-8"?>
<sst xmlns="http://schemas.openxmlformats.org/spreadsheetml/2006/main" count="1230" uniqueCount="340">
  <si>
    <t>Freight &amp; Custom Cost % of Sales</t>
  </si>
  <si>
    <t>Direct Labor % of Sales</t>
  </si>
  <si>
    <t>Salary % of Sales</t>
  </si>
  <si>
    <t>Total Direct and Salary % of Sales</t>
  </si>
  <si>
    <t>All Overhead $ (minus all labor)</t>
  </si>
  <si>
    <t>Actual</t>
  </si>
  <si>
    <t>Sales $</t>
  </si>
  <si>
    <t>All Overhead % (minus all labor)</t>
  </si>
  <si>
    <t>Net Income $</t>
  </si>
  <si>
    <t>Net Income %</t>
  </si>
  <si>
    <t>Direct Labor $</t>
  </si>
  <si>
    <t>Salary $</t>
  </si>
  <si>
    <t>Jan</t>
  </si>
  <si>
    <t>Feb</t>
  </si>
  <si>
    <t>Tropical Fish International (Pvt) Ltd</t>
  </si>
  <si>
    <t>Mar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</si>
  <si>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</si>
  <si>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</si>
  <si>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</si>
  <si>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</si>
  <si>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</si>
  <si>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</si>
  <si>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</si>
  <si>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</si>
  <si>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</si>
  <si>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Total</t>
  </si>
  <si>
    <t>2013     2014</t>
  </si>
  <si>
    <t>Fish/ Product Cost $</t>
  </si>
  <si>
    <t>Fish/ Product Cost % of Sales</t>
  </si>
  <si>
    <t>Total Fish/Prod/Frt/ Cust % of Sales</t>
  </si>
  <si>
    <t>Budget</t>
  </si>
  <si>
    <t>Freight &amp; Custom Cost $</t>
  </si>
  <si>
    <t>Total Fish/Prod/Frt/ Cust $</t>
  </si>
  <si>
    <t>Total Direct and Salary $</t>
  </si>
  <si>
    <t>Monthly Key Performance Metrics- 2014 ($,000)</t>
  </si>
  <si>
    <t xml:space="preserve">Location: Thailand </t>
  </si>
  <si>
    <t>CIS International</t>
  </si>
  <si>
    <t>Budget 2014</t>
  </si>
  <si>
    <t>Av.Ex.Rate</t>
  </si>
  <si>
    <t>Location: Thailand</t>
  </si>
  <si>
    <t>12 Mos Thai Baht</t>
  </si>
  <si>
    <t>12 Mos US$</t>
  </si>
  <si>
    <t>12Mos US$</t>
  </si>
  <si>
    <t xml:space="preserve">Sales </t>
  </si>
  <si>
    <t xml:space="preserve">Fish/ Product Cost </t>
  </si>
  <si>
    <t>Freight &amp; Custom Cost</t>
  </si>
  <si>
    <t xml:space="preserve">Total Fish/Product/Frt/ Custom </t>
  </si>
  <si>
    <t>Total Fish/Product/Frt/ Custom % of Sales</t>
  </si>
  <si>
    <t>Direct Labor ( Packing labor )</t>
  </si>
  <si>
    <t>Direct Labor ( Packing labor ) % of Sales</t>
  </si>
  <si>
    <t xml:space="preserve">Salary </t>
  </si>
  <si>
    <t xml:space="preserve">Total Direct Labor and Salary </t>
  </si>
  <si>
    <t>Total Direct Labor and Salary % of Sales</t>
  </si>
  <si>
    <t>All Overhead  (minus all labor)</t>
  </si>
  <si>
    <t xml:space="preserve">Net Income </t>
  </si>
  <si>
    <t>Net Income % Sales</t>
  </si>
  <si>
    <t>Jan - Dec 13</t>
  </si>
  <si>
    <t>Ordinary Income/Expense</t>
  </si>
  <si>
    <t>Income</t>
  </si>
  <si>
    <t>4000000 · Income</t>
  </si>
  <si>
    <t>4000010 · Sale of FISH</t>
  </si>
  <si>
    <t>4000030 · Frieght Charges</t>
  </si>
  <si>
    <t>4000040 · Packaging charges</t>
  </si>
  <si>
    <t>4000050 · Additional Charges</t>
  </si>
  <si>
    <t>4000080 · DOA</t>
  </si>
  <si>
    <t>4000090 · Aquatic Plants</t>
  </si>
  <si>
    <t>4000000 · Income - Other</t>
  </si>
  <si>
    <t>Total 4000000 · Income</t>
  </si>
  <si>
    <t>Total Income</t>
  </si>
  <si>
    <t>Cost of Goods Sold</t>
  </si>
  <si>
    <t>50000 · Cost of Goods Sold</t>
  </si>
  <si>
    <t>5100000 · Cost of Sales</t>
  </si>
  <si>
    <t>5100080 Packing Charges</t>
  </si>
  <si>
    <t>5100020 · Fish Purchases</t>
  </si>
  <si>
    <t>5100021 · Plant &amp; Aquatics</t>
  </si>
  <si>
    <t>5100025 · Dry Goods</t>
  </si>
  <si>
    <t>5100050 · Ice</t>
  </si>
  <si>
    <t>5100055 · Oxigen expenses</t>
  </si>
  <si>
    <t>5100060 · Chemicals</t>
  </si>
  <si>
    <t>Total 5100025 · Dry Goods</t>
  </si>
  <si>
    <t>5100030 · Freight expenses</t>
  </si>
  <si>
    <t>5100036 · Custom Fees</t>
  </si>
  <si>
    <t>5100037 · Transportation Other</t>
  </si>
  <si>
    <t>5100045 · Packaging - Supplier</t>
  </si>
  <si>
    <t>5100065 · Supplies expense-Factory</t>
  </si>
  <si>
    <t>5100070 · Packaging</t>
  </si>
  <si>
    <t>5100075 · Packing  Labor</t>
  </si>
  <si>
    <t>Total 5100000 · Cost of Sales</t>
  </si>
  <si>
    <t>Total COGS</t>
  </si>
  <si>
    <t>Gross Profit</t>
  </si>
  <si>
    <t>Expense</t>
  </si>
  <si>
    <t>Farm Over Head</t>
  </si>
  <si>
    <t>5200070 Parking Fees - Car</t>
  </si>
  <si>
    <t>Farm Communication Expenses</t>
  </si>
  <si>
    <t>5200160 · Telephone</t>
  </si>
  <si>
    <t>5200170 · Internet</t>
  </si>
  <si>
    <t>Total Farm Communication Expenses</t>
  </si>
  <si>
    <t>Farm Vehicle Expenses</t>
  </si>
  <si>
    <t>5200260 · Fuel</t>
  </si>
  <si>
    <t>5200350 · Repair &amp; mainternance -vechicle</t>
  </si>
  <si>
    <t>Total Farm Vehicle Expenses</t>
  </si>
  <si>
    <t>Finance &amp; Other Charges</t>
  </si>
  <si>
    <t>5200180 · Bank Service Charges</t>
  </si>
  <si>
    <t>Total Finance &amp; Other Charges</t>
  </si>
  <si>
    <t>Other Farm Over Head</t>
  </si>
  <si>
    <t>5200250 SupplerExpense- Factory</t>
  </si>
  <si>
    <t>Cleaning Charges- Office</t>
  </si>
  <si>
    <t>Proffessional Fees</t>
  </si>
  <si>
    <t>5200080 · Repair &amp; mainternance - Machine</t>
  </si>
  <si>
    <t>5200181 · Farm Tool</t>
  </si>
  <si>
    <t>5200240 · Supplies expense-Office</t>
  </si>
  <si>
    <t>5200340 · Repair &amp; mainternance - Office</t>
  </si>
  <si>
    <t>5200360 · Repair &amp; maint - Machine &amp; Equi</t>
  </si>
  <si>
    <t>5200365 · Repiar &amp; Maint - Computers</t>
  </si>
  <si>
    <t>5200380 · Other  fees</t>
  </si>
  <si>
    <t>5200400 · Penalties &amp; Fines</t>
  </si>
  <si>
    <t>Total Other Farm Over Head</t>
  </si>
  <si>
    <t>PayRoll Expenses</t>
  </si>
  <si>
    <t>5200100 · Salary</t>
  </si>
  <si>
    <t>5200112 · Social Security Fund</t>
  </si>
  <si>
    <t>5200115 · Over time</t>
  </si>
  <si>
    <t>Total PayRoll Expenses</t>
  </si>
  <si>
    <t>Selling &amp; Distribution</t>
  </si>
  <si>
    <t>5200083 - Sale Promotion</t>
  </si>
  <si>
    <t>5200113 Advertising</t>
  </si>
  <si>
    <t>Total Selling &amp; Distribution</t>
  </si>
  <si>
    <t>Traveling &amp; Transport</t>
  </si>
  <si>
    <t>5200270 · Travel by taxi</t>
  </si>
  <si>
    <t>Total Traveling &amp; Transport</t>
  </si>
  <si>
    <t>Utility Expenses</t>
  </si>
  <si>
    <t>5200090 · Water</t>
  </si>
  <si>
    <t>5200095 · Electrictricity</t>
  </si>
  <si>
    <t>5200205 · Drinking Water</t>
  </si>
  <si>
    <t>5200395 · Land Rental Fees</t>
  </si>
  <si>
    <t>Total Utility Expenses</t>
  </si>
  <si>
    <t>5200077 · Insurance -vechicle</t>
  </si>
  <si>
    <t>Total Farm Over Head</t>
  </si>
  <si>
    <t>5200000 · Direct Farm Expenses</t>
  </si>
  <si>
    <t>5200310 · Vichicle  tax</t>
  </si>
  <si>
    <t>5200450 · Short (over)from stang</t>
  </si>
  <si>
    <t>5200600 · Taxation</t>
  </si>
  <si>
    <t>Total 5200000 · Direct Farm Expenses</t>
  </si>
  <si>
    <t>Total Expense</t>
  </si>
  <si>
    <t>Net Ordinary Income</t>
  </si>
  <si>
    <t>Net Income</t>
  </si>
  <si>
    <t>Jan 3rd-Feb 6th</t>
  </si>
  <si>
    <t>Feb7th-March 6th</t>
  </si>
  <si>
    <t>March 7th-April 6th</t>
  </si>
  <si>
    <t>April 7th-May 1st</t>
  </si>
  <si>
    <t>May 2nd - June 5th</t>
  </si>
  <si>
    <t>Jun 6th - July 3rd</t>
  </si>
  <si>
    <t>Jul 4th - July 31st</t>
  </si>
  <si>
    <t>Aug 1st  - Sep 4th</t>
  </si>
  <si>
    <t>Sep 5th - Oct 2nd</t>
  </si>
  <si>
    <t>Oct 3rd - Nov 6th</t>
  </si>
  <si>
    <t>Nov 7th - Dec 4th</t>
  </si>
  <si>
    <t>Dec 5th  - Jan 1st</t>
  </si>
  <si>
    <t>HR</t>
  </si>
  <si>
    <t>IT</t>
  </si>
  <si>
    <t>Finance</t>
  </si>
  <si>
    <t>Admin</t>
  </si>
  <si>
    <t>SPD</t>
  </si>
  <si>
    <t>Marketing</t>
  </si>
  <si>
    <t>Apportionment Basis - Given by Sam - on 13th Feb 2015</t>
  </si>
  <si>
    <t>Company</t>
  </si>
  <si>
    <t>Gen.Mgt</t>
  </si>
  <si>
    <t>Utilities</t>
  </si>
  <si>
    <t>Overheads</t>
  </si>
  <si>
    <t>TeKSS</t>
  </si>
  <si>
    <t>TFI</t>
  </si>
  <si>
    <t>CIS</t>
  </si>
  <si>
    <t>STF</t>
  </si>
  <si>
    <t>5302000 · Direct Administration</t>
  </si>
  <si>
    <t>5301080 · Director Fee</t>
  </si>
  <si>
    <t>5302030 · Staff Welfare</t>
  </si>
  <si>
    <t>5302080 · Postage,Printing &amp; Stationeries</t>
  </si>
  <si>
    <t>5302090 · Computer Equipment Maintenance</t>
  </si>
  <si>
    <t>5302100 · General Repairs &amp; Maintenance</t>
  </si>
  <si>
    <t>Total 5302000 · Direct Administration</t>
  </si>
  <si>
    <t>5303000 · Communication Expenses</t>
  </si>
  <si>
    <t>5303020 · Leased Line Charges</t>
  </si>
  <si>
    <t>5303030 · Mobile Bills</t>
  </si>
  <si>
    <t>5303040 · Broadband Bills</t>
  </si>
  <si>
    <t>Total 5303000 · Communication Expenses</t>
  </si>
  <si>
    <t>5304000 · Utility Expenses</t>
  </si>
  <si>
    <t>5304020 · Water Charges</t>
  </si>
  <si>
    <t>5304040 · Electricity Head Office</t>
  </si>
  <si>
    <t>5304010 · Water Bottles - Drinking</t>
  </si>
  <si>
    <t>5304030 · Rent - Head Office</t>
  </si>
  <si>
    <t>Total 5304000 · Utility Expenses</t>
  </si>
  <si>
    <t>5305000 · Travelling &amp; Transport</t>
  </si>
  <si>
    <t>5305030 · Vehicle Maintenance Expenses</t>
  </si>
  <si>
    <t>5305060 · Travelling Charges</t>
  </si>
  <si>
    <t>Total 5305000 · Travelling &amp; Transport</t>
  </si>
  <si>
    <t>5307000 · Selling &amp; Distribution Expenses</t>
  </si>
  <si>
    <t>5307010 · Advertisment Expenses</t>
  </si>
  <si>
    <t>Total 5307000 · Selling &amp; Distribution Expenses</t>
  </si>
  <si>
    <t>5308000 · Finance &amp; Other Charges</t>
  </si>
  <si>
    <t>5308020 · Bank Charges</t>
  </si>
  <si>
    <t>5308040 · Loan Interests Expenses</t>
  </si>
  <si>
    <t>Total 5308000 · Finance &amp; Other Charges</t>
  </si>
  <si>
    <t>Jan 30 - Feb 26, 15</t>
  </si>
  <si>
    <t>5300000 · Head Office Expenses</t>
  </si>
  <si>
    <t>5301000 · Payroll Expenses</t>
  </si>
  <si>
    <t>Total 5301000 · Payroll Expenses</t>
  </si>
  <si>
    <t>5302020 · Professional Fees</t>
  </si>
  <si>
    <t>5302040 · Insurance Expenses</t>
  </si>
  <si>
    <t>5302042 · Insurance General &amp; Vehicles</t>
  </si>
  <si>
    <t>Total 5302040 · Insurance Expenses</t>
  </si>
  <si>
    <t>5302050 · Staff Recruitment &amp; Training</t>
  </si>
  <si>
    <t>5302060 · BOI Annual Fees</t>
  </si>
  <si>
    <t>5303010 · Land Line No.011-2873980</t>
  </si>
  <si>
    <t>5303050 · VPN Charges</t>
  </si>
  <si>
    <t>5303080 · ADSL Line 0112075525</t>
  </si>
  <si>
    <t>5308030 · Interest Expense - Overdraft</t>
  </si>
  <si>
    <t xml:space="preserve">Actual </t>
  </si>
  <si>
    <t>Key Performance Metrics- 2016 ($,000)</t>
  </si>
  <si>
    <t>Jan 1 - 28, 16</t>
  </si>
  <si>
    <t>4000030 · Freight Charges</t>
  </si>
  <si>
    <t>Administration Expenses</t>
  </si>
  <si>
    <t>Accounting &amp; IT Fees</t>
  </si>
  <si>
    <t>Total Administration Expenses</t>
  </si>
  <si>
    <t>Security Fees</t>
  </si>
  <si>
    <t>1 USD</t>
  </si>
  <si>
    <t>Thai Baht</t>
  </si>
  <si>
    <t>Note  - 01 - Salary</t>
  </si>
  <si>
    <t>Apportionment %</t>
  </si>
  <si>
    <t>Comments</t>
  </si>
  <si>
    <r>
      <rPr>
        <b/>
        <sz val="11"/>
        <color theme="1"/>
        <rFont val="Calibri"/>
        <family val="2"/>
        <scheme val="minor"/>
      </rPr>
      <t>01.</t>
    </r>
    <r>
      <rPr>
        <sz val="11"/>
        <color theme="1"/>
        <rFont val="Calibri"/>
        <family val="2"/>
        <scheme val="minor"/>
      </rPr>
      <t xml:space="preserve"> STF - Direct Salary</t>
    </r>
  </si>
  <si>
    <t>Directly identified</t>
  </si>
  <si>
    <t>Note  - 02 - Overheads</t>
  </si>
  <si>
    <t>01. STF - Direct Overhead</t>
  </si>
  <si>
    <t>Note</t>
  </si>
  <si>
    <t>01</t>
  </si>
  <si>
    <t>02</t>
  </si>
  <si>
    <t>STF P1</t>
  </si>
  <si>
    <t>Jan 29 - Feb 25</t>
  </si>
  <si>
    <t>STF P2</t>
  </si>
  <si>
    <t>Jan 1 - Jan 28</t>
  </si>
  <si>
    <t>Jan 29 - Feb 25, 16</t>
  </si>
  <si>
    <t>5100000 · Cost of Good Sold</t>
  </si>
  <si>
    <t>5110000 · Cost of Sales</t>
  </si>
  <si>
    <t>5110100 · Fish Purchases</t>
  </si>
  <si>
    <t>5110400 · Dry Goods</t>
  </si>
  <si>
    <t>5110420 · Ice</t>
  </si>
  <si>
    <t>Total 5110400 · Dry Goods</t>
  </si>
  <si>
    <t>5110500 · Freight expenses</t>
  </si>
  <si>
    <t>5110700 · Custom Fees</t>
  </si>
  <si>
    <t>5110800 · Transportation -Fish Purchasing</t>
  </si>
  <si>
    <t>5110900 · Packaging - Supplier</t>
  </si>
  <si>
    <t>5111000 · Packing  Labor</t>
  </si>
  <si>
    <t>Total 5110000 · Cost of Sales</t>
  </si>
  <si>
    <t>Total 5100000 · Cost of Good Sold</t>
  </si>
  <si>
    <t>5000000 · Expenses</t>
  </si>
  <si>
    <t>5200000 · Administration Expenses</t>
  </si>
  <si>
    <t>5201000 · Farm Administration Expenses</t>
  </si>
  <si>
    <t>5201130 · Accounting &amp; IT Fees</t>
  </si>
  <si>
    <t>Total 5201000 · Farm Administration Expenses</t>
  </si>
  <si>
    <t>5202000 · Farm Communication Expenses</t>
  </si>
  <si>
    <t>5202100 · Telephone</t>
  </si>
  <si>
    <t>5202200 · Internet</t>
  </si>
  <si>
    <t>Total 5202000 · Farm Communication Expenses</t>
  </si>
  <si>
    <t>5203000 · Farm Pay Roll Expenses</t>
  </si>
  <si>
    <t>5203100 · Salary</t>
  </si>
  <si>
    <t>5203200 · Social Security Fund</t>
  </si>
  <si>
    <t>5203300 · Over time</t>
  </si>
  <si>
    <t>Total 5203000 · Farm Pay Roll Expenses</t>
  </si>
  <si>
    <t>5205000 · Farm Utility Expenses</t>
  </si>
  <si>
    <t>5205120 · Water</t>
  </si>
  <si>
    <t>5205130 · Electrictricity</t>
  </si>
  <si>
    <t>5205140 · Drinking Water</t>
  </si>
  <si>
    <t>5205170 · Land Rental Fees</t>
  </si>
  <si>
    <t>Total 5205000 · Farm Utility Expenses</t>
  </si>
  <si>
    <t>5206000 · Traveling &amp; Transport Expenses</t>
  </si>
  <si>
    <t>5206120 · Travel by taxi</t>
  </si>
  <si>
    <t>Total 5206000 · Traveling &amp; Transport Expenses</t>
  </si>
  <si>
    <t>5208000 · Other Farm Over Head</t>
  </si>
  <si>
    <t>5208120 · Supplies Expense - Office</t>
  </si>
  <si>
    <t>5208130 · Cleaning Charges - Office</t>
  </si>
  <si>
    <t>Total 5208000 · Other Farm Over Head</t>
  </si>
  <si>
    <t>Total 5200000 · Administration Expenses</t>
  </si>
  <si>
    <t>5400000 · Finance &amp; Other Charges</t>
  </si>
  <si>
    <t>5400110 · Bank Service Charges</t>
  </si>
  <si>
    <t>Total 5400000 · Finance &amp; Other Charges</t>
  </si>
  <si>
    <t>Total 5000000 · Expenses</t>
  </si>
  <si>
    <t>Other Income/Expense</t>
  </si>
  <si>
    <t>Other Income</t>
  </si>
  <si>
    <t>4200000 · Other Income</t>
  </si>
  <si>
    <t>4200020 · Income Other</t>
  </si>
  <si>
    <t>Total 4200000 · Other Income</t>
  </si>
  <si>
    <t>Total Other Income</t>
  </si>
  <si>
    <t>Net Other Income</t>
  </si>
  <si>
    <t>5201190 · Security Fees</t>
  </si>
  <si>
    <t>Feb 26 - Mar 31</t>
  </si>
  <si>
    <t>STF P3</t>
  </si>
  <si>
    <t>Feb 26 - Mar 31, 16</t>
  </si>
  <si>
    <t>Apr 1 - 28, 16</t>
  </si>
  <si>
    <t>5111100 · Commission</t>
  </si>
  <si>
    <t>5204000 · Farm Vehicle Expenses</t>
  </si>
  <si>
    <t>5204110 · Fuel</t>
  </si>
  <si>
    <t>Total 5204000 · Farm Vehicle Expenses</t>
  </si>
  <si>
    <t>5206130 · Travel by motor way</t>
  </si>
  <si>
    <t>5208110 · Suppler Expense - Factory</t>
  </si>
  <si>
    <t>Apr 1 - Apr 28</t>
  </si>
  <si>
    <t>STF P4</t>
  </si>
  <si>
    <t>Apr 29 - May 26</t>
  </si>
  <si>
    <t>STF P5</t>
  </si>
  <si>
    <t>Apr 29 - Jun 2, 16</t>
  </si>
  <si>
    <t>1. land rental fess</t>
  </si>
  <si>
    <t>STF P6</t>
  </si>
  <si>
    <t>Jun 3 - 30, 16</t>
  </si>
  <si>
    <t>5110450 · Packing Materials</t>
  </si>
  <si>
    <t>5201120 · Courier Charges</t>
  </si>
  <si>
    <t>4200010 · Interest</t>
  </si>
  <si>
    <t>May 27 - June 30</t>
  </si>
  <si>
    <t xml:space="preserve">need to Check </t>
  </si>
  <si>
    <t>July 01 - July 28</t>
  </si>
  <si>
    <t>STF P7</t>
  </si>
  <si>
    <t>Jul 1 - 28, 16</t>
  </si>
  <si>
    <t>5110430 · Oxygen expenses</t>
  </si>
  <si>
    <t>5201290 · Taxation</t>
  </si>
  <si>
    <t>5201320 · Machine Repair &amp; Maintaince</t>
  </si>
  <si>
    <t>Jul 29 - Aug 25, 16</t>
  </si>
  <si>
    <t>5201330 · Adinimistration Expenses</t>
  </si>
  <si>
    <t>5206150 · Transportion Fees</t>
  </si>
  <si>
    <t>5300000 · Selling &amp; Distribution Expenses</t>
  </si>
  <si>
    <t>5300130 · Insurance - Vechicle</t>
  </si>
  <si>
    <t>Total 5300000 · Selling &amp; Distribution Expenses</t>
  </si>
  <si>
    <t>July 29 - Aug 25</t>
  </si>
  <si>
    <t>STF P8</t>
  </si>
  <si>
    <t>Aug 26 - Sep 29</t>
  </si>
  <si>
    <t>Aug 26 - Sep 29, 16</t>
  </si>
  <si>
    <t>5100000 · Cost of Good Sold - Other</t>
  </si>
  <si>
    <t>5204000 · Farm Vehicle Expenses - Other</t>
  </si>
  <si>
    <t>5206000 · Traveling &amp; Transport Expenses - Other</t>
  </si>
  <si>
    <t>5400130 · Penalties &amp; Fines</t>
  </si>
  <si>
    <t>STF P9</t>
  </si>
  <si>
    <t>Sep 30-Oct 27</t>
  </si>
  <si>
    <t>Sep 30 - Oct 27, 16</t>
  </si>
  <si>
    <t>5208160 · Miscellaneous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</si>
</sst>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#,##0.0"/>
    <numFmt numFmtId="165" formatCode="0.0%"/>
    <numFmt numFmtId="166" formatCode="_(* #,##0_);_(* \(#,##0\);_(* &quot;-&quot;??_);_(@_)"/>
    <numFmt numFmtId="167" formatCode="#,##0.00;\-#,##0.00"/>
    <numFmt numFmtId="168" formatCode="0.0"/>
    <numFmt numFmtId="169" formatCode="_(* #,##0.0_);_(* \(#,##0.0\);_(* &quot;-&quot;??_);_(@_)"/>
    <numFmt numFmtId="170" formatCode="#,##0.0_);\(#,##0.0\)"/>
    <numFmt numFmtId="171" formatCode="#,##0.000000000000"/>
  </numFmts>
  <fonts count="2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i/>
      <u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5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43" fontId="6" fillId="0" borderId="0" applyFont="0" applyFill="0" applyBorder="0" applyAlignment="0" applyProtection="0"/>
    <xf numFmtId="0" fontId="6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</cellStyleXfs>
  <cellXfs count="26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Border="1"/>
    <xf numFmtId="0" fontId="8" fillId="0" borderId="0" xfId="0" applyFont="1"/>
    <xf numFmtId="0" fontId="9" fillId="0" borderId="0" xfId="0" applyFont="1"/>
    <xf numFmtId="0" fontId="8" fillId="0" borderId="0" xfId="0" applyFont="1" applyBorder="1"/>
    <xf numFmtId="0" fontId="10" fillId="0" borderId="2" xfId="0" applyFont="1" applyBorder="1"/>
    <xf numFmtId="0" fontId="10" fillId="0" borderId="4" xfId="0" applyFont="1" applyBorder="1"/>
    <xf numFmtId="0" fontId="10" fillId="0" borderId="8" xfId="0" applyFont="1" applyBorder="1"/>
    <xf numFmtId="0" fontId="11" fillId="0" borderId="3" xfId="0" applyFont="1" applyBorder="1" applyAlignment="1">
      <alignment horizontal="center"/>
    </xf>
    <xf numFmtId="0" fontId="11" fillId="0" borderId="1" xfId="0" applyFont="1" applyBorder="1"/>
    <xf numFmtId="37" fontId="11" fillId="0" borderId="5" xfId="0" applyNumberFormat="1" applyFont="1" applyBorder="1" applyAlignment="1">
      <alignment horizontal="center"/>
    </xf>
    <xf numFmtId="37" fontId="11" fillId="0" borderId="6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center"/>
    </xf>
    <xf numFmtId="4" fontId="11" fillId="0" borderId="5" xfId="0" applyNumberFormat="1" applyFont="1" applyBorder="1" applyAlignment="1">
      <alignment horizontal="center"/>
    </xf>
    <xf numFmtId="4" fontId="11" fillId="0" borderId="6" xfId="0" applyNumberFormat="1" applyFont="1" applyBorder="1" applyAlignment="1">
      <alignment horizontal="center"/>
    </xf>
    <xf numFmtId="10" fontId="11" fillId="0" borderId="5" xfId="2" applyNumberFormat="1" applyFont="1" applyBorder="1" applyAlignment="1">
      <alignment horizontal="center"/>
    </xf>
    <xf numFmtId="10" fontId="11" fillId="0" borderId="6" xfId="2" applyNumberFormat="1" applyFont="1" applyBorder="1" applyAlignment="1">
      <alignment horizontal="center"/>
    </xf>
    <xf numFmtId="10" fontId="11" fillId="0" borderId="3" xfId="2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3" fontId="11" fillId="0" borderId="5" xfId="0" applyNumberFormat="1" applyFont="1" applyBorder="1" applyAlignment="1">
      <alignment horizontal="center"/>
    </xf>
    <xf numFmtId="3" fontId="11" fillId="0" borderId="6" xfId="0" applyNumberFormat="1" applyFont="1" applyBorder="1" applyAlignment="1">
      <alignment horizontal="center"/>
    </xf>
    <xf numFmtId="10" fontId="11" fillId="0" borderId="1" xfId="2" applyNumberFormat="1" applyFont="1" applyBorder="1" applyAlignment="1">
      <alignment horizontal="center"/>
    </xf>
    <xf numFmtId="10" fontId="11" fillId="0" borderId="6" xfId="0" applyNumberFormat="1" applyFont="1" applyBorder="1" applyAlignment="1">
      <alignment horizontal="center"/>
    </xf>
    <xf numFmtId="10" fontId="11" fillId="0" borderId="3" xfId="0" applyNumberFormat="1" applyFont="1" applyBorder="1" applyAlignment="1">
      <alignment horizontal="center"/>
    </xf>
    <xf numFmtId="10" fontId="11" fillId="0" borderId="1" xfId="0" applyNumberFormat="1" applyFont="1" applyBorder="1" applyAlignment="1">
      <alignment horizontal="center"/>
    </xf>
    <xf numFmtId="0" fontId="12" fillId="0" borderId="2" xfId="0" applyFont="1" applyBorder="1"/>
    <xf numFmtId="0" fontId="13" fillId="0" borderId="2" xfId="0" applyFont="1" applyBorder="1"/>
    <xf numFmtId="0" fontId="10" fillId="0" borderId="9" xfId="0" applyFont="1" applyBorder="1"/>
    <xf numFmtId="0" fontId="11" fillId="0" borderId="10" xfId="0" applyFont="1" applyBorder="1"/>
    <xf numFmtId="3" fontId="0" fillId="0" borderId="0" xfId="0" applyNumberFormat="1"/>
    <xf numFmtId="0" fontId="14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3" fontId="0" fillId="0" borderId="14" xfId="0" applyNumberFormat="1" applyBorder="1"/>
    <xf numFmtId="3" fontId="0" fillId="0" borderId="0" xfId="0" applyNumberFormat="1" applyBorder="1"/>
    <xf numFmtId="9" fontId="0" fillId="0" borderId="0" xfId="0" applyNumberFormat="1" applyBorder="1"/>
    <xf numFmtId="10" fontId="0" fillId="0" borderId="0" xfId="0" applyNumberFormat="1" applyBorder="1"/>
    <xf numFmtId="10" fontId="0" fillId="0" borderId="17" xfId="0" applyNumberFormat="1" applyBorder="1"/>
    <xf numFmtId="3" fontId="0" fillId="0" borderId="18" xfId="0" applyNumberFormat="1" applyBorder="1"/>
    <xf numFmtId="0" fontId="0" fillId="0" borderId="19" xfId="0" applyBorder="1"/>
    <xf numFmtId="3" fontId="0" fillId="0" borderId="19" xfId="0" applyNumberFormat="1" applyBorder="1"/>
    <xf numFmtId="9" fontId="0" fillId="0" borderId="19" xfId="0" applyNumberFormat="1" applyBorder="1"/>
    <xf numFmtId="10" fontId="0" fillId="0" borderId="19" xfId="0" applyNumberFormat="1" applyBorder="1"/>
    <xf numFmtId="10" fontId="0" fillId="0" borderId="20" xfId="0" applyNumberFormat="1" applyBorder="1"/>
    <xf numFmtId="0" fontId="0" fillId="0" borderId="18" xfId="0" applyBorder="1"/>
    <xf numFmtId="9" fontId="0" fillId="0" borderId="18" xfId="0" applyNumberFormat="1" applyBorder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/>
    <xf numFmtId="0" fontId="0" fillId="0" borderId="21" xfId="0" applyBorder="1"/>
    <xf numFmtId="9" fontId="11" fillId="0" borderId="5" xfId="2" applyFont="1" applyBorder="1" applyAlignment="1">
      <alignment horizontal="center"/>
    </xf>
    <xf numFmtId="165" fontId="11" fillId="0" borderId="5" xfId="2" applyNumberFormat="1" applyFont="1" applyBorder="1" applyAlignment="1">
      <alignment horizontal="center"/>
    </xf>
    <xf numFmtId="165" fontId="11" fillId="0" borderId="6" xfId="2" applyNumberFormat="1" applyFont="1" applyBorder="1" applyAlignment="1">
      <alignment horizontal="center"/>
    </xf>
    <xf numFmtId="9" fontId="11" fillId="0" borderId="6" xfId="2" applyNumberFormat="1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164" fontId="0" fillId="0" borderId="0" xfId="0" applyNumberFormat="1"/>
    <xf numFmtId="164" fontId="8" fillId="0" borderId="0" xfId="0" applyNumberFormat="1" applyFont="1"/>
    <xf numFmtId="164" fontId="9" fillId="0" borderId="0" xfId="0" applyNumberFormat="1" applyFont="1"/>
    <xf numFmtId="164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/>
    <xf numFmtId="166" fontId="11" fillId="0" borderId="6" xfId="5" applyNumberFormat="1" applyFont="1" applyBorder="1" applyAlignment="1">
      <alignment horizontal="center"/>
    </xf>
    <xf numFmtId="165" fontId="11" fillId="0" borderId="7" xfId="2" applyNumberFormat="1" applyFont="1" applyBorder="1" applyAlignment="1">
      <alignment horizontal="center"/>
    </xf>
    <xf numFmtId="37" fontId="0" fillId="0" borderId="0" xfId="0" applyNumberFormat="1"/>
    <xf numFmtId="3" fontId="11" fillId="0" borderId="10" xfId="0" applyNumberFormat="1" applyFont="1" applyBorder="1"/>
    <xf numFmtId="166" fontId="11" fillId="0" borderId="10" xfId="5" applyNumberFormat="1" applyFont="1" applyBorder="1"/>
    <xf numFmtId="166" fontId="11" fillId="0" borderId="10" xfId="0" applyNumberFormat="1" applyFont="1" applyBorder="1"/>
    <xf numFmtId="9" fontId="11" fillId="0" borderId="10" xfId="2" applyFont="1" applyBorder="1"/>
    <xf numFmtId="165" fontId="11" fillId="0" borderId="10" xfId="2" applyNumberFormat="1" applyFont="1" applyBorder="1"/>
    <xf numFmtId="10" fontId="11" fillId="0" borderId="10" xfId="2" applyNumberFormat="1" applyFont="1" applyBorder="1"/>
    <xf numFmtId="165" fontId="11" fillId="0" borderId="11" xfId="2" applyNumberFormat="1" applyFont="1" applyBorder="1"/>
    <xf numFmtId="49" fontId="15" fillId="0" borderId="0" xfId="0" applyNumberFormat="1" applyFont="1" applyAlignment="1">
      <alignment horizontal="center"/>
    </xf>
    <xf numFmtId="49" fontId="15" fillId="0" borderId="2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15" fillId="0" borderId="0" xfId="0" applyNumberFormat="1" applyFont="1"/>
    <xf numFmtId="167" fontId="16" fillId="0" borderId="0" xfId="0" applyNumberFormat="1" applyFont="1"/>
    <xf numFmtId="167" fontId="16" fillId="0" borderId="0" xfId="0" applyNumberFormat="1" applyFont="1" applyBorder="1"/>
    <xf numFmtId="167" fontId="16" fillId="0" borderId="21" xfId="0" applyNumberFormat="1" applyFont="1" applyBorder="1"/>
    <xf numFmtId="167" fontId="16" fillId="0" borderId="17" xfId="0" applyNumberFormat="1" applyFont="1" applyBorder="1"/>
    <xf numFmtId="167" fontId="16" fillId="0" borderId="14" xfId="0" applyNumberFormat="1" applyFont="1" applyBorder="1"/>
    <xf numFmtId="167" fontId="15" fillId="0" borderId="23" xfId="0" applyNumberFormat="1" applyFont="1" applyBorder="1"/>
    <xf numFmtId="0" fontId="15" fillId="0" borderId="0" xfId="0" applyFont="1"/>
    <xf numFmtId="165" fontId="0" fillId="0" borderId="19" xfId="2" applyNumberFormat="1" applyFont="1" applyBorder="1"/>
    <xf numFmtId="165" fontId="0" fillId="0" borderId="19" xfId="0" applyNumberFormat="1" applyBorder="1"/>
    <xf numFmtId="165" fontId="0" fillId="0" borderId="0" xfId="0" applyNumberFormat="1" applyBorder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12" fillId="0" borderId="2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9" fontId="11" fillId="0" borderId="1" xfId="2" applyFont="1" applyBorder="1" applyAlignment="1"/>
    <xf numFmtId="165" fontId="11" fillId="0" borderId="1" xfId="2" applyNumberFormat="1" applyFont="1" applyBorder="1" applyAlignment="1"/>
    <xf numFmtId="10" fontId="11" fillId="0" borderId="1" xfId="2" applyNumberFormat="1" applyFont="1" applyBorder="1" applyAlignment="1"/>
    <xf numFmtId="0" fontId="0" fillId="0" borderId="0" xfId="0" applyAlignment="1"/>
    <xf numFmtId="0" fontId="10" fillId="0" borderId="1" xfId="0" applyFont="1" applyBorder="1" applyAlignment="1">
      <alignment horizontal="left" wrapText="1"/>
    </xf>
    <xf numFmtId="0" fontId="10" fillId="0" borderId="1" xfId="0" applyFont="1" applyBorder="1"/>
    <xf numFmtId="164" fontId="10" fillId="0" borderId="1" xfId="0" applyNumberFormat="1" applyFont="1" applyBorder="1" applyAlignment="1"/>
    <xf numFmtId="3" fontId="10" fillId="0" borderId="1" xfId="0" applyNumberFormat="1" applyFont="1" applyBorder="1"/>
    <xf numFmtId="9" fontId="11" fillId="0" borderId="1" xfId="2" applyNumberFormat="1" applyFont="1" applyBorder="1" applyAlignment="1"/>
    <xf numFmtId="9" fontId="10" fillId="0" borderId="1" xfId="2" applyNumberFormat="1" applyFont="1" applyBorder="1" applyAlignment="1"/>
    <xf numFmtId="9" fontId="10" fillId="0" borderId="1" xfId="0" applyNumberFormat="1" applyFont="1" applyBorder="1"/>
    <xf numFmtId="9" fontId="10" fillId="0" borderId="1" xfId="2" applyFont="1" applyBorder="1" applyAlignment="1"/>
    <xf numFmtId="165" fontId="10" fillId="0" borderId="1" xfId="2" applyNumberFormat="1" applyFont="1" applyBorder="1" applyAlignment="1"/>
    <xf numFmtId="10" fontId="10" fillId="0" borderId="1" xfId="0" applyNumberFormat="1" applyFont="1" applyBorder="1"/>
    <xf numFmtId="10" fontId="10" fillId="0" borderId="1" xfId="2" applyNumberFormat="1" applyFont="1" applyBorder="1" applyAlignment="1"/>
    <xf numFmtId="165" fontId="10" fillId="0" borderId="1" xfId="0" applyNumberFormat="1" applyFont="1" applyBorder="1" applyAlignment="1"/>
    <xf numFmtId="164" fontId="11" fillId="0" borderId="1" xfId="0" applyNumberFormat="1" applyFont="1" applyBorder="1" applyAlignment="1"/>
    <xf numFmtId="165" fontId="11" fillId="0" borderId="1" xfId="0" applyNumberFormat="1" applyFont="1" applyBorder="1" applyAlignment="1"/>
    <xf numFmtId="37" fontId="10" fillId="0" borderId="1" xfId="0" applyNumberFormat="1" applyFont="1" applyBorder="1" applyAlignment="1"/>
    <xf numFmtId="3" fontId="10" fillId="0" borderId="1" xfId="0" applyNumberFormat="1" applyFont="1" applyBorder="1" applyAlignment="1"/>
    <xf numFmtId="4" fontId="10" fillId="0" borderId="1" xfId="0" applyNumberFormat="1" applyFont="1" applyBorder="1" applyAlignment="1"/>
    <xf numFmtId="166" fontId="10" fillId="0" borderId="1" xfId="5" applyNumberFormat="1" applyFont="1" applyBorder="1" applyAlignment="1"/>
    <xf numFmtId="10" fontId="10" fillId="0" borderId="1" xfId="0" applyNumberFormat="1" applyFont="1" applyBorder="1" applyAlignment="1"/>
    <xf numFmtId="0" fontId="0" fillId="0" borderId="0" xfId="0" applyNumberFormat="1"/>
    <xf numFmtId="0" fontId="10" fillId="0" borderId="24" xfId="0" applyFont="1" applyBorder="1" applyAlignment="1">
      <alignment horizontal="left" wrapText="1"/>
    </xf>
    <xf numFmtId="0" fontId="10" fillId="0" borderId="25" xfId="0" applyFont="1" applyBorder="1" applyAlignment="1">
      <alignment horizontal="left" wrapText="1"/>
    </xf>
    <xf numFmtId="0" fontId="10" fillId="0" borderId="26" xfId="0" applyFont="1" applyBorder="1" applyAlignment="1">
      <alignment horizontal="left" wrapText="1"/>
    </xf>
    <xf numFmtId="164" fontId="10" fillId="0" borderId="9" xfId="0" applyNumberFormat="1" applyFont="1" applyBorder="1" applyAlignment="1">
      <alignment horizontal="left" wrapText="1"/>
    </xf>
    <xf numFmtId="164" fontId="10" fillId="0" borderId="27" xfId="0" applyNumberFormat="1" applyFont="1" applyBorder="1" applyAlignment="1">
      <alignment horizontal="left" wrapText="1"/>
    </xf>
    <xf numFmtId="164" fontId="10" fillId="3" borderId="3" xfId="0" applyNumberFormat="1" applyFont="1" applyFill="1" applyBorder="1" applyAlignment="1">
      <alignment horizontal="left" wrapText="1"/>
    </xf>
    <xf numFmtId="164" fontId="10" fillId="3" borderId="1" xfId="0" applyNumberFormat="1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0" fontId="10" fillId="0" borderId="12" xfId="0" applyFont="1" applyBorder="1" applyAlignment="1">
      <alignment horizontal="left" wrapText="1"/>
    </xf>
    <xf numFmtId="37" fontId="11" fillId="0" borderId="5" xfId="0" applyNumberFormat="1" applyFont="1" applyBorder="1" applyAlignment="1"/>
    <xf numFmtId="37" fontId="11" fillId="0" borderId="6" xfId="0" applyNumberFormat="1" applyFont="1" applyBorder="1" applyAlignment="1"/>
    <xf numFmtId="164" fontId="11" fillId="0" borderId="10" xfId="0" applyNumberFormat="1" applyFont="1" applyBorder="1" applyAlignment="1"/>
    <xf numFmtId="164" fontId="11" fillId="0" borderId="28" xfId="0" applyNumberFormat="1" applyFont="1" applyBorder="1" applyAlignment="1"/>
    <xf numFmtId="168" fontId="11" fillId="0" borderId="1" xfId="0" applyNumberFormat="1" applyFont="1" applyBorder="1" applyAlignment="1"/>
    <xf numFmtId="2" fontId="11" fillId="0" borderId="1" xfId="0" applyNumberFormat="1" applyFont="1" applyBorder="1" applyAlignment="1"/>
    <xf numFmtId="164" fontId="10" fillId="0" borderId="2" xfId="0" applyNumberFormat="1" applyFont="1" applyBorder="1" applyAlignment="1"/>
    <xf numFmtId="3" fontId="0" fillId="0" borderId="18" xfId="0" applyNumberFormat="1" applyBorder="1" applyAlignment="1"/>
    <xf numFmtId="3" fontId="11" fillId="0" borderId="10" xfId="0" applyNumberFormat="1" applyFont="1" applyBorder="1" applyAlignment="1"/>
    <xf numFmtId="0" fontId="11" fillId="0" borderId="1" xfId="0" applyFont="1" applyBorder="1" applyAlignment="1"/>
    <xf numFmtId="0" fontId="0" fillId="0" borderId="10" xfId="0" applyBorder="1" applyAlignment="1"/>
    <xf numFmtId="3" fontId="11" fillId="0" borderId="5" xfId="0" applyNumberFormat="1" applyFont="1" applyBorder="1" applyAlignment="1"/>
    <xf numFmtId="3" fontId="11" fillId="0" borderId="6" xfId="0" applyNumberFormat="1" applyFont="1" applyBorder="1" applyAlignment="1"/>
    <xf numFmtId="0" fontId="0" fillId="0" borderId="19" xfId="0" applyBorder="1" applyAlignment="1"/>
    <xf numFmtId="9" fontId="11" fillId="0" borderId="5" xfId="2" applyFont="1" applyBorder="1" applyAlignment="1"/>
    <xf numFmtId="9" fontId="11" fillId="0" borderId="6" xfId="2" applyNumberFormat="1" applyFont="1" applyBorder="1" applyAlignment="1"/>
    <xf numFmtId="9" fontId="11" fillId="0" borderId="10" xfId="2" applyNumberFormat="1" applyFont="1" applyBorder="1" applyAlignment="1"/>
    <xf numFmtId="9" fontId="11" fillId="0" borderId="28" xfId="2" applyNumberFormat="1" applyFont="1" applyBorder="1" applyAlignment="1"/>
    <xf numFmtId="9" fontId="11" fillId="0" borderId="10" xfId="2" applyFont="1" applyBorder="1" applyAlignment="1"/>
    <xf numFmtId="169" fontId="11" fillId="0" borderId="10" xfId="5" applyNumberFormat="1" applyFont="1" applyBorder="1" applyAlignment="1"/>
    <xf numFmtId="1" fontId="0" fillId="0" borderId="19" xfId="0" applyNumberFormat="1" applyBorder="1" applyAlignment="1"/>
    <xf numFmtId="9" fontId="11" fillId="0" borderId="6" xfId="2" applyFont="1" applyBorder="1" applyAlignment="1"/>
    <xf numFmtId="9" fontId="11" fillId="0" borderId="28" xfId="2" applyFont="1" applyBorder="1" applyAlignment="1"/>
    <xf numFmtId="9" fontId="0" fillId="0" borderId="10" xfId="2" applyFont="1" applyBorder="1" applyAlignment="1"/>
    <xf numFmtId="166" fontId="11" fillId="0" borderId="10" xfId="0" applyNumberFormat="1" applyFont="1" applyBorder="1" applyAlignment="1"/>
    <xf numFmtId="4" fontId="11" fillId="0" borderId="5" xfId="0" applyNumberFormat="1" applyFont="1" applyBorder="1" applyAlignment="1"/>
    <xf numFmtId="4" fontId="11" fillId="0" borderId="6" xfId="0" applyNumberFormat="1" applyFont="1" applyBorder="1" applyAlignment="1"/>
    <xf numFmtId="0" fontId="11" fillId="0" borderId="10" xfId="0" applyFont="1" applyBorder="1" applyAlignment="1"/>
    <xf numFmtId="0" fontId="11" fillId="0" borderId="2" xfId="0" applyFont="1" applyBorder="1" applyAlignment="1"/>
    <xf numFmtId="1" fontId="0" fillId="0" borderId="10" xfId="0" applyNumberFormat="1" applyBorder="1" applyAlignment="1"/>
    <xf numFmtId="165" fontId="11" fillId="0" borderId="5" xfId="2" applyNumberFormat="1" applyFont="1" applyBorder="1" applyAlignment="1"/>
    <xf numFmtId="165" fontId="11" fillId="0" borderId="6" xfId="2" applyNumberFormat="1" applyFont="1" applyBorder="1" applyAlignment="1"/>
    <xf numFmtId="165" fontId="11" fillId="0" borderId="10" xfId="2" applyNumberFormat="1" applyFont="1" applyBorder="1" applyAlignment="1"/>
    <xf numFmtId="165" fontId="11" fillId="0" borderId="28" xfId="2" applyNumberFormat="1" applyFont="1" applyBorder="1" applyAlignment="1"/>
    <xf numFmtId="168" fontId="11" fillId="0" borderId="28" xfId="0" applyNumberFormat="1" applyFont="1" applyBorder="1" applyAlignment="1"/>
    <xf numFmtId="166" fontId="11" fillId="0" borderId="10" xfId="5" applyNumberFormat="1" applyFont="1" applyBorder="1" applyAlignment="1"/>
    <xf numFmtId="10" fontId="11" fillId="0" borderId="5" xfId="2" applyNumberFormat="1" applyFont="1" applyBorder="1" applyAlignment="1"/>
    <xf numFmtId="10" fontId="11" fillId="0" borderId="6" xfId="2" applyNumberFormat="1" applyFont="1" applyBorder="1" applyAlignment="1"/>
    <xf numFmtId="10" fontId="11" fillId="0" borderId="10" xfId="2" applyNumberFormat="1" applyFont="1" applyBorder="1" applyAlignment="1"/>
    <xf numFmtId="10" fontId="11" fillId="0" borderId="28" xfId="2" applyNumberFormat="1" applyFont="1" applyBorder="1" applyAlignment="1"/>
    <xf numFmtId="166" fontId="11" fillId="0" borderId="6" xfId="5" applyNumberFormat="1" applyFont="1" applyBorder="1" applyAlignment="1"/>
    <xf numFmtId="169" fontId="11" fillId="0" borderId="28" xfId="5" applyNumberFormat="1" applyFont="1" applyBorder="1" applyAlignment="1"/>
    <xf numFmtId="169" fontId="11" fillId="0" borderId="1" xfId="5" applyNumberFormat="1" applyFont="1" applyBorder="1" applyAlignment="1"/>
    <xf numFmtId="0" fontId="11" fillId="0" borderId="28" xfId="0" applyFont="1" applyBorder="1" applyAlignment="1"/>
    <xf numFmtId="2" fontId="11" fillId="0" borderId="28" xfId="0" applyNumberFormat="1" applyFont="1" applyBorder="1" applyAlignment="1"/>
    <xf numFmtId="10" fontId="11" fillId="0" borderId="6" xfId="0" applyNumberFormat="1" applyFont="1" applyBorder="1" applyAlignment="1"/>
    <xf numFmtId="10" fontId="11" fillId="0" borderId="10" xfId="0" applyNumberFormat="1" applyFont="1" applyBorder="1" applyAlignment="1"/>
    <xf numFmtId="165" fontId="11" fillId="0" borderId="28" xfId="0" applyNumberFormat="1" applyFont="1" applyBorder="1" applyAlignment="1"/>
    <xf numFmtId="165" fontId="11" fillId="0" borderId="7" xfId="2" applyNumberFormat="1" applyFont="1" applyBorder="1" applyAlignment="1"/>
    <xf numFmtId="165" fontId="11" fillId="0" borderId="11" xfId="2" applyNumberFormat="1" applyFont="1" applyBorder="1" applyAlignment="1"/>
    <xf numFmtId="165" fontId="11" fillId="0" borderId="29" xfId="2" applyNumberFormat="1" applyFont="1" applyBorder="1" applyAlignment="1"/>
    <xf numFmtId="37" fontId="0" fillId="0" borderId="0" xfId="0" applyNumberFormat="1" applyAlignment="1"/>
    <xf numFmtId="170" fontId="0" fillId="0" borderId="0" xfId="0" applyNumberFormat="1" applyAlignment="1"/>
    <xf numFmtId="39" fontId="0" fillId="0" borderId="0" xfId="0" applyNumberFormat="1" applyAlignment="1"/>
    <xf numFmtId="43" fontId="11" fillId="0" borderId="0" xfId="5" applyFont="1" applyFill="1" applyBorder="1" applyAlignment="1"/>
    <xf numFmtId="43" fontId="0" fillId="0" borderId="0" xfId="5" applyFont="1"/>
    <xf numFmtId="43" fontId="0" fillId="0" borderId="0" xfId="0" applyNumberFormat="1"/>
    <xf numFmtId="0" fontId="1" fillId="0" borderId="0" xfId="0" applyFont="1" applyAlignment="1"/>
    <xf numFmtId="0" fontId="18" fillId="0" borderId="30" xfId="0" applyFont="1" applyBorder="1" applyAlignment="1">
      <alignment vertical="center"/>
    </xf>
    <xf numFmtId="0" fontId="18" fillId="0" borderId="31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0" fillId="4" borderId="33" xfId="0" applyFill="1" applyBorder="1" applyAlignment="1">
      <alignment vertical="center"/>
    </xf>
    <xf numFmtId="9" fontId="0" fillId="4" borderId="33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9" fontId="0" fillId="4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18" fillId="0" borderId="1" xfId="0" applyFont="1" applyBorder="1" applyAlignment="1">
      <alignment vertical="center"/>
    </xf>
    <xf numFmtId="9" fontId="18" fillId="0" borderId="1" xfId="0" applyNumberFormat="1" applyFont="1" applyBorder="1" applyAlignment="1">
      <alignment vertical="center"/>
    </xf>
    <xf numFmtId="0" fontId="17" fillId="5" borderId="0" xfId="0" applyFont="1" applyFill="1"/>
    <xf numFmtId="49" fontId="15" fillId="0" borderId="0" xfId="0" applyNumberFormat="1" applyFont="1"/>
    <xf numFmtId="167" fontId="16" fillId="0" borderId="0" xfId="0" applyNumberFormat="1" applyFont="1"/>
    <xf numFmtId="167" fontId="16" fillId="0" borderId="0" xfId="0" applyNumberFormat="1" applyFont="1" applyBorder="1"/>
    <xf numFmtId="167" fontId="16" fillId="0" borderId="14" xfId="0" applyNumberFormat="1" applyFont="1" applyBorder="1"/>
    <xf numFmtId="167" fontId="16" fillId="0" borderId="17" xfId="0" applyNumberFormat="1" applyFont="1" applyBorder="1"/>
    <xf numFmtId="49" fontId="15" fillId="0" borderId="0" xfId="0" applyNumberFormat="1" applyFont="1" applyAlignment="1">
      <alignment horizontal="center"/>
    </xf>
    <xf numFmtId="49" fontId="15" fillId="0" borderId="2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9" fontId="0" fillId="6" borderId="1" xfId="0" applyNumberFormat="1" applyFill="1" applyBorder="1" applyAlignment="1">
      <alignment vertical="center"/>
    </xf>
    <xf numFmtId="9" fontId="0" fillId="0" borderId="0" xfId="0" applyNumberFormat="1"/>
    <xf numFmtId="49" fontId="0" fillId="0" borderId="0" xfId="0" applyNumberFormat="1" applyBorder="1" applyAlignment="1">
      <alignment horizontal="centerContinuous"/>
    </xf>
    <xf numFmtId="49" fontId="15" fillId="0" borderId="34" xfId="0" applyNumberFormat="1" applyFont="1" applyBorder="1" applyAlignment="1">
      <alignment horizontal="center"/>
    </xf>
    <xf numFmtId="0" fontId="15" fillId="0" borderId="0" xfId="0" applyNumberFormat="1" applyFont="1"/>
    <xf numFmtId="0" fontId="0" fillId="7" borderId="1" xfId="0" applyFill="1" applyBorder="1" applyAlignment="1">
      <alignment horizontal="center"/>
    </xf>
    <xf numFmtId="0" fontId="17" fillId="8" borderId="1" xfId="0" applyFont="1" applyFill="1" applyBorder="1" applyAlignment="1">
      <alignment horizontal="left"/>
    </xf>
    <xf numFmtId="0" fontId="17" fillId="8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 wrapText="1"/>
    </xf>
    <xf numFmtId="0" fontId="0" fillId="0" borderId="1" xfId="0" applyBorder="1"/>
    <xf numFmtId="167" fontId="0" fillId="0" borderId="1" xfId="0" applyNumberFormat="1" applyBorder="1"/>
    <xf numFmtId="0" fontId="0" fillId="0" borderId="1" xfId="0" applyFont="1" applyBorder="1"/>
    <xf numFmtId="9" fontId="0" fillId="0" borderId="0" xfId="2" applyFont="1"/>
    <xf numFmtId="16" fontId="0" fillId="0" borderId="0" xfId="0" applyNumberFormat="1"/>
    <xf numFmtId="0" fontId="8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164" fontId="10" fillId="0" borderId="1" xfId="0" applyNumberFormat="1" applyFont="1" applyBorder="1" applyAlignment="1">
      <alignment horizontal="center"/>
    </xf>
    <xf numFmtId="9" fontId="10" fillId="0" borderId="1" xfId="2" applyNumberFormat="1" applyFont="1" applyBorder="1" applyAlignment="1">
      <alignment horizontal="center"/>
    </xf>
    <xf numFmtId="9" fontId="10" fillId="0" borderId="1" xfId="2" applyFont="1" applyBorder="1" applyAlignment="1">
      <alignment horizontal="center"/>
    </xf>
    <xf numFmtId="165" fontId="10" fillId="0" borderId="1" xfId="2" applyNumberFormat="1" applyFont="1" applyBorder="1" applyAlignment="1">
      <alignment horizontal="center"/>
    </xf>
    <xf numFmtId="164" fontId="10" fillId="8" borderId="1" xfId="0" quotePrefix="1" applyNumberFormat="1" applyFont="1" applyFill="1" applyBorder="1" applyAlignment="1">
      <alignment horizontal="center"/>
    </xf>
    <xf numFmtId="10" fontId="10" fillId="0" borderId="1" xfId="2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22" fillId="9" borderId="1" xfId="0" applyFont="1" applyFill="1" applyBorder="1" applyAlignment="1">
      <alignment horizontal="center" wrapText="1"/>
    </xf>
    <xf numFmtId="164" fontId="11" fillId="8" borderId="1" xfId="0" applyNumberFormat="1" applyFont="1" applyFill="1" applyBorder="1" applyAlignment="1"/>
    <xf numFmtId="2" fontId="0" fillId="7" borderId="1" xfId="0" applyNumberFormat="1" applyFill="1" applyBorder="1" applyAlignment="1">
      <alignment horizontal="center"/>
    </xf>
    <xf numFmtId="4" fontId="0" fillId="0" borderId="0" xfId="0" applyNumberFormat="1"/>
    <xf numFmtId="16" fontId="22" fillId="10" borderId="1" xfId="0" applyNumberFormat="1" applyFont="1" applyFill="1" applyBorder="1" applyAlignment="1">
      <alignment horizontal="center" wrapText="1"/>
    </xf>
    <xf numFmtId="167" fontId="0" fillId="0" borderId="0" xfId="0" applyNumberFormat="1"/>
    <xf numFmtId="16" fontId="22" fillId="11" borderId="1" xfId="0" applyNumberFormat="1" applyFont="1" applyFill="1" applyBorder="1" applyAlignment="1">
      <alignment horizontal="center" wrapText="1"/>
    </xf>
    <xf numFmtId="167" fontId="16" fillId="6" borderId="17" xfId="0" applyNumberFormat="1" applyFont="1" applyFill="1" applyBorder="1"/>
    <xf numFmtId="16" fontId="23" fillId="12" borderId="1" xfId="0" applyNumberFormat="1" applyFont="1" applyFill="1" applyBorder="1" applyAlignment="1">
      <alignment horizontal="center" wrapText="1"/>
    </xf>
    <xf numFmtId="16" fontId="23" fillId="13" borderId="1" xfId="0" applyNumberFormat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/>
    </xf>
    <xf numFmtId="167" fontId="16" fillId="6" borderId="14" xfId="0" applyNumberFormat="1" applyFont="1" applyFill="1" applyBorder="1"/>
    <xf numFmtId="167" fontId="16" fillId="6" borderId="0" xfId="0" applyNumberFormat="1" applyFont="1" applyFill="1" applyBorder="1"/>
    <xf numFmtId="167" fontId="16" fillId="6" borderId="0" xfId="0" applyNumberFormat="1" applyFont="1" applyFill="1"/>
    <xf numFmtId="3" fontId="10" fillId="8" borderId="1" xfId="0" applyNumberFormat="1" applyFont="1" applyFill="1" applyBorder="1" applyAlignment="1"/>
    <xf numFmtId="171" fontId="0" fillId="0" borderId="0" xfId="0" applyNumberFormat="1"/>
    <xf numFmtId="0" fontId="0" fillId="0" borderId="35" xfId="0" applyBorder="1"/>
    <xf numFmtId="167" fontId="0" fillId="0" borderId="21" xfId="0" applyNumberFormat="1" applyBorder="1"/>
    <xf numFmtId="0" fontId="0" fillId="0" borderId="36" xfId="0" applyBorder="1"/>
    <xf numFmtId="164" fontId="11" fillId="14" borderId="1" xfId="0" applyNumberFormat="1" applyFont="1" applyFill="1" applyBorder="1" applyAlignment="1"/>
    <xf numFmtId="3" fontId="10" fillId="14" borderId="1" xfId="0" applyNumberFormat="1" applyFont="1" applyFill="1" applyBorder="1" applyAlignment="1"/>
    <xf numFmtId="164" fontId="10" fillId="14" borderId="1" xfId="0" applyNumberFormat="1" applyFont="1" applyFill="1" applyBorder="1" applyAlignment="1"/>
    <xf numFmtId="0" fontId="10" fillId="15" borderId="1" xfId="0" applyFont="1" applyFill="1" applyBorder="1" applyAlignment="1">
      <alignment horizontal="center"/>
    </xf>
    <xf numFmtId="167" fontId="16" fillId="6" borderId="21" xfId="0" applyNumberFormat="1" applyFont="1" applyFill="1" applyBorder="1"/>
    <xf numFmtId="3" fontId="10" fillId="0" borderId="1" xfId="0" applyNumberFormat="1" applyFont="1" applyFill="1" applyBorder="1" applyAlignment="1"/>
    <xf numFmtId="0" fontId="10" fillId="16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49" fontId="0" fillId="0" borderId="22" xfId="0" applyNumberFormat="1" applyBorder="1" applyAlignment="1">
      <alignment horizontal="centerContinuous"/>
    </xf>
    <xf numFmtId="49" fontId="0" fillId="0" borderId="0" xfId="0" applyNumberFormat="1" applyAlignment="1">
      <alignment horizontal="center"/>
    </xf>
    <xf numFmtId="49" fontId="16" fillId="0" borderId="0" xfId="0" applyNumberFormat="1" applyFont="1"/>
    <xf numFmtId="0" fontId="8" fillId="8" borderId="1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14">
    <cellStyle name="Comma" xfId="5" builtinId="3"/>
    <cellStyle name="Normal" xfId="0" builtinId="0"/>
    <cellStyle name="Normal 2" xfId="1"/>
    <cellStyle name="Normal 2 2" xfId="6"/>
    <cellStyle name="Normal 2 3" xfId="7"/>
    <cellStyle name="Normal 2 4" xfId="8"/>
    <cellStyle name="Normal 2 5" xfId="13"/>
    <cellStyle name="Normal 3" xfId="3"/>
    <cellStyle name="Normal 3 2" xfId="9"/>
    <cellStyle name="Normal 3 3" xfId="10"/>
    <cellStyle name="Normal 4" xfId="4"/>
    <cellStyle name="Normal 4 2" xfId="11"/>
    <cellStyle name="Normal 4 3" xfId="12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0</xdr:colOff>
          <xdr:row>1</xdr:row>
          <xdr:rowOff>28575</xdr:rowOff>
        </xdr:to>
        <xdr:sp macro="" textlink="">
          <xdr:nvSpPr>
            <xdr:cNvPr id="12289" name="FILTER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0</xdr:colOff>
          <xdr:row>1</xdr:row>
          <xdr:rowOff>28575</xdr:rowOff>
        </xdr:to>
        <xdr:sp macro="" textlink="">
          <xdr:nvSpPr>
            <xdr:cNvPr id="12290" name="HEADER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0</xdr:colOff>
          <xdr:row>1</xdr:row>
          <xdr:rowOff>28575</xdr:rowOff>
        </xdr:to>
        <xdr:sp macro="" textlink="">
          <xdr:nvSpPr>
            <xdr:cNvPr id="7169" name="FILTER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0</xdr:colOff>
          <xdr:row>1</xdr:row>
          <xdr:rowOff>28575</xdr:rowOff>
        </xdr:to>
        <xdr:sp macro="" textlink="">
          <xdr:nvSpPr>
            <xdr:cNvPr id="7170" name="HEADER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4097" name="FILTER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4098" name="HEADER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2049" name="FILTER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2050" name="HEADER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hiramit\AppData\Local\Microsoft\Windows\Temporary%20Internet%20Files\Content.Outlook\3O04FWOS\KPM%202014%20-%20Thai%2001-01-2015%20-%209th%20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M-Thai"/>
      <sheetName val="Sales Details - Jan3rd-Nov 6th"/>
      <sheetName val="KPM Thai update 2014 "/>
      <sheetName val="5th Dec to 1st Jan"/>
      <sheetName val="Nov 7th to 4th Dec"/>
      <sheetName val="3rd Oct to 6th Nov"/>
      <sheetName val="5th Sep to 2nd Oct"/>
      <sheetName val="Aug 1st - Sep 4th"/>
      <sheetName val="July 4th - July 31st"/>
      <sheetName val="June 6th - July 3rd"/>
      <sheetName val="May 2nd - June 5th"/>
      <sheetName val="Summary Thai"/>
      <sheetName val="P&amp;L'13 Thai"/>
      <sheetName val="P&amp;L Thai'13 update 27.1.14"/>
      <sheetName val="Summary Thai update 27.1.14"/>
      <sheetName val="April 4th-1st may"/>
      <sheetName val="March 7th-April 3rd'14"/>
      <sheetName val="Feb 7th-March 6th'14"/>
      <sheetName val="Jan3rd-Feb6th'14"/>
      <sheetName val="Thai jan'14 update 2.11.14"/>
      <sheetName val="Thai Jan'14"/>
      <sheetName val="Sheet2"/>
    </sheetNames>
    <sheetDataSet>
      <sheetData sheetId="0" refreshError="1"/>
      <sheetData sheetId="1" refreshError="1"/>
      <sheetData sheetId="2" refreshError="1"/>
      <sheetData sheetId="3">
        <row r="11">
          <cell r="H11">
            <v>4629537.08</v>
          </cell>
        </row>
        <row r="18">
          <cell r="H18">
            <v>738538.06</v>
          </cell>
        </row>
        <row r="22">
          <cell r="H22">
            <v>35600</v>
          </cell>
        </row>
        <row r="24">
          <cell r="H24">
            <v>3297184.86</v>
          </cell>
        </row>
        <row r="49">
          <cell r="H49">
            <v>111059.65</v>
          </cell>
        </row>
        <row r="63">
          <cell r="I63">
            <v>205373.39</v>
          </cell>
        </row>
        <row r="68">
          <cell r="H68">
            <v>147.86000000000001</v>
          </cell>
        </row>
        <row r="72">
          <cell r="I72">
            <v>1127126.69</v>
          </cell>
        </row>
      </sheetData>
      <sheetData sheetId="4">
        <row r="10">
          <cell r="H10">
            <v>3179309.18</v>
          </cell>
        </row>
        <row r="17">
          <cell r="H17">
            <v>601884</v>
          </cell>
        </row>
        <row r="21">
          <cell r="H21">
            <v>33200</v>
          </cell>
        </row>
        <row r="22">
          <cell r="H22">
            <v>2580797.2000000002</v>
          </cell>
        </row>
        <row r="47">
          <cell r="H47">
            <v>111912.76</v>
          </cell>
        </row>
        <row r="60">
          <cell r="H60">
            <v>168999.07</v>
          </cell>
        </row>
        <row r="62">
          <cell r="H62">
            <v>429512.91</v>
          </cell>
        </row>
      </sheetData>
      <sheetData sheetId="5">
        <row r="10">
          <cell r="H10">
            <v>4168018.83</v>
          </cell>
        </row>
        <row r="18">
          <cell r="H18">
            <v>816196</v>
          </cell>
        </row>
        <row r="22">
          <cell r="H22">
            <v>42600</v>
          </cell>
        </row>
        <row r="24">
          <cell r="H24">
            <v>3556493.2</v>
          </cell>
        </row>
        <row r="43">
          <cell r="H43">
            <v>111017.02</v>
          </cell>
        </row>
        <row r="59">
          <cell r="H59">
            <v>212869.14</v>
          </cell>
        </row>
        <row r="61">
          <cell r="H61">
            <v>398656.49</v>
          </cell>
        </row>
      </sheetData>
      <sheetData sheetId="6">
        <row r="10">
          <cell r="H10">
            <v>4728392.5</v>
          </cell>
        </row>
        <row r="20">
          <cell r="H20">
            <v>998971</v>
          </cell>
        </row>
        <row r="24">
          <cell r="H24">
            <v>42200</v>
          </cell>
        </row>
        <row r="26">
          <cell r="H26">
            <v>3929331</v>
          </cell>
        </row>
        <row r="47">
          <cell r="H47">
            <v>110980.23</v>
          </cell>
        </row>
        <row r="63">
          <cell r="H63">
            <v>214458.72</v>
          </cell>
        </row>
        <row r="65">
          <cell r="H65">
            <v>584602.78</v>
          </cell>
        </row>
      </sheetData>
      <sheetData sheetId="7">
        <row r="11">
          <cell r="H11">
            <v>4578140.3899999997</v>
          </cell>
        </row>
        <row r="21">
          <cell r="H21">
            <v>822284</v>
          </cell>
        </row>
        <row r="25">
          <cell r="H25">
            <v>37500</v>
          </cell>
        </row>
        <row r="27">
          <cell r="H27">
            <v>4479505.3</v>
          </cell>
        </row>
        <row r="47">
          <cell r="H47">
            <v>111360.37</v>
          </cell>
        </row>
        <row r="61">
          <cell r="H61">
            <v>203457.93</v>
          </cell>
        </row>
        <row r="62">
          <cell r="H62">
            <v>-104822.84</v>
          </cell>
        </row>
      </sheetData>
      <sheetData sheetId="8">
        <row r="10">
          <cell r="H10">
            <v>2515303.14</v>
          </cell>
        </row>
        <row r="17">
          <cell r="H17">
            <v>464910</v>
          </cell>
        </row>
        <row r="20">
          <cell r="H20">
            <v>24300</v>
          </cell>
        </row>
        <row r="22">
          <cell r="H22">
            <v>2160296.85</v>
          </cell>
        </row>
        <row r="41">
          <cell r="H41">
            <v>108510.35</v>
          </cell>
        </row>
        <row r="56">
          <cell r="H56">
            <v>136107.85999999999</v>
          </cell>
        </row>
        <row r="58">
          <cell r="H58">
            <v>218898.43</v>
          </cell>
        </row>
      </sheetData>
      <sheetData sheetId="9">
        <row r="11">
          <cell r="H11">
            <v>4844034.5599999996</v>
          </cell>
        </row>
        <row r="20">
          <cell r="H20">
            <v>855796.01</v>
          </cell>
        </row>
        <row r="24">
          <cell r="H24">
            <v>40500</v>
          </cell>
        </row>
        <row r="26">
          <cell r="H26">
            <v>4127518.96</v>
          </cell>
        </row>
        <row r="45">
          <cell r="H45">
            <v>116245.05</v>
          </cell>
        </row>
        <row r="60">
          <cell r="H60">
            <v>169266.59</v>
          </cell>
        </row>
        <row r="65">
          <cell r="H65">
            <v>-1.59</v>
          </cell>
        </row>
        <row r="69">
          <cell r="H69">
            <v>547247.42000000004</v>
          </cell>
        </row>
      </sheetData>
      <sheetData sheetId="10">
        <row r="10">
          <cell r="H10">
            <v>3801853.89</v>
          </cell>
        </row>
        <row r="17">
          <cell r="H17">
            <v>606661</v>
          </cell>
        </row>
        <row r="22">
          <cell r="H22">
            <v>33500</v>
          </cell>
        </row>
        <row r="24">
          <cell r="H24">
            <v>3111903.35</v>
          </cell>
        </row>
        <row r="44">
          <cell r="H44">
            <v>112289.16</v>
          </cell>
        </row>
        <row r="61">
          <cell r="H61">
            <v>253085.41</v>
          </cell>
        </row>
        <row r="70">
          <cell r="H70">
            <v>437023.85</v>
          </cell>
        </row>
      </sheetData>
      <sheetData sheetId="11">
        <row r="11">
          <cell r="C11">
            <v>1193847</v>
          </cell>
        </row>
        <row r="13">
          <cell r="C13">
            <v>749313</v>
          </cell>
        </row>
        <row r="14">
          <cell r="C14">
            <v>0.63</v>
          </cell>
        </row>
        <row r="15">
          <cell r="C15">
            <v>250538</v>
          </cell>
        </row>
        <row r="16">
          <cell r="C16">
            <v>0.21</v>
          </cell>
        </row>
        <row r="17">
          <cell r="C17">
            <v>999851</v>
          </cell>
        </row>
        <row r="18">
          <cell r="C18">
            <v>0.84</v>
          </cell>
        </row>
        <row r="20">
          <cell r="C20">
            <v>9654</v>
          </cell>
        </row>
        <row r="21">
          <cell r="C21">
            <v>8.0000000000000002E-3</v>
          </cell>
        </row>
        <row r="22">
          <cell r="C22">
            <v>41292</v>
          </cell>
        </row>
        <row r="23">
          <cell r="C23">
            <v>3.5000000000000003E-2</v>
          </cell>
        </row>
        <row r="24">
          <cell r="C24">
            <v>50946</v>
          </cell>
        </row>
        <row r="25">
          <cell r="C25">
            <v>4.2999999999999997E-2</v>
          </cell>
        </row>
        <row r="27">
          <cell r="C27">
            <v>36973</v>
          </cell>
        </row>
        <row r="28">
          <cell r="C28">
            <v>3.1E-2</v>
          </cell>
        </row>
        <row r="30">
          <cell r="C30">
            <v>106077</v>
          </cell>
        </row>
        <row r="31">
          <cell r="C31">
            <v>8.8999999999999996E-2</v>
          </cell>
        </row>
      </sheetData>
      <sheetData sheetId="12" refreshError="1"/>
      <sheetData sheetId="13" refreshError="1"/>
      <sheetData sheetId="14">
        <row r="11">
          <cell r="E11">
            <v>1245048.1274229425</v>
          </cell>
        </row>
        <row r="13">
          <cell r="E13">
            <v>824886.64728312683</v>
          </cell>
        </row>
        <row r="15">
          <cell r="E15">
            <v>238274.11852557992</v>
          </cell>
        </row>
        <row r="20">
          <cell r="E20">
            <v>9896.7270416269475</v>
          </cell>
        </row>
        <row r="22">
          <cell r="E22">
            <v>42053.919923736896</v>
          </cell>
        </row>
        <row r="27">
          <cell r="E27">
            <v>22658.826819192876</v>
          </cell>
        </row>
        <row r="30">
          <cell r="E30">
            <v>107277.88782967906</v>
          </cell>
        </row>
      </sheetData>
      <sheetData sheetId="15">
        <row r="10">
          <cell r="H10">
            <v>3378677.16</v>
          </cell>
        </row>
        <row r="17">
          <cell r="H17">
            <v>555159</v>
          </cell>
        </row>
        <row r="20">
          <cell r="H20">
            <v>28000</v>
          </cell>
        </row>
        <row r="22">
          <cell r="H22">
            <v>2747193.22</v>
          </cell>
        </row>
        <row r="39">
          <cell r="H39">
            <v>112516.63</v>
          </cell>
        </row>
        <row r="52">
          <cell r="H52">
            <v>126285.08</v>
          </cell>
        </row>
        <row r="54">
          <cell r="H54">
            <v>505198.86</v>
          </cell>
        </row>
      </sheetData>
      <sheetData sheetId="16">
        <row r="10">
          <cell r="H10">
            <v>3309808.28</v>
          </cell>
        </row>
        <row r="17">
          <cell r="H17">
            <v>637330</v>
          </cell>
        </row>
        <row r="21">
          <cell r="H21">
            <v>30800</v>
          </cell>
        </row>
        <row r="23">
          <cell r="H23">
            <v>2797458</v>
          </cell>
        </row>
        <row r="39">
          <cell r="H39">
            <v>109534.14</v>
          </cell>
        </row>
        <row r="52">
          <cell r="H52">
            <v>150314.9</v>
          </cell>
        </row>
        <row r="54">
          <cell r="H54">
            <v>362035.38</v>
          </cell>
        </row>
      </sheetData>
      <sheetData sheetId="17">
        <row r="11">
          <cell r="H11">
            <v>2675508.4900000002</v>
          </cell>
        </row>
        <row r="21">
          <cell r="H21">
            <v>504733.5</v>
          </cell>
        </row>
        <row r="25">
          <cell r="H25">
            <v>22300</v>
          </cell>
        </row>
        <row r="27">
          <cell r="H27">
            <v>2097225.4999999995</v>
          </cell>
        </row>
        <row r="52">
          <cell r="H52">
            <v>112461.17</v>
          </cell>
        </row>
        <row r="68">
          <cell r="H68">
            <v>166871.03</v>
          </cell>
        </row>
        <row r="70">
          <cell r="H70">
            <v>411411.96000000066</v>
          </cell>
        </row>
      </sheetData>
      <sheetData sheetId="18">
        <row r="10">
          <cell r="H10">
            <v>3706980.9</v>
          </cell>
        </row>
        <row r="18">
          <cell r="H18">
            <v>625175</v>
          </cell>
        </row>
        <row r="21">
          <cell r="H21">
            <v>39940</v>
          </cell>
        </row>
        <row r="23">
          <cell r="H23">
            <v>2881225</v>
          </cell>
        </row>
        <row r="49">
          <cell r="H49">
            <v>112893.23</v>
          </cell>
        </row>
        <row r="64">
          <cell r="H64">
            <v>215014.96</v>
          </cell>
        </row>
        <row r="66">
          <cell r="H66">
            <v>610740.93999999994</v>
          </cell>
        </row>
      </sheetData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6.xml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8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8.xml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0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0.xml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G13" sqref="G13"/>
    </sheetView>
  </sheetViews>
  <sheetFormatPr defaultRowHeight="15" x14ac:dyDescent="0.25"/>
  <cols>
    <col min="1" max="1" width="26.7109375" customWidth="1"/>
    <col min="2" max="2" width="9.7109375" customWidth="1"/>
    <col min="3" max="3" width="9.140625" customWidth="1"/>
    <col min="4" max="4" width="8.42578125" customWidth="1"/>
    <col min="5" max="5" width="6.5703125" customWidth="1"/>
    <col min="6" max="6" width="5.7109375" customWidth="1"/>
    <col min="7" max="7" width="6.42578125" customWidth="1"/>
    <col min="8" max="8" width="5.7109375" customWidth="1"/>
    <col min="9" max="9" width="6.7109375" customWidth="1"/>
    <col min="10" max="10" width="5" customWidth="1"/>
    <col min="11" max="11" width="6.7109375" customWidth="1"/>
    <col min="12" max="12" width="5" customWidth="1"/>
    <col min="13" max="13" width="6.28515625" customWidth="1"/>
    <col min="14" max="14" width="5.5703125" customWidth="1"/>
    <col min="15" max="15" width="6" customWidth="1"/>
    <col min="16" max="16" width="5.140625" customWidth="1"/>
    <col min="17" max="17" width="9.85546875" customWidth="1"/>
    <col min="18" max="18" width="10.28515625" bestFit="1" customWidth="1"/>
    <col min="20" max="20" width="20.7109375" bestFit="1" customWidth="1"/>
  </cols>
  <sheetData>
    <row r="1" spans="1:17" ht="31.5" x14ac:dyDescent="0.5">
      <c r="A1" s="3" t="s">
        <v>14</v>
      </c>
      <c r="E1" s="62"/>
      <c r="F1" s="62"/>
      <c r="G1" s="62"/>
      <c r="H1" s="62"/>
      <c r="I1" s="62"/>
      <c r="J1" s="62"/>
    </row>
    <row r="2" spans="1:17" ht="23.25" x14ac:dyDescent="0.35">
      <c r="A2" s="1" t="s">
        <v>34</v>
      </c>
      <c r="E2" s="62"/>
      <c r="F2" s="62"/>
      <c r="G2" s="62"/>
      <c r="H2" s="62"/>
      <c r="I2" s="62"/>
      <c r="J2" s="62"/>
    </row>
    <row r="3" spans="1:17" ht="18.75" x14ac:dyDescent="0.3">
      <c r="A3" s="2" t="s">
        <v>35</v>
      </c>
      <c r="B3" s="4"/>
      <c r="E3" s="62"/>
      <c r="F3" s="62"/>
      <c r="G3" s="62"/>
      <c r="H3" s="62"/>
      <c r="I3" s="62"/>
      <c r="J3" s="62"/>
    </row>
    <row r="4" spans="1:17" s="6" customFormat="1" ht="13.5" thickBot="1" x14ac:dyDescent="0.25">
      <c r="A4" s="5"/>
      <c r="B4" s="7">
        <v>2012</v>
      </c>
      <c r="C4" s="264" t="s">
        <v>26</v>
      </c>
      <c r="D4" s="264"/>
      <c r="E4" s="63"/>
      <c r="F4" s="64"/>
      <c r="G4" s="64"/>
      <c r="H4" s="64"/>
      <c r="I4" s="64"/>
      <c r="J4" s="64"/>
      <c r="Q4" s="5">
        <v>2014</v>
      </c>
    </row>
    <row r="5" spans="1:17" s="6" customFormat="1" ht="12.75" x14ac:dyDescent="0.2">
      <c r="A5" s="28"/>
      <c r="B5" s="9" t="s">
        <v>5</v>
      </c>
      <c r="C5" s="10" t="s">
        <v>5</v>
      </c>
      <c r="D5" s="11" t="s">
        <v>12</v>
      </c>
      <c r="E5" s="65" t="s">
        <v>13</v>
      </c>
      <c r="F5" s="66" t="s">
        <v>15</v>
      </c>
      <c r="G5" s="66" t="s">
        <v>16</v>
      </c>
      <c r="H5" s="66" t="s">
        <v>17</v>
      </c>
      <c r="I5" s="66" t="s">
        <v>18</v>
      </c>
      <c r="J5" s="66" t="s">
        <v>19</v>
      </c>
      <c r="K5" s="12" t="s">
        <v>20</v>
      </c>
      <c r="L5" s="12" t="s">
        <v>21</v>
      </c>
      <c r="M5" s="12" t="s">
        <v>22</v>
      </c>
      <c r="N5" s="12" t="s">
        <v>23</v>
      </c>
      <c r="O5" s="12" t="s">
        <v>24</v>
      </c>
      <c r="P5" s="8" t="s">
        <v>25</v>
      </c>
      <c r="Q5" s="30" t="s">
        <v>30</v>
      </c>
    </row>
    <row r="6" spans="1:17" s="6" customFormat="1" ht="12.75" x14ac:dyDescent="0.2">
      <c r="A6" s="29" t="s">
        <v>6</v>
      </c>
      <c r="B6" s="13">
        <f>SUM('Summary Thai'!C11)/1000</f>
        <v>1193.847</v>
      </c>
      <c r="C6" s="14">
        <f>SUM('Summary Thai'!E11)/1000</f>
        <v>1205.7614804575785</v>
      </c>
      <c r="D6" s="15"/>
      <c r="E6" s="66"/>
      <c r="F6" s="66"/>
      <c r="G6" s="66"/>
      <c r="H6" s="66"/>
      <c r="I6" s="66"/>
      <c r="J6" s="66"/>
      <c r="K6" s="12"/>
      <c r="L6" s="12"/>
      <c r="M6" s="12"/>
      <c r="N6" s="12"/>
      <c r="O6" s="12"/>
      <c r="P6" s="8"/>
      <c r="Q6" s="70">
        <f>SUM('Summary Thai'!F11)/1000</f>
        <v>1500</v>
      </c>
    </row>
    <row r="7" spans="1:17" s="6" customFormat="1" ht="12.75" x14ac:dyDescent="0.2">
      <c r="A7" s="29"/>
      <c r="B7" s="13"/>
      <c r="C7" s="14"/>
      <c r="D7" s="15"/>
      <c r="E7" s="66"/>
      <c r="F7" s="66"/>
      <c r="G7" s="66"/>
      <c r="H7" s="66"/>
      <c r="I7" s="66"/>
      <c r="J7" s="66"/>
      <c r="K7" s="12"/>
      <c r="L7" s="12"/>
      <c r="M7" s="12"/>
      <c r="N7" s="12"/>
      <c r="O7" s="12"/>
      <c r="P7" s="8"/>
      <c r="Q7" s="31"/>
    </row>
    <row r="8" spans="1:17" s="6" customFormat="1" ht="12.75" x14ac:dyDescent="0.2">
      <c r="A8" s="29" t="s">
        <v>27</v>
      </c>
      <c r="B8" s="22">
        <f>SUM('Summary Thai'!C13)/1000</f>
        <v>749.31299999999999</v>
      </c>
      <c r="C8" s="23">
        <f>SUM('Summary Thai'!E13)/1000</f>
        <v>801.84883349221479</v>
      </c>
      <c r="D8" s="11"/>
      <c r="E8" s="66"/>
      <c r="F8" s="66"/>
      <c r="G8" s="66"/>
      <c r="H8" s="66"/>
      <c r="I8" s="66"/>
      <c r="J8" s="66"/>
      <c r="K8" s="12"/>
      <c r="L8" s="12"/>
      <c r="M8" s="12"/>
      <c r="N8" s="12"/>
      <c r="O8" s="12"/>
      <c r="P8" s="8"/>
      <c r="Q8" s="71">
        <f>SUM(Q6*C9)</f>
        <v>997.52170701445664</v>
      </c>
    </row>
    <row r="9" spans="1:17" s="6" customFormat="1" ht="12.75" x14ac:dyDescent="0.2">
      <c r="A9" s="29" t="s">
        <v>28</v>
      </c>
      <c r="B9" s="57">
        <f>SUM('Summary Thai'!C14)</f>
        <v>0.63</v>
      </c>
      <c r="C9" s="60">
        <f>SUM(C8/C6)</f>
        <v>0.66501447134297109</v>
      </c>
      <c r="D9" s="20"/>
      <c r="E9" s="65"/>
      <c r="F9" s="66"/>
      <c r="G9" s="66"/>
      <c r="H9" s="66"/>
      <c r="I9" s="66"/>
      <c r="J9" s="66"/>
      <c r="K9" s="12"/>
      <c r="L9" s="12"/>
      <c r="M9" s="12"/>
      <c r="N9" s="12"/>
      <c r="O9" s="12"/>
      <c r="P9" s="8"/>
      <c r="Q9" s="73">
        <f>SUM(Q8/Q6)</f>
        <v>0.66501447134297109</v>
      </c>
    </row>
    <row r="10" spans="1:17" s="6" customFormat="1" ht="12.75" x14ac:dyDescent="0.2">
      <c r="A10" s="29" t="s">
        <v>31</v>
      </c>
      <c r="B10" s="22">
        <f>SUM('Summary Thai'!C15)/1000</f>
        <v>250.53800000000001</v>
      </c>
      <c r="C10" s="23">
        <f>SUM('Summary Thai'!E15)/1000</f>
        <v>238.2614080076263</v>
      </c>
      <c r="D10" s="11"/>
      <c r="E10" s="66"/>
      <c r="F10" s="66"/>
      <c r="G10" s="66"/>
      <c r="H10" s="66"/>
      <c r="I10" s="66"/>
      <c r="J10" s="66"/>
      <c r="K10" s="12"/>
      <c r="L10" s="12"/>
      <c r="M10" s="12"/>
      <c r="N10" s="12"/>
      <c r="O10" s="12"/>
      <c r="P10" s="8"/>
      <c r="Q10" s="71">
        <f>SUM(Q6*C11)</f>
        <v>296.40365677945817</v>
      </c>
    </row>
    <row r="11" spans="1:17" s="6" customFormat="1" ht="12.75" x14ac:dyDescent="0.2">
      <c r="A11" s="29" t="s">
        <v>0</v>
      </c>
      <c r="B11" s="57">
        <f>SUM('Summary Thai'!C16)</f>
        <v>0.21</v>
      </c>
      <c r="C11" s="61">
        <f>SUM(C10/C6)</f>
        <v>0.1976024378529721</v>
      </c>
      <c r="D11" s="11"/>
      <c r="E11" s="66"/>
      <c r="F11" s="66"/>
      <c r="G11" s="66"/>
      <c r="H11" s="66"/>
      <c r="I11" s="66"/>
      <c r="J11" s="66"/>
      <c r="K11" s="12"/>
      <c r="L11" s="12"/>
      <c r="M11" s="12"/>
      <c r="N11" s="12"/>
      <c r="O11" s="12"/>
      <c r="P11" s="8"/>
      <c r="Q11" s="73">
        <f>SUM(Q10/Q6)</f>
        <v>0.19760243785297213</v>
      </c>
    </row>
    <row r="12" spans="1:17" s="6" customFormat="1" ht="12.75" x14ac:dyDescent="0.2">
      <c r="A12" s="29" t="s">
        <v>32</v>
      </c>
      <c r="B12" s="22">
        <f>SUM('Summary Thai'!C17)/1000</f>
        <v>999.851</v>
      </c>
      <c r="C12" s="23">
        <f>SUM(C8+C10)</f>
        <v>1040.1102414998411</v>
      </c>
      <c r="D12" s="11"/>
      <c r="E12" s="66"/>
      <c r="F12" s="66"/>
      <c r="G12" s="66"/>
      <c r="H12" s="66"/>
      <c r="I12" s="66"/>
      <c r="J12" s="66"/>
      <c r="K12" s="12"/>
      <c r="L12" s="12"/>
      <c r="M12" s="12"/>
      <c r="N12" s="12"/>
      <c r="O12" s="12"/>
      <c r="P12" s="8"/>
      <c r="Q12" s="72">
        <f>SUM(Q8+Q10)</f>
        <v>1293.9253637939148</v>
      </c>
    </row>
    <row r="13" spans="1:17" s="6" customFormat="1" ht="12.75" x14ac:dyDescent="0.2">
      <c r="A13" s="29" t="s">
        <v>29</v>
      </c>
      <c r="B13" s="57">
        <f>SUM('Summary Thai'!C18)</f>
        <v>0.84</v>
      </c>
      <c r="C13" s="61">
        <f>SUM(C12/C6)</f>
        <v>0.86261690919594325</v>
      </c>
      <c r="D13" s="11"/>
      <c r="E13" s="66"/>
      <c r="F13" s="66"/>
      <c r="G13" s="66"/>
      <c r="H13" s="66"/>
      <c r="I13" s="66"/>
      <c r="J13" s="66"/>
      <c r="K13" s="12"/>
      <c r="L13" s="12"/>
      <c r="M13" s="12"/>
      <c r="N13" s="12"/>
      <c r="O13" s="12"/>
      <c r="P13" s="8"/>
      <c r="Q13" s="73">
        <f>SUM(Q12/Q6)</f>
        <v>0.86261690919594325</v>
      </c>
    </row>
    <row r="14" spans="1:17" s="6" customFormat="1" ht="12.75" x14ac:dyDescent="0.2">
      <c r="A14" s="29"/>
      <c r="B14" s="16"/>
      <c r="C14" s="17"/>
      <c r="D14" s="11"/>
      <c r="E14" s="66"/>
      <c r="F14" s="66"/>
      <c r="G14" s="66"/>
      <c r="H14" s="66"/>
      <c r="I14" s="66"/>
      <c r="J14" s="66"/>
      <c r="K14" s="12"/>
      <c r="L14" s="12"/>
      <c r="M14" s="12"/>
      <c r="N14" s="12"/>
      <c r="O14" s="12"/>
      <c r="P14" s="8"/>
      <c r="Q14" s="31"/>
    </row>
    <row r="15" spans="1:17" s="6" customFormat="1" ht="12.75" x14ac:dyDescent="0.2">
      <c r="A15" s="29" t="s">
        <v>10</v>
      </c>
      <c r="B15" s="22">
        <f>SUM('Summary Thai'!C20)/1000</f>
        <v>9.6539999999999999</v>
      </c>
      <c r="C15" s="23">
        <f>SUM('Summary Thai'!E20)/1000</f>
        <v>9.8967270416269475</v>
      </c>
      <c r="D15" s="15"/>
      <c r="E15" s="65"/>
      <c r="F15" s="66"/>
      <c r="G15" s="66"/>
      <c r="H15" s="66"/>
      <c r="I15" s="66"/>
      <c r="J15" s="66"/>
      <c r="K15" s="12"/>
      <c r="L15" s="12"/>
      <c r="M15" s="12"/>
      <c r="N15" s="12"/>
      <c r="O15" s="12"/>
      <c r="P15" s="8"/>
      <c r="Q15" s="71">
        <f>SUM(Q6*C16)</f>
        <v>12.311796987250586</v>
      </c>
    </row>
    <row r="16" spans="1:17" s="6" customFormat="1" ht="12.75" x14ac:dyDescent="0.2">
      <c r="A16" s="29" t="s">
        <v>1</v>
      </c>
      <c r="B16" s="58">
        <f>SUM('Summary Thai'!C21)</f>
        <v>8.0000000000000002E-3</v>
      </c>
      <c r="C16" s="59">
        <f>SUM(C15/C6)</f>
        <v>8.2078646581670578E-3</v>
      </c>
      <c r="D16" s="20"/>
      <c r="E16" s="24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8"/>
      <c r="Q16" s="74">
        <f>SUM(Q15/Q6)</f>
        <v>8.2078646581670578E-3</v>
      </c>
    </row>
    <row r="17" spans="1:17" s="6" customFormat="1" ht="12.75" x14ac:dyDescent="0.2">
      <c r="A17" s="29" t="s">
        <v>11</v>
      </c>
      <c r="B17" s="22">
        <f>SUM('Summary Thai'!C22)/1000</f>
        <v>41.292000000000002</v>
      </c>
      <c r="C17" s="23">
        <f>SUM('Summary Thai'!E22)/1000</f>
        <v>41.984202732761361</v>
      </c>
      <c r="D17" s="15"/>
      <c r="E17" s="2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8"/>
      <c r="Q17" s="71">
        <f>SUM(Q6*C18)</f>
        <v>52.229487439956159</v>
      </c>
    </row>
    <row r="18" spans="1:17" s="6" customFormat="1" ht="12.75" x14ac:dyDescent="0.2">
      <c r="A18" s="29" t="s">
        <v>2</v>
      </c>
      <c r="B18" s="18">
        <f>SUM('Summary Thai'!C23)</f>
        <v>3.5000000000000003E-2</v>
      </c>
      <c r="C18" s="19">
        <f>SUM(C17/C6)</f>
        <v>3.4819658293304107E-2</v>
      </c>
      <c r="D18" s="20"/>
      <c r="E18" s="24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8"/>
      <c r="Q18" s="75">
        <f>SUM(Q17/Q6)</f>
        <v>3.4819658293304107E-2</v>
      </c>
    </row>
    <row r="19" spans="1:17" s="6" customFormat="1" ht="12.75" x14ac:dyDescent="0.2">
      <c r="A19" s="29" t="s">
        <v>33</v>
      </c>
      <c r="B19" s="22">
        <f>SUM('Summary Thai'!C24)/1000</f>
        <v>50.945999999999998</v>
      </c>
      <c r="C19" s="67">
        <f>SUM(C15+C17)</f>
        <v>51.880929774388306</v>
      </c>
      <c r="D19" s="20"/>
      <c r="E19" s="24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8"/>
      <c r="Q19" s="71">
        <f>SUM(Q15+Q17)</f>
        <v>64.541284427206747</v>
      </c>
    </row>
    <row r="20" spans="1:17" s="6" customFormat="1" ht="12.75" x14ac:dyDescent="0.2">
      <c r="A20" s="29" t="s">
        <v>3</v>
      </c>
      <c r="B20" s="58">
        <f>SUM('Summary Thai'!C25)</f>
        <v>4.2999999999999997E-2</v>
      </c>
      <c r="C20" s="59">
        <f>SUM(C19/C6)</f>
        <v>4.3027522951471164E-2</v>
      </c>
      <c r="D20" s="20"/>
      <c r="E20" s="24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8"/>
      <c r="Q20" s="74">
        <f>SUM(Q19/Q6)</f>
        <v>4.3027522951471164E-2</v>
      </c>
    </row>
    <row r="21" spans="1:17" s="6" customFormat="1" ht="12.75" x14ac:dyDescent="0.2">
      <c r="A21" s="29"/>
      <c r="B21" s="16"/>
      <c r="C21" s="17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8"/>
      <c r="Q21" s="31"/>
    </row>
    <row r="22" spans="1:17" s="6" customFormat="1" ht="12.75" x14ac:dyDescent="0.2">
      <c r="A22" s="29" t="s">
        <v>4</v>
      </c>
      <c r="B22" s="22">
        <f>SUM('Summary Thai'!C27)/1000</f>
        <v>36.972999999999999</v>
      </c>
      <c r="C22" s="23">
        <f>SUM('Summary Thai'!E27)/1000</f>
        <v>22.430248808388939</v>
      </c>
      <c r="D22" s="15"/>
      <c r="E22" s="21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8"/>
      <c r="Q22" s="71">
        <f>SUM(Q6*C23)</f>
        <v>27.903838161934988</v>
      </c>
    </row>
    <row r="23" spans="1:17" s="6" customFormat="1" ht="12.75" x14ac:dyDescent="0.2">
      <c r="A23" s="29" t="s">
        <v>7</v>
      </c>
      <c r="B23" s="58">
        <f>SUM('Summary Thai'!C28)</f>
        <v>3.1E-2</v>
      </c>
      <c r="C23" s="25">
        <f>SUM(C22/C6)</f>
        <v>1.8602558774623325E-2</v>
      </c>
      <c r="D23" s="26"/>
      <c r="E23" s="27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8"/>
      <c r="Q23" s="75">
        <f>SUM(Q22/Q6)</f>
        <v>1.8602558774623325E-2</v>
      </c>
    </row>
    <row r="24" spans="1:17" s="6" customFormat="1" ht="12.75" x14ac:dyDescent="0.2">
      <c r="A24" s="29"/>
      <c r="B24" s="22"/>
      <c r="C24" s="17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8"/>
      <c r="Q24" s="31"/>
    </row>
    <row r="25" spans="1:17" s="6" customFormat="1" ht="12.75" x14ac:dyDescent="0.2">
      <c r="A25" s="29" t="s">
        <v>8</v>
      </c>
      <c r="B25" s="22">
        <f>SUM('Summary Thai'!C30)/1000</f>
        <v>106.077</v>
      </c>
      <c r="C25" s="23">
        <f>SUM('Summary Thai'!E30)/1000</f>
        <v>91.340060374960288</v>
      </c>
      <c r="D25" s="15"/>
      <c r="E25" s="2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8"/>
      <c r="Q25" s="72">
        <f>SUM(Q6-Q12-Q19-Q22)</f>
        <v>113.62951361694347</v>
      </c>
    </row>
    <row r="26" spans="1:17" s="6" customFormat="1" ht="13.5" thickBot="1" x14ac:dyDescent="0.25">
      <c r="A26" s="29" t="s">
        <v>9</v>
      </c>
      <c r="B26" s="58">
        <f>SUM('Summary Thai'!C31)</f>
        <v>8.8999999999999996E-2</v>
      </c>
      <c r="C26" s="68">
        <f>SUM(C25/C6)</f>
        <v>7.5753009077962369E-2</v>
      </c>
      <c r="D26" s="26"/>
      <c r="E26" s="27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8"/>
      <c r="Q26" s="76">
        <f>SUM(Q25/Q6)</f>
        <v>7.5753009077962313E-2</v>
      </c>
    </row>
    <row r="28" spans="1:17" x14ac:dyDescent="0.25">
      <c r="B28" s="69">
        <f>SUM(B6-B12-B19-B22)</f>
        <v>106.07699999999998</v>
      </c>
      <c r="C28" s="69">
        <f>SUM(C6-C12-C19-C22)</f>
        <v>91.34006037496016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>
        <f t="shared" ref="Q28" si="0">SUM(Q6-Q12-Q19-Q22)</f>
        <v>113.62951361694347</v>
      </c>
    </row>
  </sheetData>
  <mergeCells count="1">
    <mergeCell ref="C4:D4"/>
  </mergeCells>
  <pageMargins left="0.7" right="0.7" top="0.75" bottom="0.75" header="0.3" footer="0.3"/>
  <pageSetup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O73"/>
  <sheetViews>
    <sheetView workbookViewId="0">
      <pane ySplit="1" topLeftCell="A14" activePane="bottomLeft" state="frozen"/>
      <selection pane="bottomLeft" activeCell="I24" sqref="I24"/>
    </sheetView>
  </sheetViews>
  <sheetFormatPr defaultRowHeight="15" x14ac:dyDescent="0.25"/>
  <cols>
    <col min="1" max="7" width="3" style="214" customWidth="1"/>
    <col min="8" max="8" width="36.7109375" style="214" customWidth="1"/>
    <col min="9" max="9" width="15.28515625" style="119" bestFit="1" customWidth="1"/>
    <col min="12" max="12" width="31.140625" customWidth="1"/>
    <col min="13" max="13" width="10.85546875" customWidth="1"/>
    <col min="14" max="14" width="16" customWidth="1"/>
    <col min="15" max="15" width="17.42578125" customWidth="1"/>
  </cols>
  <sheetData>
    <row r="1" spans="1:15" ht="15.75" thickBot="1" x14ac:dyDescent="0.3">
      <c r="A1" s="205"/>
      <c r="B1" s="205"/>
      <c r="C1" s="205"/>
      <c r="D1" s="205"/>
      <c r="E1" s="205"/>
      <c r="F1" s="205"/>
      <c r="G1" s="205"/>
      <c r="H1" s="205"/>
      <c r="I1" s="206" t="s">
        <v>295</v>
      </c>
      <c r="L1" s="215" t="s">
        <v>223</v>
      </c>
      <c r="M1" s="235">
        <f>'STF P2'!M1</f>
        <v>35.257399999999997</v>
      </c>
      <c r="N1" s="215" t="s">
        <v>224</v>
      </c>
      <c r="O1" s="79"/>
    </row>
    <row r="2" spans="1:15" s="79" customFormat="1" ht="15.75" thickTop="1" x14ac:dyDescent="0.25">
      <c r="A2" s="200"/>
      <c r="B2" s="200" t="s">
        <v>57</v>
      </c>
      <c r="C2" s="200"/>
      <c r="D2" s="200"/>
      <c r="E2" s="200"/>
      <c r="F2" s="200"/>
      <c r="G2" s="200"/>
      <c r="H2" s="200"/>
      <c r="I2" s="201"/>
      <c r="L2"/>
      <c r="M2"/>
      <c r="N2"/>
      <c r="O2"/>
    </row>
    <row r="3" spans="1:15" ht="30" x14ac:dyDescent="0.25">
      <c r="A3" s="200"/>
      <c r="B3" s="200"/>
      <c r="C3" s="200"/>
      <c r="D3" s="200" t="s">
        <v>58</v>
      </c>
      <c r="E3" s="200"/>
      <c r="F3" s="200"/>
      <c r="G3" s="200"/>
      <c r="H3" s="200"/>
      <c r="I3" s="201"/>
      <c r="L3" s="216" t="s">
        <v>225</v>
      </c>
      <c r="M3" s="217" t="s">
        <v>224</v>
      </c>
      <c r="N3" s="218" t="s">
        <v>226</v>
      </c>
      <c r="O3" s="217" t="s">
        <v>227</v>
      </c>
    </row>
    <row r="4" spans="1:15" x14ac:dyDescent="0.25">
      <c r="A4" s="200"/>
      <c r="B4" s="200"/>
      <c r="C4" s="200"/>
      <c r="D4" s="200"/>
      <c r="E4" s="200" t="s">
        <v>59</v>
      </c>
      <c r="F4" s="200"/>
      <c r="G4" s="200"/>
      <c r="H4" s="200"/>
      <c r="I4" s="201"/>
      <c r="L4" s="219" t="s">
        <v>228</v>
      </c>
      <c r="M4" s="220">
        <f>I41</f>
        <v>112263.15</v>
      </c>
      <c r="N4" s="219"/>
      <c r="O4" s="219" t="s">
        <v>229</v>
      </c>
    </row>
    <row r="5" spans="1:15" x14ac:dyDescent="0.25">
      <c r="A5" s="200"/>
      <c r="B5" s="200"/>
      <c r="C5" s="200"/>
      <c r="D5" s="200"/>
      <c r="E5" s="200"/>
      <c r="F5" s="200" t="s">
        <v>60</v>
      </c>
      <c r="G5" s="200"/>
      <c r="H5" s="200"/>
      <c r="I5" s="201">
        <v>4673916</v>
      </c>
    </row>
    <row r="6" spans="1:15" ht="30" x14ac:dyDescent="0.25">
      <c r="A6" s="200"/>
      <c r="B6" s="200"/>
      <c r="C6" s="200"/>
      <c r="D6" s="200"/>
      <c r="E6" s="200"/>
      <c r="F6" s="200" t="s">
        <v>218</v>
      </c>
      <c r="G6" s="200"/>
      <c r="H6" s="200"/>
      <c r="I6" s="201">
        <v>1243003</v>
      </c>
      <c r="L6" s="216" t="s">
        <v>230</v>
      </c>
      <c r="M6" s="217" t="s">
        <v>224</v>
      </c>
      <c r="N6" s="218" t="s">
        <v>226</v>
      </c>
      <c r="O6" s="217" t="s">
        <v>227</v>
      </c>
    </row>
    <row r="7" spans="1:15" x14ac:dyDescent="0.25">
      <c r="A7" s="200"/>
      <c r="B7" s="200"/>
      <c r="C7" s="200"/>
      <c r="D7" s="200"/>
      <c r="E7" s="200"/>
      <c r="F7" s="200" t="s">
        <v>62</v>
      </c>
      <c r="G7" s="200"/>
      <c r="H7" s="200"/>
      <c r="I7" s="201">
        <v>113400</v>
      </c>
      <c r="L7" s="221" t="s">
        <v>231</v>
      </c>
      <c r="M7" s="220">
        <f>I60-I41-I68</f>
        <v>312400.96000000008</v>
      </c>
      <c r="N7" s="219"/>
      <c r="O7" s="219" t="s">
        <v>229</v>
      </c>
    </row>
    <row r="8" spans="1:15" ht="15.75" thickBot="1" x14ac:dyDescent="0.3">
      <c r="A8" s="200"/>
      <c r="B8" s="200"/>
      <c r="C8" s="200"/>
      <c r="D8" s="200"/>
      <c r="E8" s="200"/>
      <c r="F8" s="200" t="s">
        <v>63</v>
      </c>
      <c r="G8" s="200"/>
      <c r="H8" s="200"/>
      <c r="I8" s="202">
        <v>33600</v>
      </c>
    </row>
    <row r="9" spans="1:15" ht="15.75" thickBot="1" x14ac:dyDescent="0.3">
      <c r="A9" s="200"/>
      <c r="B9" s="200"/>
      <c r="C9" s="200"/>
      <c r="D9" s="200"/>
      <c r="E9" s="200" t="s">
        <v>67</v>
      </c>
      <c r="F9" s="200"/>
      <c r="G9" s="200"/>
      <c r="H9" s="200"/>
      <c r="I9" s="83">
        <f>ROUND(SUM(I4:I8),5)</f>
        <v>6063919</v>
      </c>
    </row>
    <row r="10" spans="1:15" x14ac:dyDescent="0.25">
      <c r="A10" s="200"/>
      <c r="B10" s="200"/>
      <c r="C10" s="200"/>
      <c r="D10" s="200" t="s">
        <v>68</v>
      </c>
      <c r="E10" s="200"/>
      <c r="F10" s="200"/>
      <c r="G10" s="200"/>
      <c r="H10" s="200"/>
      <c r="I10" s="201">
        <f>ROUND(I3+I9,5)</f>
        <v>6063919</v>
      </c>
      <c r="M10" s="236"/>
    </row>
    <row r="11" spans="1:15" ht="30" customHeight="1" x14ac:dyDescent="0.25">
      <c r="A11" s="200"/>
      <c r="B11" s="200"/>
      <c r="C11" s="200"/>
      <c r="D11" s="200" t="s">
        <v>69</v>
      </c>
      <c r="E11" s="200"/>
      <c r="F11" s="200"/>
      <c r="G11" s="200"/>
      <c r="H11" s="200"/>
      <c r="I11" s="201"/>
    </row>
    <row r="12" spans="1:15" ht="30" customHeight="1" x14ac:dyDescent="0.25">
      <c r="A12" s="200"/>
      <c r="B12" s="200"/>
      <c r="C12" s="200"/>
      <c r="D12" s="200"/>
      <c r="E12" s="200" t="s">
        <v>240</v>
      </c>
      <c r="F12" s="200"/>
      <c r="G12" s="200"/>
      <c r="H12" s="200"/>
      <c r="I12" s="201"/>
    </row>
    <row r="13" spans="1:15" x14ac:dyDescent="0.25">
      <c r="A13" s="200"/>
      <c r="B13" s="200"/>
      <c r="C13" s="200"/>
      <c r="D13" s="200"/>
      <c r="E13" s="200"/>
      <c r="F13" s="200" t="s">
        <v>241</v>
      </c>
      <c r="G13" s="200"/>
      <c r="H13" s="200"/>
      <c r="I13" s="201"/>
    </row>
    <row r="14" spans="1:15" x14ac:dyDescent="0.25">
      <c r="A14" s="200"/>
      <c r="B14" s="200"/>
      <c r="C14" s="200"/>
      <c r="D14" s="200"/>
      <c r="E14" s="200"/>
      <c r="F14" s="200"/>
      <c r="G14" s="200" t="s">
        <v>242</v>
      </c>
      <c r="H14" s="200"/>
      <c r="I14" s="201">
        <v>3834769.4</v>
      </c>
    </row>
    <row r="15" spans="1:15" x14ac:dyDescent="0.25">
      <c r="A15" s="200"/>
      <c r="B15" s="200"/>
      <c r="C15" s="200"/>
      <c r="D15" s="200"/>
      <c r="E15" s="200"/>
      <c r="F15" s="200"/>
      <c r="G15" s="200" t="s">
        <v>243</v>
      </c>
      <c r="H15" s="200"/>
      <c r="I15" s="201"/>
    </row>
    <row r="16" spans="1:15" ht="15.75" thickBot="1" x14ac:dyDescent="0.3">
      <c r="A16" s="200"/>
      <c r="B16" s="200"/>
      <c r="C16" s="200"/>
      <c r="D16" s="200"/>
      <c r="E16" s="200"/>
      <c r="F16" s="200"/>
      <c r="G16" s="200"/>
      <c r="H16" s="200" t="s">
        <v>244</v>
      </c>
      <c r="I16" s="204">
        <v>1920</v>
      </c>
    </row>
    <row r="17" spans="1:12" x14ac:dyDescent="0.25">
      <c r="A17" s="200"/>
      <c r="B17" s="200"/>
      <c r="C17" s="200"/>
      <c r="D17" s="200"/>
      <c r="E17" s="200"/>
      <c r="F17" s="200"/>
      <c r="G17" s="200" t="s">
        <v>245</v>
      </c>
      <c r="H17" s="200"/>
      <c r="I17" s="201">
        <f>ROUND(SUM(I15:I16),5)</f>
        <v>1920</v>
      </c>
    </row>
    <row r="18" spans="1:12" ht="30" customHeight="1" x14ac:dyDescent="0.25">
      <c r="A18" s="200"/>
      <c r="B18" s="200"/>
      <c r="C18" s="200"/>
      <c r="D18" s="200"/>
      <c r="E18" s="200"/>
      <c r="F18" s="200"/>
      <c r="G18" s="200" t="s">
        <v>246</v>
      </c>
      <c r="H18" s="200"/>
      <c r="I18" s="201">
        <v>1125214</v>
      </c>
      <c r="K18" s="222"/>
    </row>
    <row r="19" spans="1:12" x14ac:dyDescent="0.25">
      <c r="A19" s="200"/>
      <c r="B19" s="200"/>
      <c r="C19" s="200"/>
      <c r="D19" s="200"/>
      <c r="E19" s="200"/>
      <c r="F19" s="200"/>
      <c r="G19" s="200" t="s">
        <v>248</v>
      </c>
      <c r="H19" s="200"/>
      <c r="I19" s="201">
        <v>11200</v>
      </c>
      <c r="L19" s="185"/>
    </row>
    <row r="20" spans="1:12" x14ac:dyDescent="0.25">
      <c r="A20" s="200"/>
      <c r="B20" s="200"/>
      <c r="C20" s="200"/>
      <c r="D20" s="200"/>
      <c r="E20" s="200"/>
      <c r="F20" s="200"/>
      <c r="G20" s="200" t="s">
        <v>249</v>
      </c>
      <c r="H20" s="200"/>
      <c r="I20" s="201">
        <v>78612</v>
      </c>
      <c r="L20" s="222"/>
    </row>
    <row r="21" spans="1:12" ht="15.75" thickBot="1" x14ac:dyDescent="0.3">
      <c r="A21" s="200"/>
      <c r="B21" s="200"/>
      <c r="C21" s="200"/>
      <c r="D21" s="200"/>
      <c r="E21" s="200"/>
      <c r="F21" s="200"/>
      <c r="G21" s="200" t="s">
        <v>250</v>
      </c>
      <c r="H21" s="200"/>
      <c r="I21" s="202">
        <v>43800</v>
      </c>
    </row>
    <row r="22" spans="1:12" ht="15.75" thickBot="1" x14ac:dyDescent="0.3">
      <c r="A22" s="200"/>
      <c r="B22" s="200"/>
      <c r="C22" s="200"/>
      <c r="D22" s="200"/>
      <c r="E22" s="200"/>
      <c r="F22" s="200" t="s">
        <v>251</v>
      </c>
      <c r="G22" s="200"/>
      <c r="H22" s="200"/>
      <c r="I22" s="203">
        <f>ROUND(SUM(I13:I14)+SUM(I17:I21),5)</f>
        <v>5095515.4000000004</v>
      </c>
    </row>
    <row r="23" spans="1:12" ht="15.75" thickBot="1" x14ac:dyDescent="0.3">
      <c r="A23" s="200"/>
      <c r="B23" s="200"/>
      <c r="C23" s="200"/>
      <c r="D23" s="200"/>
      <c r="E23" s="200" t="s">
        <v>252</v>
      </c>
      <c r="F23" s="200"/>
      <c r="G23" s="200"/>
      <c r="H23" s="200"/>
      <c r="I23" s="203">
        <f>ROUND(I12+I22,5)</f>
        <v>5095515.4000000004</v>
      </c>
    </row>
    <row r="24" spans="1:12" ht="30" customHeight="1" thickBot="1" x14ac:dyDescent="0.3">
      <c r="A24" s="200"/>
      <c r="B24" s="200"/>
      <c r="C24" s="200"/>
      <c r="D24" s="200" t="s">
        <v>88</v>
      </c>
      <c r="E24" s="200"/>
      <c r="F24" s="200"/>
      <c r="G24" s="200"/>
      <c r="H24" s="200"/>
      <c r="I24" s="83">
        <f>ROUND(I11+I23,5)</f>
        <v>5095515.4000000004</v>
      </c>
    </row>
    <row r="25" spans="1:12" ht="30" customHeight="1" x14ac:dyDescent="0.25">
      <c r="A25" s="200"/>
      <c r="B25" s="200"/>
      <c r="C25" s="200" t="s">
        <v>89</v>
      </c>
      <c r="D25" s="200"/>
      <c r="E25" s="200"/>
      <c r="F25" s="200"/>
      <c r="G25" s="200"/>
      <c r="H25" s="200"/>
      <c r="I25" s="201">
        <f>ROUND(I10-I24,5)</f>
        <v>968403.6</v>
      </c>
    </row>
    <row r="26" spans="1:12" ht="30" customHeight="1" x14ac:dyDescent="0.25">
      <c r="A26" s="200"/>
      <c r="B26" s="200"/>
      <c r="C26" s="200"/>
      <c r="D26" s="200" t="s">
        <v>90</v>
      </c>
      <c r="E26" s="200"/>
      <c r="F26" s="200"/>
      <c r="G26" s="200"/>
      <c r="H26" s="200"/>
      <c r="I26" s="201"/>
      <c r="L26" s="185"/>
    </row>
    <row r="27" spans="1:12" x14ac:dyDescent="0.25">
      <c r="A27" s="200"/>
      <c r="B27" s="200"/>
      <c r="C27" s="200"/>
      <c r="D27" s="200"/>
      <c r="E27" s="200" t="s">
        <v>253</v>
      </c>
      <c r="F27" s="200"/>
      <c r="G27" s="200"/>
      <c r="H27" s="200"/>
      <c r="I27" s="201"/>
    </row>
    <row r="28" spans="1:12" x14ac:dyDescent="0.25">
      <c r="A28" s="200"/>
      <c r="B28" s="200"/>
      <c r="C28" s="200"/>
      <c r="D28" s="200"/>
      <c r="E28" s="200"/>
      <c r="F28" s="200" t="s">
        <v>254</v>
      </c>
      <c r="G28" s="200"/>
      <c r="H28" s="200"/>
      <c r="I28" s="201"/>
    </row>
    <row r="29" spans="1:12" x14ac:dyDescent="0.25">
      <c r="A29" s="200"/>
      <c r="B29" s="200"/>
      <c r="C29" s="200"/>
      <c r="D29" s="200"/>
      <c r="E29" s="200"/>
      <c r="F29" s="200"/>
      <c r="G29" s="200" t="s">
        <v>255</v>
      </c>
      <c r="H29" s="200"/>
      <c r="I29" s="201"/>
    </row>
    <row r="30" spans="1:12" ht="30" customHeight="1" x14ac:dyDescent="0.25">
      <c r="A30" s="200"/>
      <c r="B30" s="200"/>
      <c r="C30" s="200"/>
      <c r="D30" s="200"/>
      <c r="E30" s="200"/>
      <c r="F30" s="200"/>
      <c r="G30" s="200"/>
      <c r="H30" s="200" t="s">
        <v>256</v>
      </c>
      <c r="I30" s="201">
        <v>224000</v>
      </c>
    </row>
    <row r="31" spans="1:12" ht="15.75" thickBot="1" x14ac:dyDescent="0.3">
      <c r="A31" s="200"/>
      <c r="B31" s="200"/>
      <c r="C31" s="200"/>
      <c r="D31" s="200"/>
      <c r="E31" s="200"/>
      <c r="F31" s="200"/>
      <c r="G31" s="200"/>
      <c r="H31" s="200" t="s">
        <v>292</v>
      </c>
      <c r="I31" s="204">
        <v>37000</v>
      </c>
    </row>
    <row r="32" spans="1:12" x14ac:dyDescent="0.25">
      <c r="A32" s="200"/>
      <c r="B32" s="200"/>
      <c r="C32" s="200"/>
      <c r="D32" s="200"/>
      <c r="E32" s="200"/>
      <c r="F32" s="200"/>
      <c r="G32" s="200" t="s">
        <v>257</v>
      </c>
      <c r="H32" s="200"/>
      <c r="I32" s="201">
        <f>ROUND(SUM(I29:I31),5)</f>
        <v>261000</v>
      </c>
    </row>
    <row r="33" spans="1:12" x14ac:dyDescent="0.25">
      <c r="A33" s="200"/>
      <c r="B33" s="200"/>
      <c r="C33" s="200"/>
      <c r="D33" s="200"/>
      <c r="E33" s="200"/>
      <c r="F33" s="200"/>
      <c r="G33" s="200" t="s">
        <v>258</v>
      </c>
      <c r="H33" s="200"/>
      <c r="I33" s="201"/>
    </row>
    <row r="34" spans="1:12" x14ac:dyDescent="0.25">
      <c r="A34" s="200"/>
      <c r="B34" s="200"/>
      <c r="C34" s="200"/>
      <c r="D34" s="200"/>
      <c r="E34" s="200"/>
      <c r="F34" s="200"/>
      <c r="G34" s="200"/>
      <c r="H34" s="200" t="s">
        <v>259</v>
      </c>
      <c r="I34" s="201">
        <v>499</v>
      </c>
    </row>
    <row r="35" spans="1:12" ht="30" customHeight="1" thickBot="1" x14ac:dyDescent="0.3">
      <c r="A35" s="200"/>
      <c r="B35" s="200"/>
      <c r="C35" s="200"/>
      <c r="D35" s="200"/>
      <c r="E35" s="200"/>
      <c r="F35" s="200"/>
      <c r="G35" s="200"/>
      <c r="H35" s="200" t="s">
        <v>260</v>
      </c>
      <c r="I35" s="204">
        <v>5000</v>
      </c>
      <c r="L35" s="223"/>
    </row>
    <row r="36" spans="1:12" x14ac:dyDescent="0.25">
      <c r="A36" s="200"/>
      <c r="B36" s="200"/>
      <c r="C36" s="200"/>
      <c r="D36" s="200"/>
      <c r="E36" s="200"/>
      <c r="F36" s="200"/>
      <c r="G36" s="200" t="s">
        <v>261</v>
      </c>
      <c r="H36" s="200"/>
      <c r="I36" s="201">
        <f>ROUND(SUM(I33:I35),5)</f>
        <v>5499</v>
      </c>
      <c r="L36" s="223"/>
    </row>
    <row r="37" spans="1:12" x14ac:dyDescent="0.25">
      <c r="A37" s="200"/>
      <c r="B37" s="200"/>
      <c r="C37" s="200"/>
      <c r="D37" s="200"/>
      <c r="E37" s="200"/>
      <c r="F37" s="200"/>
      <c r="G37" s="200" t="s">
        <v>262</v>
      </c>
      <c r="H37" s="200"/>
      <c r="I37" s="201"/>
      <c r="L37" s="223"/>
    </row>
    <row r="38" spans="1:12" ht="30" customHeight="1" x14ac:dyDescent="0.25">
      <c r="A38" s="200"/>
      <c r="B38" s="200"/>
      <c r="C38" s="200"/>
      <c r="D38" s="200"/>
      <c r="E38" s="200"/>
      <c r="F38" s="200"/>
      <c r="G38" s="200"/>
      <c r="H38" s="200" t="s">
        <v>263</v>
      </c>
      <c r="I38" s="201">
        <v>107840</v>
      </c>
    </row>
    <row r="39" spans="1:12" x14ac:dyDescent="0.25">
      <c r="A39" s="200"/>
      <c r="B39" s="200"/>
      <c r="C39" s="200"/>
      <c r="D39" s="200"/>
      <c r="E39" s="200"/>
      <c r="F39" s="200"/>
      <c r="G39" s="200"/>
      <c r="H39" s="200" t="s">
        <v>264</v>
      </c>
      <c r="I39" s="201">
        <v>1993</v>
      </c>
    </row>
    <row r="40" spans="1:12" ht="15.75" thickBot="1" x14ac:dyDescent="0.3">
      <c r="A40" s="200"/>
      <c r="B40" s="200"/>
      <c r="C40" s="200"/>
      <c r="D40" s="200"/>
      <c r="E40" s="200"/>
      <c r="F40" s="200"/>
      <c r="G40" s="200"/>
      <c r="H40" s="200" t="s">
        <v>265</v>
      </c>
      <c r="I40" s="204">
        <v>2430.15</v>
      </c>
    </row>
    <row r="41" spans="1:12" x14ac:dyDescent="0.25">
      <c r="A41" s="200"/>
      <c r="B41" s="200"/>
      <c r="C41" s="200"/>
      <c r="D41" s="200"/>
      <c r="E41" s="200"/>
      <c r="F41" s="200"/>
      <c r="G41" s="200" t="s">
        <v>266</v>
      </c>
      <c r="H41" s="200"/>
      <c r="I41" s="201">
        <f>ROUND(SUM(I37:I40),5)</f>
        <v>112263.15</v>
      </c>
    </row>
    <row r="42" spans="1:12" x14ac:dyDescent="0.25">
      <c r="A42" s="200"/>
      <c r="B42" s="200"/>
      <c r="C42" s="200"/>
      <c r="D42" s="200"/>
      <c r="E42" s="200"/>
      <c r="F42" s="200"/>
      <c r="G42" s="200" t="s">
        <v>267</v>
      </c>
      <c r="H42" s="200"/>
      <c r="I42" s="201"/>
    </row>
    <row r="43" spans="1:12" ht="30" customHeight="1" x14ac:dyDescent="0.25">
      <c r="A43" s="200"/>
      <c r="B43" s="200"/>
      <c r="C43" s="200"/>
      <c r="D43" s="200"/>
      <c r="E43" s="200"/>
      <c r="F43" s="200"/>
      <c r="G43" s="200"/>
      <c r="H43" s="200" t="s">
        <v>268</v>
      </c>
      <c r="I43" s="201">
        <v>1672.6</v>
      </c>
    </row>
    <row r="44" spans="1:12" x14ac:dyDescent="0.25">
      <c r="A44" s="200"/>
      <c r="B44" s="200"/>
      <c r="C44" s="200"/>
      <c r="D44" s="200"/>
      <c r="E44" s="200"/>
      <c r="F44" s="200"/>
      <c r="G44" s="200"/>
      <c r="H44" s="200" t="s">
        <v>269</v>
      </c>
      <c r="I44" s="201">
        <v>4696.87</v>
      </c>
    </row>
    <row r="45" spans="1:12" x14ac:dyDescent="0.25">
      <c r="A45" s="200"/>
      <c r="B45" s="200"/>
      <c r="C45" s="200"/>
      <c r="D45" s="200"/>
      <c r="E45" s="200"/>
      <c r="F45" s="200"/>
      <c r="G45" s="200"/>
      <c r="H45" s="200" t="s">
        <v>270</v>
      </c>
      <c r="I45" s="201">
        <v>1440</v>
      </c>
    </row>
    <row r="46" spans="1:12" ht="15.75" thickBot="1" x14ac:dyDescent="0.3">
      <c r="A46" s="200"/>
      <c r="B46" s="200"/>
      <c r="C46" s="200"/>
      <c r="D46" s="200"/>
      <c r="E46" s="200"/>
      <c r="F46" s="200"/>
      <c r="G46" s="200"/>
      <c r="H46" s="200" t="s">
        <v>271</v>
      </c>
      <c r="I46" s="204">
        <v>31578.95</v>
      </c>
    </row>
    <row r="47" spans="1:12" x14ac:dyDescent="0.25">
      <c r="A47" s="200"/>
      <c r="B47" s="200"/>
      <c r="C47" s="200"/>
      <c r="D47" s="200"/>
      <c r="E47" s="200"/>
      <c r="F47" s="200"/>
      <c r="G47" s="200" t="s">
        <v>272</v>
      </c>
      <c r="H47" s="200"/>
      <c r="I47" s="201">
        <f>ROUND(SUM(I42:I46),5)</f>
        <v>39388.42</v>
      </c>
    </row>
    <row r="48" spans="1:12" ht="30" customHeight="1" x14ac:dyDescent="0.25">
      <c r="A48" s="200"/>
      <c r="B48" s="200"/>
      <c r="C48" s="200"/>
      <c r="D48" s="200"/>
      <c r="E48" s="200"/>
      <c r="F48" s="200"/>
      <c r="G48" s="200" t="s">
        <v>273</v>
      </c>
      <c r="H48" s="200"/>
      <c r="I48" s="201"/>
    </row>
    <row r="49" spans="1:15" ht="15.75" thickBot="1" x14ac:dyDescent="0.3">
      <c r="A49" s="200"/>
      <c r="B49" s="200"/>
      <c r="C49" s="200"/>
      <c r="D49" s="200"/>
      <c r="E49" s="200"/>
      <c r="F49" s="200"/>
      <c r="G49" s="200"/>
      <c r="H49" s="200" t="s">
        <v>274</v>
      </c>
      <c r="I49" s="204">
        <v>1040</v>
      </c>
    </row>
    <row r="50" spans="1:15" x14ac:dyDescent="0.25">
      <c r="A50" s="200"/>
      <c r="B50" s="200"/>
      <c r="C50" s="200"/>
      <c r="D50" s="200"/>
      <c r="E50" s="200"/>
      <c r="F50" s="200"/>
      <c r="G50" s="200" t="s">
        <v>275</v>
      </c>
      <c r="H50" s="200"/>
      <c r="I50" s="201">
        <f>ROUND(SUM(I48:I49),5)</f>
        <v>1040</v>
      </c>
    </row>
    <row r="51" spans="1:15" x14ac:dyDescent="0.25">
      <c r="A51" s="200"/>
      <c r="B51" s="200"/>
      <c r="C51" s="200"/>
      <c r="D51" s="200"/>
      <c r="E51" s="200"/>
      <c r="F51" s="200"/>
      <c r="G51" s="200" t="s">
        <v>276</v>
      </c>
      <c r="H51" s="200"/>
      <c r="I51" s="201"/>
    </row>
    <row r="52" spans="1:15" ht="30" customHeight="1" x14ac:dyDescent="0.25">
      <c r="A52" s="200"/>
      <c r="B52" s="200"/>
      <c r="C52" s="200"/>
      <c r="D52" s="200"/>
      <c r="E52" s="200"/>
      <c r="F52" s="200"/>
      <c r="G52" s="200"/>
      <c r="H52" s="200" t="s">
        <v>277</v>
      </c>
      <c r="I52" s="201">
        <v>2780</v>
      </c>
    </row>
    <row r="53" spans="1:15" ht="15.75" thickBot="1" x14ac:dyDescent="0.3">
      <c r="A53" s="200"/>
      <c r="B53" s="200"/>
      <c r="C53" s="200"/>
      <c r="D53" s="200"/>
      <c r="E53" s="200"/>
      <c r="F53" s="200"/>
      <c r="G53" s="200"/>
      <c r="H53" s="200" t="s">
        <v>278</v>
      </c>
      <c r="I53" s="202">
        <v>1000</v>
      </c>
    </row>
    <row r="54" spans="1:15" ht="15.75" thickBot="1" x14ac:dyDescent="0.3">
      <c r="A54" s="200"/>
      <c r="B54" s="200"/>
      <c r="C54" s="200"/>
      <c r="D54" s="200"/>
      <c r="E54" s="200"/>
      <c r="F54" s="200"/>
      <c r="G54" s="200" t="s">
        <v>279</v>
      </c>
      <c r="H54" s="200"/>
      <c r="I54" s="83">
        <f>ROUND(SUM(I51:I53),5)</f>
        <v>3780</v>
      </c>
    </row>
    <row r="55" spans="1:15" x14ac:dyDescent="0.25">
      <c r="A55" s="200"/>
      <c r="B55" s="200"/>
      <c r="C55" s="200"/>
      <c r="D55" s="200"/>
      <c r="E55" s="200"/>
      <c r="F55" s="200" t="s">
        <v>280</v>
      </c>
      <c r="G55" s="200"/>
      <c r="H55" s="200"/>
      <c r="I55" s="201">
        <f>ROUND(I28+I32+I36+I41+I47+I50+I54,5)</f>
        <v>422970.57</v>
      </c>
    </row>
    <row r="56" spans="1:15" x14ac:dyDescent="0.25">
      <c r="A56" s="200"/>
      <c r="B56" s="200"/>
      <c r="C56" s="200"/>
      <c r="D56" s="200"/>
      <c r="E56" s="200"/>
      <c r="F56" s="200" t="s">
        <v>281</v>
      </c>
      <c r="G56" s="200"/>
      <c r="H56" s="200"/>
      <c r="I56" s="201"/>
    </row>
    <row r="57" spans="1:15" ht="15.75" thickBot="1" x14ac:dyDescent="0.3">
      <c r="A57" s="200"/>
      <c r="B57" s="200"/>
      <c r="C57" s="200"/>
      <c r="D57" s="200"/>
      <c r="E57" s="200"/>
      <c r="F57" s="200"/>
      <c r="G57" s="200" t="s">
        <v>282</v>
      </c>
      <c r="H57" s="200"/>
      <c r="I57" s="202">
        <v>2618.27</v>
      </c>
    </row>
    <row r="58" spans="1:15" ht="30" customHeight="1" thickBot="1" x14ac:dyDescent="0.3">
      <c r="A58" s="200"/>
      <c r="B58" s="200"/>
      <c r="C58" s="200"/>
      <c r="D58" s="200"/>
      <c r="E58" s="200"/>
      <c r="F58" s="200" t="s">
        <v>283</v>
      </c>
      <c r="G58" s="200"/>
      <c r="H58" s="200"/>
      <c r="I58" s="203">
        <f>ROUND(SUM(I56:I57),5)</f>
        <v>2618.27</v>
      </c>
    </row>
    <row r="59" spans="1:15" ht="30" customHeight="1" thickBot="1" x14ac:dyDescent="0.3">
      <c r="A59" s="200"/>
      <c r="B59" s="200"/>
      <c r="C59" s="200"/>
      <c r="D59" s="200"/>
      <c r="E59" s="200" t="s">
        <v>284</v>
      </c>
      <c r="F59" s="200"/>
      <c r="G59" s="200"/>
      <c r="H59" s="200"/>
      <c r="I59" s="203">
        <f>ROUND(I27+I55+I58,5)</f>
        <v>425588.84</v>
      </c>
    </row>
    <row r="60" spans="1:15" ht="30" customHeight="1" thickBot="1" x14ac:dyDescent="0.3">
      <c r="A60" s="200"/>
      <c r="B60" s="200"/>
      <c r="C60" s="200"/>
      <c r="D60" s="200" t="s">
        <v>142</v>
      </c>
      <c r="E60" s="200"/>
      <c r="F60" s="200"/>
      <c r="G60" s="200"/>
      <c r="H60" s="200"/>
      <c r="I60" s="83">
        <f>ROUND(I26+I59,5)</f>
        <v>425588.84</v>
      </c>
    </row>
    <row r="61" spans="1:15" s="87" customFormat="1" ht="30" customHeight="1" x14ac:dyDescent="0.25">
      <c r="A61" s="200"/>
      <c r="B61" s="200" t="s">
        <v>143</v>
      </c>
      <c r="C61" s="200"/>
      <c r="D61" s="200"/>
      <c r="E61" s="200"/>
      <c r="F61" s="200"/>
      <c r="G61" s="200"/>
      <c r="H61" s="200"/>
      <c r="I61" s="201">
        <f>ROUND(I2+I25-I60,5)</f>
        <v>542814.76</v>
      </c>
      <c r="L61"/>
      <c r="M61"/>
      <c r="N61"/>
      <c r="O61"/>
    </row>
    <row r="62" spans="1:15" x14ac:dyDescent="0.25">
      <c r="A62" s="200"/>
      <c r="B62" s="200" t="s">
        <v>285</v>
      </c>
      <c r="C62" s="200"/>
      <c r="D62" s="200"/>
      <c r="E62" s="200"/>
      <c r="F62" s="200"/>
      <c r="G62" s="200"/>
      <c r="H62" s="200"/>
      <c r="I62" s="201"/>
      <c r="L62" s="87"/>
      <c r="M62" s="87"/>
      <c r="N62" s="87"/>
      <c r="O62" s="87"/>
    </row>
    <row r="63" spans="1:15" x14ac:dyDescent="0.25">
      <c r="A63" s="200"/>
      <c r="B63" s="200"/>
      <c r="C63" s="200" t="s">
        <v>286</v>
      </c>
      <c r="D63" s="200"/>
      <c r="E63" s="200"/>
      <c r="F63" s="200"/>
      <c r="G63" s="200"/>
      <c r="H63" s="200"/>
      <c r="I63" s="201"/>
    </row>
    <row r="64" spans="1:15" x14ac:dyDescent="0.25">
      <c r="A64" s="200"/>
      <c r="B64" s="200"/>
      <c r="C64" s="200"/>
      <c r="D64" s="200" t="s">
        <v>287</v>
      </c>
      <c r="E64" s="200"/>
      <c r="F64" s="200"/>
      <c r="G64" s="200"/>
      <c r="H64" s="200"/>
      <c r="I64" s="201"/>
    </row>
    <row r="65" spans="1:15" ht="15.75" thickBot="1" x14ac:dyDescent="0.3">
      <c r="A65" s="200"/>
      <c r="B65" s="200"/>
      <c r="C65" s="200"/>
      <c r="D65" s="200"/>
      <c r="E65" s="200" t="s">
        <v>288</v>
      </c>
      <c r="F65" s="200"/>
      <c r="G65" s="200"/>
      <c r="H65" s="200"/>
      <c r="I65" s="202">
        <v>924.73</v>
      </c>
    </row>
    <row r="66" spans="1:15" ht="15.75" thickBot="1" x14ac:dyDescent="0.3">
      <c r="A66" s="200"/>
      <c r="B66" s="200"/>
      <c r="C66" s="200"/>
      <c r="D66" s="200" t="s">
        <v>289</v>
      </c>
      <c r="E66" s="200"/>
      <c r="F66" s="200"/>
      <c r="G66" s="200"/>
      <c r="H66" s="200"/>
      <c r="I66" s="203">
        <f>ROUND(SUM(I64:I65),5)</f>
        <v>924.73</v>
      </c>
    </row>
    <row r="67" spans="1:15" ht="15.75" thickBot="1" x14ac:dyDescent="0.3">
      <c r="A67" s="200"/>
      <c r="B67" s="200"/>
      <c r="C67" s="200" t="s">
        <v>290</v>
      </c>
      <c r="D67" s="200"/>
      <c r="E67" s="200"/>
      <c r="F67" s="200"/>
      <c r="G67" s="200"/>
      <c r="H67" s="200"/>
      <c r="I67" s="203">
        <f>ROUND(I63+I66,5)</f>
        <v>924.73</v>
      </c>
    </row>
    <row r="68" spans="1:15" ht="15.75" thickBot="1" x14ac:dyDescent="0.3">
      <c r="A68" s="200"/>
      <c r="B68" s="200" t="s">
        <v>291</v>
      </c>
      <c r="C68" s="200"/>
      <c r="D68" s="200"/>
      <c r="E68" s="200"/>
      <c r="F68" s="200"/>
      <c r="G68" s="200"/>
      <c r="H68" s="200"/>
      <c r="I68" s="203">
        <f>ROUND(I62+I67,5)</f>
        <v>924.73</v>
      </c>
    </row>
    <row r="69" spans="1:15" ht="15.75" thickBot="1" x14ac:dyDescent="0.3">
      <c r="A69" s="200" t="s">
        <v>144</v>
      </c>
      <c r="B69" s="200"/>
      <c r="C69" s="200"/>
      <c r="D69" s="200"/>
      <c r="E69" s="200"/>
      <c r="F69" s="200"/>
      <c r="G69" s="200"/>
      <c r="H69" s="200"/>
      <c r="I69" s="86">
        <f>ROUND(I61+I68,5)</f>
        <v>543739.49</v>
      </c>
    </row>
    <row r="70" spans="1:15" ht="15.75" thickTop="1" x14ac:dyDescent="0.25"/>
    <row r="71" spans="1:15" x14ac:dyDescent="0.25">
      <c r="I71" s="185">
        <f>+'KPM Thai update 2015 '!H24*1000*'STF P2'!M1-I69</f>
        <v>0</v>
      </c>
    </row>
    <row r="73" spans="1:15" x14ac:dyDescent="0.25">
      <c r="L73" s="87"/>
      <c r="M73" s="87"/>
      <c r="N73" s="87"/>
      <c r="O73" s="8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74"/>
  <sheetViews>
    <sheetView workbookViewId="0">
      <pane ySplit="1" topLeftCell="A2" activePane="bottomLeft" state="frozen"/>
      <selection pane="bottomLeft" activeCell="M1" sqref="M1"/>
    </sheetView>
  </sheetViews>
  <sheetFormatPr defaultRowHeight="15" x14ac:dyDescent="0.25"/>
  <cols>
    <col min="1" max="7" width="3" style="214" customWidth="1"/>
    <col min="8" max="8" width="36.7109375" style="214" customWidth="1"/>
    <col min="9" max="9" width="15" style="119" bestFit="1" customWidth="1"/>
    <col min="12" max="12" width="31.140625" customWidth="1"/>
    <col min="13" max="13" width="10.85546875" customWidth="1"/>
    <col min="14" max="14" width="16" customWidth="1"/>
    <col min="15" max="15" width="17.42578125" customWidth="1"/>
  </cols>
  <sheetData>
    <row r="1" spans="1:15" ht="15.75" thickBot="1" x14ac:dyDescent="0.3">
      <c r="A1" s="205"/>
      <c r="B1" s="205"/>
      <c r="C1" s="205"/>
      <c r="D1" s="205"/>
      <c r="E1" s="205"/>
      <c r="F1" s="205"/>
      <c r="G1" s="205"/>
      <c r="H1" s="205"/>
      <c r="I1" s="206" t="s">
        <v>239</v>
      </c>
      <c r="L1" s="215" t="s">
        <v>223</v>
      </c>
      <c r="M1" s="235">
        <v>35.257399999999997</v>
      </c>
      <c r="N1" s="215" t="s">
        <v>224</v>
      </c>
      <c r="O1" s="79"/>
    </row>
    <row r="2" spans="1:15" s="79" customFormat="1" ht="15.75" thickTop="1" x14ac:dyDescent="0.25">
      <c r="A2" s="200"/>
      <c r="B2" s="200" t="s">
        <v>57</v>
      </c>
      <c r="C2" s="200"/>
      <c r="D2" s="200"/>
      <c r="E2" s="200"/>
      <c r="F2" s="200"/>
      <c r="G2" s="200"/>
      <c r="H2" s="200"/>
      <c r="I2" s="201"/>
      <c r="L2"/>
      <c r="M2"/>
      <c r="N2"/>
      <c r="O2"/>
    </row>
    <row r="3" spans="1:15" ht="30" x14ac:dyDescent="0.25">
      <c r="A3" s="200"/>
      <c r="B3" s="200"/>
      <c r="C3" s="200"/>
      <c r="D3" s="200" t="s">
        <v>58</v>
      </c>
      <c r="E3" s="200"/>
      <c r="F3" s="200"/>
      <c r="G3" s="200"/>
      <c r="H3" s="200"/>
      <c r="I3" s="201"/>
      <c r="L3" s="216" t="s">
        <v>225</v>
      </c>
      <c r="M3" s="217" t="s">
        <v>224</v>
      </c>
      <c r="N3" s="218" t="s">
        <v>226</v>
      </c>
      <c r="O3" s="217" t="s">
        <v>227</v>
      </c>
    </row>
    <row r="4" spans="1:15" x14ac:dyDescent="0.25">
      <c r="A4" s="200"/>
      <c r="B4" s="200"/>
      <c r="C4" s="200"/>
      <c r="D4" s="200"/>
      <c r="E4" s="200" t="s">
        <v>59</v>
      </c>
      <c r="F4" s="200"/>
      <c r="G4" s="200"/>
      <c r="H4" s="200"/>
      <c r="I4" s="201"/>
      <c r="L4" s="219" t="s">
        <v>228</v>
      </c>
      <c r="M4" s="220">
        <f>I42</f>
        <v>111037.58</v>
      </c>
      <c r="N4" s="219"/>
      <c r="O4" s="219" t="s">
        <v>229</v>
      </c>
    </row>
    <row r="5" spans="1:15" x14ac:dyDescent="0.25">
      <c r="A5" s="200"/>
      <c r="B5" s="200"/>
      <c r="C5" s="200"/>
      <c r="D5" s="200"/>
      <c r="E5" s="200"/>
      <c r="F5" s="200" t="s">
        <v>60</v>
      </c>
      <c r="G5" s="200"/>
      <c r="H5" s="200"/>
      <c r="I5" s="201">
        <v>3305147</v>
      </c>
    </row>
    <row r="6" spans="1:15" ht="30" x14ac:dyDescent="0.25">
      <c r="A6" s="200"/>
      <c r="B6" s="200"/>
      <c r="C6" s="200"/>
      <c r="D6" s="200"/>
      <c r="E6" s="200"/>
      <c r="F6" s="200" t="s">
        <v>218</v>
      </c>
      <c r="G6" s="200"/>
      <c r="H6" s="200"/>
      <c r="I6" s="201">
        <v>918792</v>
      </c>
      <c r="L6" s="216" t="s">
        <v>230</v>
      </c>
      <c r="M6" s="217" t="s">
        <v>224</v>
      </c>
      <c r="N6" s="218" t="s">
        <v>226</v>
      </c>
      <c r="O6" s="217" t="s">
        <v>227</v>
      </c>
    </row>
    <row r="7" spans="1:15" x14ac:dyDescent="0.25">
      <c r="A7" s="200"/>
      <c r="B7" s="200"/>
      <c r="C7" s="200"/>
      <c r="D7" s="200"/>
      <c r="E7" s="200"/>
      <c r="F7" s="200" t="s">
        <v>62</v>
      </c>
      <c r="G7" s="200"/>
      <c r="H7" s="200"/>
      <c r="I7" s="201">
        <v>84700</v>
      </c>
      <c r="L7" s="221" t="s">
        <v>231</v>
      </c>
      <c r="M7" s="220">
        <f>I61-M4</f>
        <v>310971.11</v>
      </c>
      <c r="N7" s="219"/>
      <c r="O7" s="219" t="s">
        <v>229</v>
      </c>
    </row>
    <row r="8" spans="1:15" ht="15.75" thickBot="1" x14ac:dyDescent="0.3">
      <c r="A8" s="200"/>
      <c r="B8" s="200"/>
      <c r="C8" s="200"/>
      <c r="D8" s="200"/>
      <c r="E8" s="200"/>
      <c r="F8" s="200" t="s">
        <v>63</v>
      </c>
      <c r="G8" s="200"/>
      <c r="H8" s="200"/>
      <c r="I8" s="202">
        <v>21000</v>
      </c>
    </row>
    <row r="9" spans="1:15" ht="15.75" thickBot="1" x14ac:dyDescent="0.3">
      <c r="A9" s="200"/>
      <c r="B9" s="200"/>
      <c r="C9" s="200"/>
      <c r="D9" s="200"/>
      <c r="E9" s="200" t="s">
        <v>67</v>
      </c>
      <c r="F9" s="200"/>
      <c r="G9" s="200"/>
      <c r="H9" s="200"/>
      <c r="I9" s="83">
        <f>ROUND(SUM(I4:I8),5)</f>
        <v>4329639</v>
      </c>
    </row>
    <row r="10" spans="1:15" x14ac:dyDescent="0.25">
      <c r="A10" s="200"/>
      <c r="B10" s="200"/>
      <c r="C10" s="200"/>
      <c r="D10" s="200" t="s">
        <v>68</v>
      </c>
      <c r="E10" s="200"/>
      <c r="F10" s="200"/>
      <c r="G10" s="200"/>
      <c r="H10" s="200"/>
      <c r="I10" s="201">
        <f>ROUND(I3+I9,5)</f>
        <v>4329639</v>
      </c>
      <c r="M10" s="236"/>
    </row>
    <row r="11" spans="1:15" ht="30" customHeight="1" x14ac:dyDescent="0.25">
      <c r="A11" s="200"/>
      <c r="B11" s="200"/>
      <c r="C11" s="200"/>
      <c r="D11" s="200" t="s">
        <v>69</v>
      </c>
      <c r="E11" s="200"/>
      <c r="F11" s="200"/>
      <c r="G11" s="200"/>
      <c r="H11" s="200"/>
      <c r="I11" s="201"/>
    </row>
    <row r="12" spans="1:15" ht="30" customHeight="1" x14ac:dyDescent="0.25">
      <c r="A12" s="200"/>
      <c r="B12" s="200"/>
      <c r="C12" s="200"/>
      <c r="D12" s="200"/>
      <c r="E12" s="200" t="s">
        <v>240</v>
      </c>
      <c r="F12" s="200"/>
      <c r="G12" s="200"/>
      <c r="H12" s="200"/>
      <c r="I12" s="201"/>
    </row>
    <row r="13" spans="1:15" x14ac:dyDescent="0.25">
      <c r="A13" s="200"/>
      <c r="B13" s="200"/>
      <c r="C13" s="200"/>
      <c r="D13" s="200"/>
      <c r="E13" s="200"/>
      <c r="F13" s="200" t="s">
        <v>241</v>
      </c>
      <c r="G13" s="200"/>
      <c r="H13" s="200"/>
      <c r="I13" s="201"/>
    </row>
    <row r="14" spans="1:15" x14ac:dyDescent="0.25">
      <c r="A14" s="200"/>
      <c r="B14" s="200"/>
      <c r="C14" s="200"/>
      <c r="D14" s="200"/>
      <c r="E14" s="200"/>
      <c r="F14" s="200"/>
      <c r="G14" s="200" t="s">
        <v>242</v>
      </c>
      <c r="H14" s="200"/>
      <c r="I14" s="201">
        <v>2479867.98</v>
      </c>
    </row>
    <row r="15" spans="1:15" x14ac:dyDescent="0.25">
      <c r="A15" s="200"/>
      <c r="B15" s="200"/>
      <c r="C15" s="200"/>
      <c r="D15" s="200"/>
      <c r="E15" s="200"/>
      <c r="F15" s="200"/>
      <c r="G15" s="200" t="s">
        <v>243</v>
      </c>
      <c r="H15" s="200"/>
      <c r="I15" s="201"/>
    </row>
    <row r="16" spans="1:15" ht="15.75" thickBot="1" x14ac:dyDescent="0.3">
      <c r="A16" s="200"/>
      <c r="B16" s="200"/>
      <c r="C16" s="200"/>
      <c r="D16" s="200"/>
      <c r="E16" s="200"/>
      <c r="F16" s="200"/>
      <c r="G16" s="200"/>
      <c r="H16" s="200" t="s">
        <v>244</v>
      </c>
      <c r="I16" s="204">
        <v>1500</v>
      </c>
    </row>
    <row r="17" spans="1:12" x14ac:dyDescent="0.25">
      <c r="A17" s="200"/>
      <c r="B17" s="200"/>
      <c r="C17" s="200"/>
      <c r="D17" s="200"/>
      <c r="E17" s="200"/>
      <c r="F17" s="200"/>
      <c r="G17" s="200" t="s">
        <v>245</v>
      </c>
      <c r="H17" s="200"/>
      <c r="I17" s="201">
        <f>ROUND(SUM(I15:I16),5)</f>
        <v>1500</v>
      </c>
    </row>
    <row r="18" spans="1:12" ht="30" customHeight="1" x14ac:dyDescent="0.25">
      <c r="A18" s="200"/>
      <c r="B18" s="200"/>
      <c r="C18" s="200"/>
      <c r="D18" s="200"/>
      <c r="E18" s="200"/>
      <c r="F18" s="200"/>
      <c r="G18" s="200" t="s">
        <v>246</v>
      </c>
      <c r="H18" s="200"/>
      <c r="I18" s="246">
        <v>851178</v>
      </c>
      <c r="K18" s="222"/>
    </row>
    <row r="19" spans="1:12" x14ac:dyDescent="0.25">
      <c r="A19" s="200"/>
      <c r="B19" s="200"/>
      <c r="C19" s="200"/>
      <c r="D19" s="200"/>
      <c r="E19" s="200"/>
      <c r="F19" s="200"/>
      <c r="G19" s="200" t="s">
        <v>247</v>
      </c>
      <c r="H19" s="200"/>
      <c r="I19" s="201">
        <v>200</v>
      </c>
      <c r="L19" s="185"/>
    </row>
    <row r="20" spans="1:12" x14ac:dyDescent="0.25">
      <c r="A20" s="200"/>
      <c r="B20" s="200"/>
      <c r="C20" s="200"/>
      <c r="D20" s="200"/>
      <c r="E20" s="200"/>
      <c r="F20" s="200"/>
      <c r="G20" s="200" t="s">
        <v>248</v>
      </c>
      <c r="H20" s="200"/>
      <c r="I20" s="201">
        <v>9200</v>
      </c>
      <c r="L20" s="222"/>
    </row>
    <row r="21" spans="1:12" x14ac:dyDescent="0.25">
      <c r="A21" s="200"/>
      <c r="B21" s="200"/>
      <c r="C21" s="200"/>
      <c r="D21" s="200"/>
      <c r="E21" s="200"/>
      <c r="F21" s="200"/>
      <c r="G21" s="200" t="s">
        <v>249</v>
      </c>
      <c r="H21" s="200"/>
      <c r="I21" s="201">
        <v>36670</v>
      </c>
    </row>
    <row r="22" spans="1:12" ht="15.75" thickBot="1" x14ac:dyDescent="0.3">
      <c r="A22" s="200"/>
      <c r="B22" s="200"/>
      <c r="C22" s="200"/>
      <c r="D22" s="200"/>
      <c r="E22" s="200"/>
      <c r="F22" s="200"/>
      <c r="G22" s="200" t="s">
        <v>250</v>
      </c>
      <c r="H22" s="200"/>
      <c r="I22" s="202">
        <v>32200</v>
      </c>
    </row>
    <row r="23" spans="1:12" ht="15.75" thickBot="1" x14ac:dyDescent="0.3">
      <c r="A23" s="200"/>
      <c r="B23" s="200"/>
      <c r="C23" s="200"/>
      <c r="D23" s="200"/>
      <c r="E23" s="200"/>
      <c r="F23" s="200" t="s">
        <v>251</v>
      </c>
      <c r="G23" s="200"/>
      <c r="H23" s="200"/>
      <c r="I23" s="203">
        <f>ROUND(SUM(I13:I14)+SUM(I17:I22),5)</f>
        <v>3410815.98</v>
      </c>
    </row>
    <row r="24" spans="1:12" ht="30" customHeight="1" thickBot="1" x14ac:dyDescent="0.3">
      <c r="A24" s="200"/>
      <c r="B24" s="200"/>
      <c r="C24" s="200"/>
      <c r="D24" s="200"/>
      <c r="E24" s="200" t="s">
        <v>252</v>
      </c>
      <c r="F24" s="200"/>
      <c r="G24" s="200"/>
      <c r="H24" s="200"/>
      <c r="I24" s="203">
        <f>ROUND(I12+I23,5)</f>
        <v>3410815.98</v>
      </c>
    </row>
    <row r="25" spans="1:12" ht="30" customHeight="1" thickBot="1" x14ac:dyDescent="0.3">
      <c r="A25" s="200"/>
      <c r="B25" s="200"/>
      <c r="C25" s="200"/>
      <c r="D25" s="200" t="s">
        <v>88</v>
      </c>
      <c r="E25" s="200"/>
      <c r="F25" s="200"/>
      <c r="G25" s="200"/>
      <c r="H25" s="200"/>
      <c r="I25" s="83">
        <f>ROUND(I11+I24,5)</f>
        <v>3410815.98</v>
      </c>
    </row>
    <row r="26" spans="1:12" ht="30" customHeight="1" x14ac:dyDescent="0.25">
      <c r="A26" s="200"/>
      <c r="B26" s="200"/>
      <c r="C26" s="200" t="s">
        <v>89</v>
      </c>
      <c r="D26" s="200"/>
      <c r="E26" s="200"/>
      <c r="F26" s="200"/>
      <c r="G26" s="200"/>
      <c r="H26" s="200"/>
      <c r="I26" s="201">
        <f>ROUND(I10-I25,5)</f>
        <v>918823.02</v>
      </c>
      <c r="L26" s="185"/>
    </row>
    <row r="27" spans="1:12" x14ac:dyDescent="0.25">
      <c r="A27" s="200"/>
      <c r="B27" s="200"/>
      <c r="C27" s="200"/>
      <c r="D27" s="200" t="s">
        <v>90</v>
      </c>
      <c r="E27" s="200"/>
      <c r="F27" s="200"/>
      <c r="G27" s="200"/>
      <c r="H27" s="200"/>
      <c r="I27" s="201"/>
    </row>
    <row r="28" spans="1:12" x14ac:dyDescent="0.25">
      <c r="A28" s="200"/>
      <c r="B28" s="200"/>
      <c r="C28" s="200"/>
      <c r="D28" s="200"/>
      <c r="E28" s="200" t="s">
        <v>253</v>
      </c>
      <c r="F28" s="200"/>
      <c r="G28" s="200"/>
      <c r="H28" s="200"/>
      <c r="I28" s="201"/>
    </row>
    <row r="29" spans="1:12" x14ac:dyDescent="0.25">
      <c r="A29" s="200"/>
      <c r="B29" s="200"/>
      <c r="C29" s="200"/>
      <c r="D29" s="200"/>
      <c r="E29" s="200"/>
      <c r="F29" s="200" t="s">
        <v>254</v>
      </c>
      <c r="G29" s="200"/>
      <c r="H29" s="200"/>
      <c r="I29" s="201"/>
    </row>
    <row r="30" spans="1:12" ht="30" customHeight="1" x14ac:dyDescent="0.25">
      <c r="A30" s="200"/>
      <c r="B30" s="200"/>
      <c r="C30" s="200"/>
      <c r="D30" s="200"/>
      <c r="E30" s="200"/>
      <c r="F30" s="200"/>
      <c r="G30" s="200" t="s">
        <v>255</v>
      </c>
      <c r="H30" s="200"/>
      <c r="I30" s="201"/>
    </row>
    <row r="31" spans="1:12" x14ac:dyDescent="0.25">
      <c r="A31" s="200"/>
      <c r="B31" s="200"/>
      <c r="C31" s="200"/>
      <c r="D31" s="200"/>
      <c r="E31" s="200"/>
      <c r="F31" s="200"/>
      <c r="G31" s="200"/>
      <c r="H31" s="200" t="s">
        <v>256</v>
      </c>
      <c r="I31" s="201">
        <v>224000</v>
      </c>
    </row>
    <row r="32" spans="1:12" ht="15.75" thickBot="1" x14ac:dyDescent="0.3">
      <c r="A32" s="200"/>
      <c r="B32" s="200"/>
      <c r="C32" s="200"/>
      <c r="D32" s="200"/>
      <c r="E32" s="200"/>
      <c r="F32" s="200"/>
      <c r="G32" s="200"/>
      <c r="H32" s="200" t="s">
        <v>292</v>
      </c>
      <c r="I32" s="204">
        <v>37000</v>
      </c>
    </row>
    <row r="33" spans="1:12" x14ac:dyDescent="0.25">
      <c r="A33" s="200"/>
      <c r="B33" s="200"/>
      <c r="C33" s="200"/>
      <c r="D33" s="200"/>
      <c r="E33" s="200"/>
      <c r="F33" s="200"/>
      <c r="G33" s="200" t="s">
        <v>257</v>
      </c>
      <c r="H33" s="200"/>
      <c r="I33" s="201">
        <f>ROUND(SUM(I30:I32),5)</f>
        <v>261000</v>
      </c>
    </row>
    <row r="34" spans="1:12" x14ac:dyDescent="0.25">
      <c r="A34" s="200"/>
      <c r="B34" s="200"/>
      <c r="C34" s="200"/>
      <c r="D34" s="200"/>
      <c r="E34" s="200"/>
      <c r="F34" s="200"/>
      <c r="G34" s="200" t="s">
        <v>258</v>
      </c>
      <c r="H34" s="200"/>
      <c r="I34" s="201"/>
    </row>
    <row r="35" spans="1:12" ht="30" customHeight="1" x14ac:dyDescent="0.25">
      <c r="A35" s="200"/>
      <c r="B35" s="200"/>
      <c r="C35" s="200"/>
      <c r="D35" s="200"/>
      <c r="E35" s="200"/>
      <c r="F35" s="200"/>
      <c r="G35" s="200"/>
      <c r="H35" s="200" t="s">
        <v>259</v>
      </c>
      <c r="I35" s="201">
        <v>501</v>
      </c>
      <c r="L35" s="223"/>
    </row>
    <row r="36" spans="1:12" ht="15.75" thickBot="1" x14ac:dyDescent="0.3">
      <c r="A36" s="200"/>
      <c r="B36" s="200"/>
      <c r="C36" s="200"/>
      <c r="D36" s="200"/>
      <c r="E36" s="200"/>
      <c r="F36" s="200"/>
      <c r="G36" s="200"/>
      <c r="H36" s="200" t="s">
        <v>260</v>
      </c>
      <c r="I36" s="204">
        <v>5000</v>
      </c>
      <c r="L36" s="223"/>
    </row>
    <row r="37" spans="1:12" x14ac:dyDescent="0.25">
      <c r="A37" s="200"/>
      <c r="B37" s="200"/>
      <c r="C37" s="200"/>
      <c r="D37" s="200"/>
      <c r="E37" s="200"/>
      <c r="F37" s="200"/>
      <c r="G37" s="200" t="s">
        <v>261</v>
      </c>
      <c r="H37" s="200"/>
      <c r="I37" s="201">
        <f>ROUND(SUM(I34:I36),5)</f>
        <v>5501</v>
      </c>
      <c r="L37" s="223"/>
    </row>
    <row r="38" spans="1:12" ht="30" customHeight="1" x14ac:dyDescent="0.25">
      <c r="A38" s="200"/>
      <c r="B38" s="200"/>
      <c r="C38" s="200"/>
      <c r="D38" s="200"/>
      <c r="E38" s="200"/>
      <c r="F38" s="200"/>
      <c r="G38" s="200" t="s">
        <v>262</v>
      </c>
      <c r="H38" s="200"/>
      <c r="I38" s="201"/>
    </row>
    <row r="39" spans="1:12" x14ac:dyDescent="0.25">
      <c r="A39" s="200"/>
      <c r="B39" s="200"/>
      <c r="C39" s="200"/>
      <c r="D39" s="200"/>
      <c r="E39" s="200"/>
      <c r="F39" s="200"/>
      <c r="G39" s="200"/>
      <c r="H39" s="200" t="s">
        <v>263</v>
      </c>
      <c r="I39" s="201">
        <v>107840</v>
      </c>
    </row>
    <row r="40" spans="1:12" x14ac:dyDescent="0.25">
      <c r="A40" s="200"/>
      <c r="B40" s="200"/>
      <c r="C40" s="200"/>
      <c r="D40" s="200"/>
      <c r="E40" s="200"/>
      <c r="F40" s="200"/>
      <c r="G40" s="200"/>
      <c r="H40" s="200" t="s">
        <v>264</v>
      </c>
      <c r="I40" s="201">
        <v>1993</v>
      </c>
    </row>
    <row r="41" spans="1:12" ht="15.75" thickBot="1" x14ac:dyDescent="0.3">
      <c r="A41" s="200"/>
      <c r="B41" s="200"/>
      <c r="C41" s="200"/>
      <c r="D41" s="200"/>
      <c r="E41" s="200"/>
      <c r="F41" s="200"/>
      <c r="G41" s="200"/>
      <c r="H41" s="200" t="s">
        <v>265</v>
      </c>
      <c r="I41" s="204">
        <v>1204.58</v>
      </c>
    </row>
    <row r="42" spans="1:12" x14ac:dyDescent="0.25">
      <c r="A42" s="200"/>
      <c r="B42" s="200"/>
      <c r="C42" s="200"/>
      <c r="D42" s="200"/>
      <c r="E42" s="200"/>
      <c r="F42" s="200"/>
      <c r="G42" s="200" t="s">
        <v>266</v>
      </c>
      <c r="H42" s="200"/>
      <c r="I42" s="201">
        <f>ROUND(SUM(I38:I41),5)</f>
        <v>111037.58</v>
      </c>
    </row>
    <row r="43" spans="1:12" ht="30" customHeight="1" x14ac:dyDescent="0.25">
      <c r="A43" s="200"/>
      <c r="B43" s="200"/>
      <c r="C43" s="200"/>
      <c r="D43" s="200"/>
      <c r="E43" s="200"/>
      <c r="F43" s="200"/>
      <c r="G43" s="200" t="s">
        <v>267</v>
      </c>
      <c r="H43" s="200"/>
      <c r="I43" s="201"/>
    </row>
    <row r="44" spans="1:12" x14ac:dyDescent="0.25">
      <c r="A44" s="200"/>
      <c r="B44" s="200"/>
      <c r="C44" s="200"/>
      <c r="D44" s="200"/>
      <c r="E44" s="200"/>
      <c r="F44" s="200"/>
      <c r="G44" s="200"/>
      <c r="H44" s="200" t="s">
        <v>268</v>
      </c>
      <c r="I44" s="201">
        <v>1677.85</v>
      </c>
    </row>
    <row r="45" spans="1:12" x14ac:dyDescent="0.25">
      <c r="A45" s="200"/>
      <c r="B45" s="200"/>
      <c r="C45" s="200"/>
      <c r="D45" s="200"/>
      <c r="E45" s="200"/>
      <c r="F45" s="200"/>
      <c r="G45" s="200"/>
      <c r="H45" s="200" t="s">
        <v>269</v>
      </c>
      <c r="I45" s="201">
        <v>3192.31</v>
      </c>
    </row>
    <row r="46" spans="1:12" x14ac:dyDescent="0.25">
      <c r="A46" s="200"/>
      <c r="B46" s="200"/>
      <c r="C46" s="200"/>
      <c r="D46" s="200"/>
      <c r="E46" s="200"/>
      <c r="F46" s="200"/>
      <c r="G46" s="200"/>
      <c r="H46" s="200" t="s">
        <v>270</v>
      </c>
      <c r="I46" s="201">
        <v>1440</v>
      </c>
    </row>
    <row r="47" spans="1:12" ht="15.75" thickBot="1" x14ac:dyDescent="0.3">
      <c r="A47" s="200"/>
      <c r="B47" s="200"/>
      <c r="C47" s="200"/>
      <c r="D47" s="200"/>
      <c r="E47" s="200"/>
      <c r="F47" s="200"/>
      <c r="G47" s="200"/>
      <c r="H47" s="200" t="s">
        <v>271</v>
      </c>
      <c r="I47" s="204">
        <v>31578.95</v>
      </c>
    </row>
    <row r="48" spans="1:12" ht="30" customHeight="1" x14ac:dyDescent="0.25">
      <c r="A48" s="200"/>
      <c r="B48" s="200"/>
      <c r="C48" s="200"/>
      <c r="D48" s="200"/>
      <c r="E48" s="200"/>
      <c r="F48" s="200"/>
      <c r="G48" s="200" t="s">
        <v>272</v>
      </c>
      <c r="H48" s="200"/>
      <c r="I48" s="201">
        <f>ROUND(SUM(I43:I47),5)</f>
        <v>37889.11</v>
      </c>
    </row>
    <row r="49" spans="1:15" x14ac:dyDescent="0.25">
      <c r="A49" s="200"/>
      <c r="B49" s="200"/>
      <c r="C49" s="200"/>
      <c r="D49" s="200"/>
      <c r="E49" s="200"/>
      <c r="F49" s="200"/>
      <c r="G49" s="200" t="s">
        <v>273</v>
      </c>
      <c r="H49" s="200"/>
      <c r="I49" s="201"/>
    </row>
    <row r="50" spans="1:15" ht="15.75" thickBot="1" x14ac:dyDescent="0.3">
      <c r="A50" s="200"/>
      <c r="B50" s="200"/>
      <c r="C50" s="200"/>
      <c r="D50" s="200"/>
      <c r="E50" s="200"/>
      <c r="F50" s="200"/>
      <c r="G50" s="200"/>
      <c r="H50" s="200" t="s">
        <v>274</v>
      </c>
      <c r="I50" s="204">
        <v>1280</v>
      </c>
    </row>
    <row r="51" spans="1:15" x14ac:dyDescent="0.25">
      <c r="A51" s="200"/>
      <c r="B51" s="200"/>
      <c r="C51" s="200"/>
      <c r="D51" s="200"/>
      <c r="E51" s="200"/>
      <c r="F51" s="200"/>
      <c r="G51" s="200" t="s">
        <v>275</v>
      </c>
      <c r="H51" s="200"/>
      <c r="I51" s="201">
        <f>ROUND(SUM(I49:I50),5)</f>
        <v>1280</v>
      </c>
    </row>
    <row r="52" spans="1:15" ht="30" customHeight="1" x14ac:dyDescent="0.25">
      <c r="A52" s="200"/>
      <c r="B52" s="200"/>
      <c r="C52" s="200"/>
      <c r="D52" s="200"/>
      <c r="E52" s="200"/>
      <c r="F52" s="200"/>
      <c r="G52" s="200" t="s">
        <v>276</v>
      </c>
      <c r="H52" s="200"/>
      <c r="I52" s="201"/>
    </row>
    <row r="53" spans="1:15" x14ac:dyDescent="0.25">
      <c r="A53" s="200"/>
      <c r="B53" s="200"/>
      <c r="C53" s="200"/>
      <c r="D53" s="200"/>
      <c r="E53" s="200"/>
      <c r="F53" s="200"/>
      <c r="G53" s="200"/>
      <c r="H53" s="200" t="s">
        <v>277</v>
      </c>
      <c r="I53" s="201">
        <v>2664</v>
      </c>
    </row>
    <row r="54" spans="1:15" ht="15.75" thickBot="1" x14ac:dyDescent="0.3">
      <c r="A54" s="200"/>
      <c r="B54" s="200"/>
      <c r="C54" s="200"/>
      <c r="D54" s="200"/>
      <c r="E54" s="200"/>
      <c r="F54" s="200"/>
      <c r="G54" s="200"/>
      <c r="H54" s="200" t="s">
        <v>278</v>
      </c>
      <c r="I54" s="202">
        <v>1000</v>
      </c>
    </row>
    <row r="55" spans="1:15" ht="15.75" thickBot="1" x14ac:dyDescent="0.3">
      <c r="A55" s="200"/>
      <c r="B55" s="200"/>
      <c r="C55" s="200"/>
      <c r="D55" s="200"/>
      <c r="E55" s="200"/>
      <c r="F55" s="200"/>
      <c r="G55" s="200" t="s">
        <v>279</v>
      </c>
      <c r="H55" s="200"/>
      <c r="I55" s="83">
        <f>ROUND(SUM(I52:I54),5)</f>
        <v>3664</v>
      </c>
    </row>
    <row r="56" spans="1:15" x14ac:dyDescent="0.25">
      <c r="A56" s="200"/>
      <c r="B56" s="200"/>
      <c r="C56" s="200"/>
      <c r="D56" s="200"/>
      <c r="E56" s="200"/>
      <c r="F56" s="200" t="s">
        <v>280</v>
      </c>
      <c r="G56" s="200"/>
      <c r="H56" s="200"/>
      <c r="I56" s="201">
        <f>ROUND(I29+I33+I37+I42+I48+I51+I55,5)</f>
        <v>420371.69</v>
      </c>
    </row>
    <row r="57" spans="1:15" x14ac:dyDescent="0.25">
      <c r="A57" s="200"/>
      <c r="B57" s="200"/>
      <c r="C57" s="200"/>
      <c r="D57" s="200"/>
      <c r="E57" s="200"/>
      <c r="F57" s="200" t="s">
        <v>281</v>
      </c>
      <c r="G57" s="200"/>
      <c r="H57" s="200"/>
      <c r="I57" s="201"/>
    </row>
    <row r="58" spans="1:15" ht="30" customHeight="1" thickBot="1" x14ac:dyDescent="0.3">
      <c r="A58" s="200"/>
      <c r="B58" s="200"/>
      <c r="C58" s="200"/>
      <c r="D58" s="200"/>
      <c r="E58" s="200"/>
      <c r="F58" s="200"/>
      <c r="G58" s="200" t="s">
        <v>282</v>
      </c>
      <c r="H58" s="200"/>
      <c r="I58" s="202">
        <v>1637</v>
      </c>
    </row>
    <row r="59" spans="1:15" ht="30" customHeight="1" thickBot="1" x14ac:dyDescent="0.3">
      <c r="A59" s="200"/>
      <c r="B59" s="200"/>
      <c r="C59" s="200"/>
      <c r="D59" s="200"/>
      <c r="E59" s="200"/>
      <c r="F59" s="200" t="s">
        <v>283</v>
      </c>
      <c r="G59" s="200"/>
      <c r="H59" s="200"/>
      <c r="I59" s="203">
        <f>ROUND(SUM(I57:I58),5)</f>
        <v>1637</v>
      </c>
    </row>
    <row r="60" spans="1:15" ht="30" customHeight="1" thickBot="1" x14ac:dyDescent="0.3">
      <c r="A60" s="200"/>
      <c r="B60" s="200"/>
      <c r="C60" s="200"/>
      <c r="D60" s="200"/>
      <c r="E60" s="200" t="s">
        <v>284</v>
      </c>
      <c r="F60" s="200"/>
      <c r="G60" s="200"/>
      <c r="H60" s="200"/>
      <c r="I60" s="203">
        <f>ROUND(I28+I56+I59,5)</f>
        <v>422008.69</v>
      </c>
    </row>
    <row r="61" spans="1:15" s="87" customFormat="1" ht="30" customHeight="1" thickBot="1" x14ac:dyDescent="0.3">
      <c r="A61" s="200"/>
      <c r="B61" s="200"/>
      <c r="C61" s="200"/>
      <c r="D61" s="200" t="s">
        <v>142</v>
      </c>
      <c r="E61" s="200"/>
      <c r="F61" s="200"/>
      <c r="G61" s="200"/>
      <c r="H61" s="200"/>
      <c r="I61" s="83">
        <f>ROUND(I27+I60,5)</f>
        <v>422008.69</v>
      </c>
      <c r="L61"/>
      <c r="M61"/>
      <c r="N61"/>
      <c r="O61"/>
    </row>
    <row r="62" spans="1:15" x14ac:dyDescent="0.25">
      <c r="A62" s="200"/>
      <c r="B62" s="200" t="s">
        <v>143</v>
      </c>
      <c r="C62" s="200"/>
      <c r="D62" s="200"/>
      <c r="E62" s="200"/>
      <c r="F62" s="200"/>
      <c r="G62" s="200"/>
      <c r="H62" s="200"/>
      <c r="I62" s="201">
        <f>ROUND(I2+I26-I61,5)</f>
        <v>496814.33</v>
      </c>
      <c r="L62" s="87"/>
      <c r="M62" s="87"/>
      <c r="N62" s="87"/>
      <c r="O62" s="87"/>
    </row>
    <row r="63" spans="1:15" x14ac:dyDescent="0.25">
      <c r="A63" s="200"/>
      <c r="B63" s="200" t="s">
        <v>285</v>
      </c>
      <c r="C63" s="200"/>
      <c r="D63" s="200"/>
      <c r="E63" s="200"/>
      <c r="F63" s="200"/>
      <c r="G63" s="200"/>
      <c r="H63" s="200"/>
      <c r="I63" s="201"/>
    </row>
    <row r="64" spans="1:15" x14ac:dyDescent="0.25">
      <c r="A64" s="200"/>
      <c r="B64" s="200"/>
      <c r="C64" s="200" t="s">
        <v>286</v>
      </c>
      <c r="D64" s="200"/>
      <c r="E64" s="200"/>
      <c r="F64" s="200"/>
      <c r="G64" s="200"/>
      <c r="H64" s="200"/>
      <c r="I64" s="201"/>
    </row>
    <row r="65" spans="1:15" x14ac:dyDescent="0.25">
      <c r="A65" s="200"/>
      <c r="B65" s="200"/>
      <c r="C65" s="200"/>
      <c r="D65" s="200" t="s">
        <v>287</v>
      </c>
      <c r="E65" s="200"/>
      <c r="F65" s="200"/>
      <c r="G65" s="200"/>
      <c r="H65" s="200"/>
      <c r="I65" s="201"/>
    </row>
    <row r="66" spans="1:15" ht="15.75" thickBot="1" x14ac:dyDescent="0.3">
      <c r="A66" s="200"/>
      <c r="B66" s="200"/>
      <c r="C66" s="200"/>
      <c r="D66" s="200"/>
      <c r="E66" s="200" t="s">
        <v>288</v>
      </c>
      <c r="F66" s="200"/>
      <c r="G66" s="200"/>
      <c r="H66" s="200"/>
      <c r="I66" s="202">
        <v>196.5</v>
      </c>
    </row>
    <row r="67" spans="1:15" ht="15.75" thickBot="1" x14ac:dyDescent="0.3">
      <c r="A67" s="200"/>
      <c r="B67" s="200"/>
      <c r="C67" s="200"/>
      <c r="D67" s="200" t="s">
        <v>289</v>
      </c>
      <c r="E67" s="200"/>
      <c r="F67" s="200"/>
      <c r="G67" s="200"/>
      <c r="H67" s="200"/>
      <c r="I67" s="203">
        <f>ROUND(SUM(I65:I66),5)</f>
        <v>196.5</v>
      </c>
    </row>
    <row r="68" spans="1:15" ht="15.75" thickBot="1" x14ac:dyDescent="0.3">
      <c r="A68" s="200"/>
      <c r="B68" s="200"/>
      <c r="C68" s="200" t="s">
        <v>290</v>
      </c>
      <c r="D68" s="200"/>
      <c r="E68" s="200"/>
      <c r="F68" s="200"/>
      <c r="G68" s="200"/>
      <c r="H68" s="200"/>
      <c r="I68" s="203">
        <f>ROUND(I64+I67,5)</f>
        <v>196.5</v>
      </c>
    </row>
    <row r="69" spans="1:15" ht="15.75" thickBot="1" x14ac:dyDescent="0.3">
      <c r="A69" s="200"/>
      <c r="B69" s="200" t="s">
        <v>291</v>
      </c>
      <c r="C69" s="200"/>
      <c r="D69" s="200"/>
      <c r="E69" s="200"/>
      <c r="F69" s="200"/>
      <c r="G69" s="200"/>
      <c r="H69" s="200"/>
      <c r="I69" s="203">
        <f>ROUND(I63+I68,5)</f>
        <v>196.5</v>
      </c>
    </row>
    <row r="70" spans="1:15" ht="15.75" thickBot="1" x14ac:dyDescent="0.3">
      <c r="A70" s="200" t="s">
        <v>144</v>
      </c>
      <c r="B70" s="200"/>
      <c r="C70" s="200"/>
      <c r="D70" s="200"/>
      <c r="E70" s="200"/>
      <c r="F70" s="200"/>
      <c r="G70" s="200"/>
      <c r="H70" s="200"/>
      <c r="I70" s="86">
        <f>ROUND(I62+I69,5)</f>
        <v>497010.83</v>
      </c>
    </row>
    <row r="71" spans="1:15" ht="15.75" thickTop="1" x14ac:dyDescent="0.25"/>
    <row r="73" spans="1:15" x14ac:dyDescent="0.25">
      <c r="L73" s="87"/>
      <c r="M73" s="87"/>
      <c r="N73" s="87"/>
      <c r="O73" s="87"/>
    </row>
    <row r="74" spans="1:15" x14ac:dyDescent="0.25">
      <c r="I74" s="2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73"/>
  <sheetViews>
    <sheetView workbookViewId="0">
      <pane ySplit="2" topLeftCell="A3" activePane="bottomLeft" state="frozen"/>
      <selection pane="bottomLeft" activeCell="L1" sqref="L1"/>
    </sheetView>
  </sheetViews>
  <sheetFormatPr defaultRowHeight="15" x14ac:dyDescent="0.25"/>
  <cols>
    <col min="1" max="6" width="3" style="214" customWidth="1"/>
    <col min="7" max="7" width="28.7109375" style="214" customWidth="1"/>
    <col min="8" max="8" width="10.7109375" style="119" bestFit="1" customWidth="1"/>
    <col min="11" max="11" width="31.140625" customWidth="1"/>
    <col min="12" max="12" width="10.85546875" customWidth="1"/>
    <col min="13" max="13" width="12.42578125" customWidth="1"/>
    <col min="14" max="14" width="17.42578125" customWidth="1"/>
  </cols>
  <sheetData>
    <row r="1" spans="1:14" ht="15.75" thickBot="1" x14ac:dyDescent="0.3">
      <c r="A1" s="200"/>
      <c r="B1" s="200"/>
      <c r="C1" s="200"/>
      <c r="D1" s="200"/>
      <c r="E1" s="200"/>
      <c r="F1" s="200"/>
      <c r="G1" s="200"/>
      <c r="H1" s="212"/>
      <c r="K1" s="215" t="s">
        <v>223</v>
      </c>
      <c r="L1" s="235">
        <v>35.222499999999997</v>
      </c>
      <c r="M1" s="215" t="s">
        <v>224</v>
      </c>
      <c r="N1" s="79"/>
    </row>
    <row r="2" spans="1:14" s="79" customFormat="1" ht="16.5" thickTop="1" thickBot="1" x14ac:dyDescent="0.3">
      <c r="A2" s="205"/>
      <c r="B2" s="205"/>
      <c r="C2" s="205"/>
      <c r="D2" s="205"/>
      <c r="E2" s="205"/>
      <c r="F2" s="205"/>
      <c r="G2" s="205"/>
      <c r="H2" s="213" t="s">
        <v>217</v>
      </c>
      <c r="K2"/>
      <c r="L2"/>
      <c r="M2"/>
      <c r="N2"/>
    </row>
    <row r="3" spans="1:14" ht="30.75" thickTop="1" x14ac:dyDescent="0.25">
      <c r="A3" s="200"/>
      <c r="B3" s="200" t="s">
        <v>57</v>
      </c>
      <c r="C3" s="200"/>
      <c r="D3" s="200"/>
      <c r="E3" s="200"/>
      <c r="F3" s="200"/>
      <c r="G3" s="200"/>
      <c r="H3" s="201"/>
      <c r="K3" s="216" t="s">
        <v>225</v>
      </c>
      <c r="L3" s="217" t="s">
        <v>224</v>
      </c>
      <c r="M3" s="218" t="s">
        <v>226</v>
      </c>
      <c r="N3" s="217" t="s">
        <v>227</v>
      </c>
    </row>
    <row r="4" spans="1:14" x14ac:dyDescent="0.25">
      <c r="A4" s="200"/>
      <c r="B4" s="200"/>
      <c r="C4" s="200"/>
      <c r="D4" s="200" t="s">
        <v>58</v>
      </c>
      <c r="E4" s="200"/>
      <c r="F4" s="200"/>
      <c r="G4" s="200"/>
      <c r="H4" s="201"/>
      <c r="K4" s="219" t="s">
        <v>228</v>
      </c>
      <c r="L4" s="220">
        <f>H47</f>
        <v>115170.43</v>
      </c>
      <c r="M4" s="219"/>
      <c r="N4" s="219" t="s">
        <v>229</v>
      </c>
    </row>
    <row r="5" spans="1:14" x14ac:dyDescent="0.25">
      <c r="A5" s="200"/>
      <c r="B5" s="200"/>
      <c r="C5" s="200"/>
      <c r="D5" s="200"/>
      <c r="E5" s="200" t="s">
        <v>59</v>
      </c>
      <c r="F5" s="200"/>
      <c r="G5" s="200"/>
      <c r="H5" s="201"/>
    </row>
    <row r="6" spans="1:14" ht="30" x14ac:dyDescent="0.25">
      <c r="A6" s="200"/>
      <c r="B6" s="200"/>
      <c r="C6" s="200"/>
      <c r="D6" s="200"/>
      <c r="E6" s="200"/>
      <c r="F6" s="200" t="s">
        <v>60</v>
      </c>
      <c r="G6" s="200"/>
      <c r="H6" s="201">
        <v>4192321</v>
      </c>
      <c r="K6" s="216" t="s">
        <v>230</v>
      </c>
      <c r="L6" s="217" t="s">
        <v>224</v>
      </c>
      <c r="M6" s="218" t="s">
        <v>226</v>
      </c>
      <c r="N6" s="217" t="s">
        <v>227</v>
      </c>
    </row>
    <row r="7" spans="1:14" x14ac:dyDescent="0.25">
      <c r="A7" s="200"/>
      <c r="B7" s="200"/>
      <c r="C7" s="200"/>
      <c r="D7" s="200"/>
      <c r="E7" s="200"/>
      <c r="F7" s="200" t="s">
        <v>218</v>
      </c>
      <c r="G7" s="200"/>
      <c r="H7" s="201">
        <v>1045869</v>
      </c>
      <c r="K7" s="221" t="s">
        <v>231</v>
      </c>
      <c r="L7" s="220">
        <f>H59-H47</f>
        <v>311842.68</v>
      </c>
      <c r="M7" s="219"/>
      <c r="N7" s="219" t="s">
        <v>229</v>
      </c>
    </row>
    <row r="8" spans="1:14" x14ac:dyDescent="0.25">
      <c r="A8" s="200"/>
      <c r="B8" s="200"/>
      <c r="C8" s="200"/>
      <c r="D8" s="200"/>
      <c r="E8" s="200"/>
      <c r="F8" s="200" t="s">
        <v>62</v>
      </c>
      <c r="G8" s="200"/>
      <c r="H8" s="201">
        <v>101150</v>
      </c>
    </row>
    <row r="9" spans="1:14" ht="15.75" thickBot="1" x14ac:dyDescent="0.3">
      <c r="A9" s="200"/>
      <c r="B9" s="200"/>
      <c r="C9" s="200"/>
      <c r="D9" s="200"/>
      <c r="E9" s="200"/>
      <c r="F9" s="200" t="s">
        <v>63</v>
      </c>
      <c r="G9" s="200"/>
      <c r="H9" s="202">
        <v>37800</v>
      </c>
    </row>
    <row r="10" spans="1:14" ht="15.75" thickBot="1" x14ac:dyDescent="0.3">
      <c r="A10" s="200"/>
      <c r="B10" s="200"/>
      <c r="C10" s="200"/>
      <c r="D10" s="200"/>
      <c r="E10" s="200" t="s">
        <v>67</v>
      </c>
      <c r="F10" s="200"/>
      <c r="G10" s="200"/>
      <c r="H10" s="83">
        <f>ROUND(SUM(H5:H9),5)</f>
        <v>5377140</v>
      </c>
      <c r="L10" s="236"/>
    </row>
    <row r="11" spans="1:14" ht="30" customHeight="1" x14ac:dyDescent="0.25">
      <c r="A11" s="200"/>
      <c r="B11" s="200"/>
      <c r="C11" s="200"/>
      <c r="D11" s="200" t="s">
        <v>68</v>
      </c>
      <c r="E11" s="200"/>
      <c r="F11" s="200"/>
      <c r="G11" s="200"/>
      <c r="H11" s="201">
        <f>ROUND(H4+H10,5)</f>
        <v>5377140</v>
      </c>
    </row>
    <row r="12" spans="1:14" ht="30" customHeight="1" x14ac:dyDescent="0.25">
      <c r="A12" s="200"/>
      <c r="B12" s="200"/>
      <c r="C12" s="200"/>
      <c r="D12" s="200" t="s">
        <v>69</v>
      </c>
      <c r="E12" s="200"/>
      <c r="F12" s="200"/>
      <c r="G12" s="200"/>
      <c r="H12" s="201"/>
    </row>
    <row r="13" spans="1:14" x14ac:dyDescent="0.25">
      <c r="A13" s="200"/>
      <c r="B13" s="200"/>
      <c r="C13" s="200"/>
      <c r="D13" s="200"/>
      <c r="E13" s="200" t="s">
        <v>71</v>
      </c>
      <c r="F13" s="200"/>
      <c r="G13" s="200"/>
      <c r="H13" s="201"/>
    </row>
    <row r="14" spans="1:14" x14ac:dyDescent="0.25">
      <c r="A14" s="200"/>
      <c r="B14" s="200"/>
      <c r="C14" s="200"/>
      <c r="D14" s="200"/>
      <c r="E14" s="200"/>
      <c r="F14" s="200" t="s">
        <v>73</v>
      </c>
      <c r="G14" s="200"/>
      <c r="H14" s="201">
        <v>3093380.7</v>
      </c>
    </row>
    <row r="15" spans="1:14" x14ac:dyDescent="0.25">
      <c r="A15" s="200"/>
      <c r="B15" s="200"/>
      <c r="C15" s="200"/>
      <c r="D15" s="200"/>
      <c r="E15" s="200"/>
      <c r="F15" s="200" t="s">
        <v>75</v>
      </c>
      <c r="G15" s="200"/>
      <c r="H15" s="201"/>
    </row>
    <row r="16" spans="1:14" ht="15.75" thickBot="1" x14ac:dyDescent="0.3">
      <c r="A16" s="200"/>
      <c r="B16" s="200"/>
      <c r="C16" s="200"/>
      <c r="D16" s="200"/>
      <c r="E16" s="200"/>
      <c r="F16" s="200"/>
      <c r="G16" s="200" t="s">
        <v>76</v>
      </c>
      <c r="H16" s="204">
        <v>1260</v>
      </c>
    </row>
    <row r="17" spans="1:11" x14ac:dyDescent="0.25">
      <c r="A17" s="200"/>
      <c r="B17" s="200"/>
      <c r="C17" s="200"/>
      <c r="D17" s="200"/>
      <c r="E17" s="200"/>
      <c r="F17" s="200" t="s">
        <v>79</v>
      </c>
      <c r="G17" s="200"/>
      <c r="H17" s="201">
        <f>ROUND(SUM(H15:H16),5)</f>
        <v>1260</v>
      </c>
    </row>
    <row r="18" spans="1:11" ht="30" customHeight="1" x14ac:dyDescent="0.25">
      <c r="A18" s="200"/>
      <c r="B18" s="200"/>
      <c r="C18" s="200"/>
      <c r="D18" s="200"/>
      <c r="E18" s="200"/>
      <c r="F18" s="200" t="s">
        <v>80</v>
      </c>
      <c r="G18" s="200"/>
      <c r="H18" s="201">
        <v>965107.5</v>
      </c>
    </row>
    <row r="19" spans="1:11" x14ac:dyDescent="0.25">
      <c r="A19" s="200"/>
      <c r="B19" s="200"/>
      <c r="C19" s="200"/>
      <c r="D19" s="200"/>
      <c r="E19" s="200"/>
      <c r="F19" s="200" t="s">
        <v>81</v>
      </c>
      <c r="G19" s="200"/>
      <c r="H19" s="201">
        <v>200</v>
      </c>
      <c r="K19" s="185"/>
    </row>
    <row r="20" spans="1:11" x14ac:dyDescent="0.25">
      <c r="A20" s="200"/>
      <c r="B20" s="200"/>
      <c r="C20" s="200"/>
      <c r="D20" s="200"/>
      <c r="E20" s="200"/>
      <c r="F20" s="200" t="s">
        <v>82</v>
      </c>
      <c r="G20" s="200"/>
      <c r="H20" s="201">
        <v>11000</v>
      </c>
      <c r="K20" s="222"/>
    </row>
    <row r="21" spans="1:11" x14ac:dyDescent="0.25">
      <c r="A21" s="200"/>
      <c r="B21" s="200"/>
      <c r="C21" s="200"/>
      <c r="D21" s="200"/>
      <c r="E21" s="200"/>
      <c r="F21" s="200" t="s">
        <v>83</v>
      </c>
      <c r="G21" s="200"/>
      <c r="H21" s="201">
        <v>78352</v>
      </c>
    </row>
    <row r="22" spans="1:11" ht="15.75" thickBot="1" x14ac:dyDescent="0.3">
      <c r="A22" s="200"/>
      <c r="B22" s="200"/>
      <c r="C22" s="200"/>
      <c r="D22" s="200"/>
      <c r="E22" s="200"/>
      <c r="F22" s="200" t="s">
        <v>86</v>
      </c>
      <c r="G22" s="200"/>
      <c r="H22" s="202">
        <v>43440</v>
      </c>
    </row>
    <row r="23" spans="1:11" ht="15.75" thickBot="1" x14ac:dyDescent="0.3">
      <c r="A23" s="200"/>
      <c r="B23" s="200"/>
      <c r="C23" s="200"/>
      <c r="D23" s="200"/>
      <c r="E23" s="200" t="s">
        <v>87</v>
      </c>
      <c r="F23" s="200"/>
      <c r="G23" s="200"/>
      <c r="H23" s="203">
        <f>ROUND(SUM(H13:H14)+SUM(H17:H22),5)</f>
        <v>4192740.2</v>
      </c>
    </row>
    <row r="24" spans="1:11" ht="30" customHeight="1" thickBot="1" x14ac:dyDescent="0.3">
      <c r="A24" s="200"/>
      <c r="B24" s="200"/>
      <c r="C24" s="200"/>
      <c r="D24" s="200" t="s">
        <v>88</v>
      </c>
      <c r="E24" s="200"/>
      <c r="F24" s="200"/>
      <c r="G24" s="200"/>
      <c r="H24" s="83">
        <f>ROUND(H12+H23,5)</f>
        <v>4192740.2</v>
      </c>
    </row>
    <row r="25" spans="1:11" ht="30" customHeight="1" x14ac:dyDescent="0.25">
      <c r="A25" s="200"/>
      <c r="B25" s="200"/>
      <c r="C25" s="200" t="s">
        <v>89</v>
      </c>
      <c r="D25" s="200"/>
      <c r="E25" s="200"/>
      <c r="F25" s="200"/>
      <c r="G25" s="200"/>
      <c r="H25" s="201">
        <f>ROUND(H11-H24,5)</f>
        <v>1184399.8</v>
      </c>
    </row>
    <row r="26" spans="1:11" ht="30" customHeight="1" x14ac:dyDescent="0.25">
      <c r="A26" s="200"/>
      <c r="B26" s="200"/>
      <c r="C26" s="200"/>
      <c r="D26" s="200" t="s">
        <v>90</v>
      </c>
      <c r="E26" s="200"/>
      <c r="F26" s="200"/>
      <c r="G26" s="200"/>
      <c r="H26" s="201"/>
      <c r="K26" s="185"/>
    </row>
    <row r="27" spans="1:11" x14ac:dyDescent="0.25">
      <c r="A27" s="200"/>
      <c r="B27" s="200"/>
      <c r="C27" s="200"/>
      <c r="D27" s="200"/>
      <c r="E27" s="200" t="s">
        <v>219</v>
      </c>
      <c r="F27" s="200"/>
      <c r="G27" s="200"/>
      <c r="H27" s="201"/>
    </row>
    <row r="28" spans="1:11" ht="15.75" thickBot="1" x14ac:dyDescent="0.3">
      <c r="A28" s="200"/>
      <c r="B28" s="200"/>
      <c r="C28" s="200"/>
      <c r="D28" s="200"/>
      <c r="E28" s="200"/>
      <c r="F28" s="200" t="s">
        <v>220</v>
      </c>
      <c r="G28" s="200"/>
      <c r="H28" s="204">
        <v>224000</v>
      </c>
    </row>
    <row r="29" spans="1:11" x14ac:dyDescent="0.25">
      <c r="A29" s="200"/>
      <c r="B29" s="200"/>
      <c r="C29" s="200"/>
      <c r="D29" s="200"/>
      <c r="E29" s="200" t="s">
        <v>221</v>
      </c>
      <c r="F29" s="200"/>
      <c r="G29" s="200"/>
      <c r="H29" s="201">
        <f>ROUND(SUM(H27:H28),5)</f>
        <v>224000</v>
      </c>
    </row>
    <row r="30" spans="1:11" ht="30" customHeight="1" x14ac:dyDescent="0.25">
      <c r="A30" s="200"/>
      <c r="B30" s="200"/>
      <c r="C30" s="200"/>
      <c r="D30" s="200"/>
      <c r="E30" s="200" t="s">
        <v>91</v>
      </c>
      <c r="F30" s="200"/>
      <c r="G30" s="200"/>
      <c r="H30" s="201"/>
    </row>
    <row r="31" spans="1:11" x14ac:dyDescent="0.25">
      <c r="A31" s="200"/>
      <c r="B31" s="200"/>
      <c r="C31" s="200"/>
      <c r="D31" s="200"/>
      <c r="E31" s="200"/>
      <c r="F31" s="200" t="s">
        <v>93</v>
      </c>
      <c r="G31" s="200"/>
      <c r="H31" s="201"/>
    </row>
    <row r="32" spans="1:11" x14ac:dyDescent="0.25">
      <c r="A32" s="200"/>
      <c r="B32" s="200"/>
      <c r="C32" s="200"/>
      <c r="D32" s="200"/>
      <c r="E32" s="200"/>
      <c r="F32" s="200"/>
      <c r="G32" s="200" t="s">
        <v>94</v>
      </c>
      <c r="H32" s="201">
        <v>475</v>
      </c>
    </row>
    <row r="33" spans="1:11" ht="15.75" thickBot="1" x14ac:dyDescent="0.3">
      <c r="A33" s="200"/>
      <c r="B33" s="200"/>
      <c r="C33" s="200"/>
      <c r="D33" s="200"/>
      <c r="E33" s="200"/>
      <c r="F33" s="200"/>
      <c r="G33" s="200" t="s">
        <v>95</v>
      </c>
      <c r="H33" s="204">
        <v>5000</v>
      </c>
    </row>
    <row r="34" spans="1:11" x14ac:dyDescent="0.25">
      <c r="A34" s="200"/>
      <c r="B34" s="200"/>
      <c r="C34" s="200"/>
      <c r="D34" s="200"/>
      <c r="E34" s="200"/>
      <c r="F34" s="200" t="s">
        <v>96</v>
      </c>
      <c r="G34" s="200"/>
      <c r="H34" s="201">
        <f>ROUND(SUM(H31:H33),5)</f>
        <v>5475</v>
      </c>
    </row>
    <row r="35" spans="1:11" ht="30" customHeight="1" x14ac:dyDescent="0.25">
      <c r="A35" s="200"/>
      <c r="B35" s="200"/>
      <c r="C35" s="200"/>
      <c r="D35" s="200"/>
      <c r="E35" s="200"/>
      <c r="F35" s="200" t="s">
        <v>101</v>
      </c>
      <c r="G35" s="200"/>
      <c r="H35" s="201"/>
      <c r="K35" s="223"/>
    </row>
    <row r="36" spans="1:11" ht="15.75" thickBot="1" x14ac:dyDescent="0.3">
      <c r="A36" s="200"/>
      <c r="B36" s="200"/>
      <c r="C36" s="200"/>
      <c r="D36" s="200"/>
      <c r="E36" s="200"/>
      <c r="F36" s="200"/>
      <c r="G36" s="200" t="s">
        <v>102</v>
      </c>
      <c r="H36" s="204">
        <v>2694</v>
      </c>
      <c r="K36" s="223"/>
    </row>
    <row r="37" spans="1:11" x14ac:dyDescent="0.25">
      <c r="A37" s="200"/>
      <c r="B37" s="200"/>
      <c r="C37" s="200"/>
      <c r="D37" s="200"/>
      <c r="E37" s="200"/>
      <c r="F37" s="200" t="s">
        <v>103</v>
      </c>
      <c r="G37" s="200"/>
      <c r="H37" s="201">
        <f>ROUND(SUM(H35:H36),5)</f>
        <v>2694</v>
      </c>
      <c r="K37" s="223"/>
    </row>
    <row r="38" spans="1:11" ht="30" customHeight="1" x14ac:dyDescent="0.25">
      <c r="A38" s="200"/>
      <c r="B38" s="200"/>
      <c r="C38" s="200"/>
      <c r="D38" s="200"/>
      <c r="E38" s="200"/>
      <c r="F38" s="200" t="s">
        <v>104</v>
      </c>
      <c r="G38" s="200"/>
      <c r="H38" s="201"/>
    </row>
    <row r="39" spans="1:11" x14ac:dyDescent="0.25">
      <c r="A39" s="200"/>
      <c r="B39" s="200"/>
      <c r="C39" s="200"/>
      <c r="D39" s="200"/>
      <c r="E39" s="200"/>
      <c r="F39" s="200"/>
      <c r="G39" s="200" t="s">
        <v>105</v>
      </c>
      <c r="H39" s="201">
        <v>198</v>
      </c>
    </row>
    <row r="40" spans="1:11" x14ac:dyDescent="0.25">
      <c r="A40" s="200"/>
      <c r="B40" s="200"/>
      <c r="C40" s="200"/>
      <c r="D40" s="200"/>
      <c r="E40" s="200"/>
      <c r="F40" s="200"/>
      <c r="G40" s="200" t="s">
        <v>106</v>
      </c>
      <c r="H40" s="201">
        <v>800</v>
      </c>
    </row>
    <row r="41" spans="1:11" ht="15.75" thickBot="1" x14ac:dyDescent="0.3">
      <c r="A41" s="200"/>
      <c r="B41" s="200"/>
      <c r="C41" s="200"/>
      <c r="D41" s="200"/>
      <c r="E41" s="200"/>
      <c r="F41" s="200"/>
      <c r="G41" s="200" t="s">
        <v>110</v>
      </c>
      <c r="H41" s="204">
        <v>1190</v>
      </c>
    </row>
    <row r="42" spans="1:11" x14ac:dyDescent="0.25">
      <c r="A42" s="200"/>
      <c r="B42" s="200"/>
      <c r="C42" s="200"/>
      <c r="D42" s="200"/>
      <c r="E42" s="200"/>
      <c r="F42" s="200" t="s">
        <v>116</v>
      </c>
      <c r="G42" s="200"/>
      <c r="H42" s="201">
        <f>ROUND(SUM(H38:H41),5)</f>
        <v>2188</v>
      </c>
    </row>
    <row r="43" spans="1:11" ht="30" customHeight="1" x14ac:dyDescent="0.25">
      <c r="A43" s="200"/>
      <c r="B43" s="200"/>
      <c r="C43" s="200"/>
      <c r="D43" s="200"/>
      <c r="E43" s="200"/>
      <c r="F43" s="200" t="s">
        <v>117</v>
      </c>
      <c r="G43" s="200"/>
      <c r="H43" s="201"/>
    </row>
    <row r="44" spans="1:11" x14ac:dyDescent="0.25">
      <c r="A44" s="200"/>
      <c r="B44" s="200"/>
      <c r="C44" s="200"/>
      <c r="D44" s="200"/>
      <c r="E44" s="200"/>
      <c r="F44" s="200"/>
      <c r="G44" s="200" t="s">
        <v>118</v>
      </c>
      <c r="H44" s="201">
        <v>107840</v>
      </c>
    </row>
    <row r="45" spans="1:11" x14ac:dyDescent="0.25">
      <c r="A45" s="200"/>
      <c r="B45" s="200"/>
      <c r="C45" s="200"/>
      <c r="D45" s="200"/>
      <c r="E45" s="200"/>
      <c r="F45" s="200"/>
      <c r="G45" s="200" t="s">
        <v>119</v>
      </c>
      <c r="H45" s="201">
        <v>1993</v>
      </c>
    </row>
    <row r="46" spans="1:11" ht="15.75" thickBot="1" x14ac:dyDescent="0.3">
      <c r="A46" s="200"/>
      <c r="B46" s="200"/>
      <c r="C46" s="200"/>
      <c r="D46" s="200"/>
      <c r="E46" s="200"/>
      <c r="F46" s="200"/>
      <c r="G46" s="200" t="s">
        <v>120</v>
      </c>
      <c r="H46" s="204">
        <v>5337.43</v>
      </c>
    </row>
    <row r="47" spans="1:11" x14ac:dyDescent="0.25">
      <c r="A47" s="200"/>
      <c r="B47" s="200"/>
      <c r="C47" s="200"/>
      <c r="D47" s="200"/>
      <c r="E47" s="200"/>
      <c r="F47" s="200" t="s">
        <v>121</v>
      </c>
      <c r="G47" s="200"/>
      <c r="H47" s="201">
        <f>ROUND(SUM(H43:H46),5)</f>
        <v>115170.43</v>
      </c>
    </row>
    <row r="48" spans="1:11" ht="30" customHeight="1" x14ac:dyDescent="0.25">
      <c r="A48" s="200"/>
      <c r="B48" s="200"/>
      <c r="C48" s="200"/>
      <c r="D48" s="200"/>
      <c r="E48" s="200"/>
      <c r="F48" s="200" t="s">
        <v>222</v>
      </c>
      <c r="G48" s="200"/>
      <c r="H48" s="201">
        <v>37000</v>
      </c>
    </row>
    <row r="49" spans="1:14" x14ac:dyDescent="0.25">
      <c r="A49" s="200"/>
      <c r="B49" s="200"/>
      <c r="C49" s="200"/>
      <c r="D49" s="200"/>
      <c r="E49" s="200"/>
      <c r="F49" s="200" t="s">
        <v>126</v>
      </c>
      <c r="G49" s="200"/>
      <c r="H49" s="201"/>
    </row>
    <row r="50" spans="1:14" ht="15.75" thickBot="1" x14ac:dyDescent="0.3">
      <c r="A50" s="200"/>
      <c r="B50" s="200"/>
      <c r="C50" s="200"/>
      <c r="D50" s="200"/>
      <c r="E50" s="200"/>
      <c r="F50" s="200"/>
      <c r="G50" s="200" t="s">
        <v>127</v>
      </c>
      <c r="H50" s="204">
        <v>1040</v>
      </c>
    </row>
    <row r="51" spans="1:14" x14ac:dyDescent="0.25">
      <c r="A51" s="200"/>
      <c r="B51" s="200"/>
      <c r="C51" s="200"/>
      <c r="D51" s="200"/>
      <c r="E51" s="200"/>
      <c r="F51" s="200" t="s">
        <v>128</v>
      </c>
      <c r="G51" s="200"/>
      <c r="H51" s="201">
        <f>ROUND(SUM(H49:H50),5)</f>
        <v>1040</v>
      </c>
    </row>
    <row r="52" spans="1:14" ht="30" customHeight="1" x14ac:dyDescent="0.25">
      <c r="A52" s="200"/>
      <c r="B52" s="200"/>
      <c r="C52" s="200"/>
      <c r="D52" s="200"/>
      <c r="E52" s="200"/>
      <c r="F52" s="200" t="s">
        <v>129</v>
      </c>
      <c r="G52" s="200"/>
      <c r="H52" s="201"/>
    </row>
    <row r="53" spans="1:14" x14ac:dyDescent="0.25">
      <c r="A53" s="200"/>
      <c r="B53" s="200"/>
      <c r="C53" s="200"/>
      <c r="D53" s="200"/>
      <c r="E53" s="200"/>
      <c r="F53" s="200"/>
      <c r="G53" s="200" t="s">
        <v>130</v>
      </c>
      <c r="H53" s="201">
        <v>1673</v>
      </c>
    </row>
    <row r="54" spans="1:14" x14ac:dyDescent="0.25">
      <c r="A54" s="200"/>
      <c r="B54" s="200"/>
      <c r="C54" s="200"/>
      <c r="D54" s="200"/>
      <c r="E54" s="200"/>
      <c r="F54" s="200"/>
      <c r="G54" s="200" t="s">
        <v>131</v>
      </c>
      <c r="H54" s="201">
        <v>4753.7299999999996</v>
      </c>
    </row>
    <row r="55" spans="1:14" x14ac:dyDescent="0.25">
      <c r="A55" s="200"/>
      <c r="B55" s="200"/>
      <c r="C55" s="200"/>
      <c r="D55" s="200"/>
      <c r="E55" s="200"/>
      <c r="F55" s="200"/>
      <c r="G55" s="200" t="s">
        <v>132</v>
      </c>
      <c r="H55" s="201">
        <v>1440</v>
      </c>
    </row>
    <row r="56" spans="1:14" ht="15.75" thickBot="1" x14ac:dyDescent="0.3">
      <c r="A56" s="200"/>
      <c r="B56" s="200"/>
      <c r="C56" s="200"/>
      <c r="D56" s="200"/>
      <c r="E56" s="200"/>
      <c r="F56" s="200"/>
      <c r="G56" s="200" t="s">
        <v>133</v>
      </c>
      <c r="H56" s="202">
        <v>31578.95</v>
      </c>
    </row>
    <row r="57" spans="1:14" ht="15.75" thickBot="1" x14ac:dyDescent="0.3">
      <c r="A57" s="200"/>
      <c r="B57" s="200"/>
      <c r="C57" s="200"/>
      <c r="D57" s="200"/>
      <c r="E57" s="200"/>
      <c r="F57" s="200" t="s">
        <v>134</v>
      </c>
      <c r="G57" s="200"/>
      <c r="H57" s="203">
        <f>ROUND(SUM(H52:H56),5)</f>
        <v>39445.68</v>
      </c>
    </row>
    <row r="58" spans="1:14" ht="30" customHeight="1" thickBot="1" x14ac:dyDescent="0.3">
      <c r="A58" s="200"/>
      <c r="B58" s="200"/>
      <c r="C58" s="200"/>
      <c r="D58" s="200"/>
      <c r="E58" s="200" t="s">
        <v>136</v>
      </c>
      <c r="F58" s="200"/>
      <c r="G58" s="200"/>
      <c r="H58" s="203">
        <f>ROUND(H30+H34+H37+H42+SUM(H47:H48)+H51+H57,5)</f>
        <v>203013.11</v>
      </c>
    </row>
    <row r="59" spans="1:14" ht="30" customHeight="1" thickBot="1" x14ac:dyDescent="0.3">
      <c r="A59" s="200"/>
      <c r="B59" s="200"/>
      <c r="C59" s="200"/>
      <c r="D59" s="200" t="s">
        <v>142</v>
      </c>
      <c r="E59" s="200"/>
      <c r="F59" s="200"/>
      <c r="G59" s="200"/>
      <c r="H59" s="203">
        <f>ROUND(H26+H29+H58,5)</f>
        <v>427013.11</v>
      </c>
    </row>
    <row r="60" spans="1:14" ht="30" customHeight="1" thickBot="1" x14ac:dyDescent="0.3">
      <c r="A60" s="200"/>
      <c r="B60" s="200" t="s">
        <v>143</v>
      </c>
      <c r="C60" s="200"/>
      <c r="D60" s="200"/>
      <c r="E60" s="200"/>
      <c r="F60" s="200"/>
      <c r="G60" s="200"/>
      <c r="H60" s="203">
        <f>ROUND(H3+H25-H59,5)</f>
        <v>757386.69</v>
      </c>
    </row>
    <row r="61" spans="1:14" s="87" customFormat="1" ht="30" customHeight="1" thickBot="1" x14ac:dyDescent="0.3">
      <c r="A61" s="200" t="s">
        <v>144</v>
      </c>
      <c r="B61" s="200"/>
      <c r="C61" s="200"/>
      <c r="D61" s="200"/>
      <c r="E61" s="200"/>
      <c r="F61" s="200"/>
      <c r="G61" s="200"/>
      <c r="H61" s="86">
        <f>H60</f>
        <v>757386.69</v>
      </c>
      <c r="K61"/>
      <c r="L61"/>
      <c r="M61"/>
      <c r="N61"/>
    </row>
    <row r="62" spans="1:14" ht="15.75" thickTop="1" x14ac:dyDescent="0.25">
      <c r="K62" s="87"/>
      <c r="L62" s="87"/>
      <c r="M62" s="87"/>
      <c r="N62" s="87"/>
    </row>
    <row r="65" spans="8:14" x14ac:dyDescent="0.25">
      <c r="H65" s="236"/>
    </row>
    <row r="73" spans="8:14" x14ac:dyDescent="0.25">
      <c r="K73" s="87"/>
      <c r="L73" s="87"/>
      <c r="M73" s="87"/>
      <c r="N73" s="8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2:S28"/>
  <sheetViews>
    <sheetView topLeftCell="A10" workbookViewId="0">
      <pane xSplit="1" topLeftCell="F1" activePane="topRight" state="frozen"/>
      <selection pane="topRight" activeCell="I21" sqref="I21"/>
    </sheetView>
  </sheetViews>
  <sheetFormatPr defaultRowHeight="15" x14ac:dyDescent="0.25"/>
  <cols>
    <col min="1" max="1" width="23.85546875" customWidth="1"/>
    <col min="2" max="2" width="6.140625" customWidth="1"/>
    <col min="3" max="3" width="6.42578125" customWidth="1"/>
    <col min="4" max="4" width="11.5703125" customWidth="1"/>
    <col min="5" max="5" width="13.42578125" customWidth="1"/>
    <col min="6" max="6" width="14.7109375" customWidth="1"/>
    <col min="7" max="7" width="13" customWidth="1"/>
    <col min="8" max="8" width="14.28515625" customWidth="1"/>
    <col min="9" max="9" width="12.5703125" customWidth="1"/>
    <col min="10" max="10" width="12.7109375" customWidth="1"/>
    <col min="11" max="11" width="13.140625" customWidth="1"/>
    <col min="12" max="12" width="12" customWidth="1"/>
    <col min="13" max="13" width="10.5703125" customWidth="1"/>
    <col min="14" max="14" width="11.42578125" customWidth="1"/>
    <col min="15" max="15" width="8.5703125" customWidth="1"/>
    <col min="16" max="16" width="8.28515625" customWidth="1"/>
    <col min="17" max="17" width="7.42578125" customWidth="1"/>
    <col min="18" max="18" width="13.28515625" bestFit="1" customWidth="1"/>
  </cols>
  <sheetData>
    <row r="2" spans="1:19" ht="93" x14ac:dyDescent="0.35">
      <c r="A2" s="91" t="s">
        <v>34</v>
      </c>
      <c r="E2" s="62"/>
      <c r="F2" s="62"/>
      <c r="G2" s="62"/>
      <c r="H2" s="62"/>
      <c r="I2" s="62"/>
      <c r="J2" s="62"/>
    </row>
    <row r="3" spans="1:19" ht="18.75" x14ac:dyDescent="0.3">
      <c r="A3" s="92" t="s">
        <v>35</v>
      </c>
      <c r="B3" s="4"/>
      <c r="E3" s="62"/>
      <c r="F3" s="62"/>
      <c r="G3" s="62"/>
      <c r="H3" s="62"/>
      <c r="I3" s="62"/>
      <c r="J3" s="62"/>
    </row>
    <row r="4" spans="1:19" ht="15.75" thickBot="1" x14ac:dyDescent="0.3">
      <c r="A4" s="5"/>
      <c r="B4" s="93">
        <v>2012</v>
      </c>
      <c r="C4" s="93">
        <v>2013</v>
      </c>
      <c r="D4" s="93">
        <v>2014</v>
      </c>
      <c r="E4" s="63"/>
      <c r="F4" s="64"/>
      <c r="G4" s="64"/>
      <c r="H4" s="64"/>
      <c r="I4" s="64"/>
      <c r="J4" s="64"/>
      <c r="K4" s="6"/>
      <c r="L4" s="6"/>
      <c r="M4" s="6"/>
      <c r="N4" s="6"/>
      <c r="O4" s="6"/>
      <c r="P4" s="6"/>
      <c r="Q4">
        <v>2014</v>
      </c>
    </row>
    <row r="5" spans="1:19" s="95" customFormat="1" ht="25.5" thickBot="1" x14ac:dyDescent="0.3">
      <c r="A5" s="94"/>
      <c r="B5" s="120" t="s">
        <v>5</v>
      </c>
      <c r="C5" s="121" t="s">
        <v>5</v>
      </c>
      <c r="D5" s="122" t="s">
        <v>145</v>
      </c>
      <c r="E5" s="123" t="s">
        <v>146</v>
      </c>
      <c r="F5" s="124" t="s">
        <v>147</v>
      </c>
      <c r="G5" s="123" t="s">
        <v>148</v>
      </c>
      <c r="H5" s="125" t="s">
        <v>149</v>
      </c>
      <c r="I5" s="126" t="s">
        <v>150</v>
      </c>
      <c r="J5" s="126" t="s">
        <v>151</v>
      </c>
      <c r="K5" s="126" t="s">
        <v>152</v>
      </c>
      <c r="L5" s="126" t="s">
        <v>153</v>
      </c>
      <c r="M5" s="126" t="s">
        <v>154</v>
      </c>
      <c r="N5" s="126" t="s">
        <v>155</v>
      </c>
      <c r="O5" s="127" t="s">
        <v>156</v>
      </c>
      <c r="P5" s="128" t="s">
        <v>25</v>
      </c>
      <c r="Q5" s="129" t="s">
        <v>30</v>
      </c>
    </row>
    <row r="6" spans="1:19" x14ac:dyDescent="0.25">
      <c r="A6" s="29" t="s">
        <v>6</v>
      </c>
      <c r="B6" s="130">
        <f>SUM('[1]Summary Thai'!C11)/1000</f>
        <v>1193.847</v>
      </c>
      <c r="C6" s="131">
        <f>SUM('[1]Summary Thai update 27.1.14'!E11/1000)</f>
        <v>1245.0481274229426</v>
      </c>
      <c r="D6" s="132">
        <f>SUM('[1]Jan3rd-Feb6th''14'!H10/32.5/1000)</f>
        <v>114.06095076923077</v>
      </c>
      <c r="E6" s="132">
        <f>SUM('[1]Feb 7th-March 6th''14'!H11/32.5/1000)</f>
        <v>82.323338153846151</v>
      </c>
      <c r="F6" s="133">
        <f>SUM('[1]March 7th-April 3rd''14'!H10/32.5/1000)</f>
        <v>101.84025476923075</v>
      </c>
      <c r="G6" s="133">
        <f>SUM('[1]April 4th-1st may'!H10/32.5/1000)</f>
        <v>103.95929723076924</v>
      </c>
      <c r="H6" s="112">
        <f>SUM('[1]May 2nd - June 5th'!H10/32.5/1000)</f>
        <v>116.9801196923077</v>
      </c>
      <c r="I6" s="112">
        <f>SUM('[1]June 6th - July 3rd'!H11/32.5/1000)</f>
        <v>149.04721723076923</v>
      </c>
      <c r="J6" s="112">
        <f>SUM('[1]July 4th - July 31st'!H10/32.5/1000)</f>
        <v>77.393942769230776</v>
      </c>
      <c r="K6" s="134">
        <f>SUM('[1]Aug 1st - Sep 4th'!H11/32.5/1000)</f>
        <v>140.86585815384615</v>
      </c>
      <c r="L6" s="134">
        <f>SUM('[1]5th Sep to 2nd Oct'!H10/32.5/1000)</f>
        <v>145.489</v>
      </c>
      <c r="M6" s="134">
        <f>SUM('[1]3rd Oct to 6th Nov'!H10/32.5/1000)</f>
        <v>128.24673323076922</v>
      </c>
      <c r="N6" s="135">
        <f>SUM('[1]Nov 7th to 4th Dec'!H10/32.5/1000)</f>
        <v>97.824897846153846</v>
      </c>
      <c r="O6" s="135">
        <f>SUM('[1]5th Dec to 1st Jan'!H11/32.5/1000)</f>
        <v>142.44729476923075</v>
      </c>
      <c r="P6" s="136">
        <f>SUM(D6:O6)</f>
        <v>1400.4789046153844</v>
      </c>
      <c r="Q6" s="137">
        <v>1500</v>
      </c>
    </row>
    <row r="7" spans="1:19" x14ac:dyDescent="0.25">
      <c r="A7" s="29"/>
      <c r="B7" s="130"/>
      <c r="C7" s="131"/>
      <c r="D7" s="138"/>
      <c r="E7" s="132"/>
      <c r="F7" s="133"/>
      <c r="G7" s="133"/>
      <c r="H7" s="112"/>
      <c r="I7" s="112"/>
      <c r="J7" s="112"/>
      <c r="K7" s="139"/>
      <c r="L7" s="139"/>
      <c r="M7" s="139"/>
      <c r="N7" s="139"/>
      <c r="O7" s="139"/>
      <c r="P7" s="136"/>
      <c r="Q7" s="140"/>
    </row>
    <row r="8" spans="1:19" x14ac:dyDescent="0.25">
      <c r="A8" s="29" t="s">
        <v>27</v>
      </c>
      <c r="B8" s="141">
        <f>SUM('[1]Summary Thai'!C13)/1000</f>
        <v>749.31299999999999</v>
      </c>
      <c r="C8" s="142">
        <f>SUM('[1]Summary Thai update 27.1.14'!E13/1000)</f>
        <v>824.88664728312688</v>
      </c>
      <c r="D8" s="132">
        <f>SUM('[1]Jan3rd-Feb6th''14'!H23-'[1]Jan3rd-Feb6th''14'!H21-'[1]Jan3rd-Feb6th''14'!H18)/32.5/1000</f>
        <v>68.188000000000002</v>
      </c>
      <c r="E8" s="132">
        <f>SUM('[1]Feb 7th-March 6th''14'!H27-'[1]Feb 7th-March 6th''14'!H21-'[1]Feb 7th-March 6th''14'!H25)/32.5/1000</f>
        <v>48.313599999999987</v>
      </c>
      <c r="F8" s="133">
        <f>SUM('[1]March 7th-April 3rd''14'!H23-'[1]March 7th-April 3rd''14'!H17-'[1]March 7th-April 3rd''14'!H21)/32.5/1000</f>
        <v>65.517784615384613</v>
      </c>
      <c r="G8" s="133">
        <f>SUM('[1]April 4th-1st may'!H22-'[1]April 4th-1st may'!H20-'[1]April 4th-1st may'!H17)/32.5/1000</f>
        <v>66.585668307692302</v>
      </c>
      <c r="H8" s="112">
        <f>SUM('[1]May 2nd - June 5th'!H24-'[1]May 2nd - June 5th'!H22-'[1]May 2nd - June 5th'!H17)/32.5/1000</f>
        <v>76.053610769230772</v>
      </c>
      <c r="I8" s="112">
        <f>SUM('[1]June 6th - July 3rd'!H26-'[1]June 6th - July 3rd'!H24-'[1]June 6th - July 3rd'!H20)/32.5/1000</f>
        <v>99.422244615384628</v>
      </c>
      <c r="J8" s="112">
        <f>SUM('[1]July 4th - July 31st'!H22-'[1]July 4th - July 31st'!H17-'[1]July 4th - July 31st'!H20)/32.5/1000</f>
        <v>51.418056923076925</v>
      </c>
      <c r="K8" s="134">
        <f>SUM('[1]Aug 1st - Sep 4th'!H27-'[1]Aug 1st - Sep 4th'!H25-'[1]Aug 1st - Sep 4th'!H21)/32.5/1000</f>
        <v>111.37603999999999</v>
      </c>
      <c r="L8" s="134">
        <f>SUM('[1]5th Sep to 2nd Oct'!H26-'[1]5th Sep to 2nd Oct'!H24-'[1]5th Sep to 2nd Oct'!H20)/32.5/1000</f>
        <v>88.866461538461536</v>
      </c>
      <c r="M8" s="134">
        <f>SUM('[1]3rd Oct to 6th Nov'!H24-'[1]3rd Oct to 6th Nov'!H22-'[1]3rd Oct to 6th Nov'!H18)/32.5/1000</f>
        <v>83.006067692307695</v>
      </c>
      <c r="N8" s="135">
        <f>SUM('[1]Nov 7th to 4th Dec'!H22-'[1]Nov 7th to 4th Dec'!H21-'[1]Nov 7th to 4th Dec'!H17)/32.5/1000</f>
        <v>59.868098461538466</v>
      </c>
      <c r="O8" s="135">
        <f>SUM('[1]5th Dec to 1st Jan'!H24-'[1]5th Dec to 1st Jan'!H22-'[1]5th Dec to 1st Jan'!H18)/32.5/1000</f>
        <v>77.63220923076922</v>
      </c>
      <c r="P8" s="136">
        <f>SUM(D8:O8)</f>
        <v>896.24784215384614</v>
      </c>
      <c r="Q8" s="143">
        <v>1009</v>
      </c>
    </row>
    <row r="9" spans="1:19" x14ac:dyDescent="0.25">
      <c r="A9" s="29" t="s">
        <v>28</v>
      </c>
      <c r="B9" s="144">
        <f>SUM('[1]Summary Thai'!C14)</f>
        <v>0.63</v>
      </c>
      <c r="C9" s="145">
        <f t="shared" ref="C9:J9" si="0">SUM(C8/C6)</f>
        <v>0.66253394476446059</v>
      </c>
      <c r="D9" s="146">
        <f t="shared" si="0"/>
        <v>0.59782072251842466</v>
      </c>
      <c r="E9" s="146">
        <f t="shared" si="0"/>
        <v>0.58687610443725391</v>
      </c>
      <c r="F9" s="147">
        <f t="shared" si="0"/>
        <v>0.6433387736887286</v>
      </c>
      <c r="G9" s="147">
        <f t="shared" si="0"/>
        <v>0.64049748393243933</v>
      </c>
      <c r="H9" s="104">
        <f t="shared" si="0"/>
        <v>0.65014133144396036</v>
      </c>
      <c r="I9" s="104">
        <f t="shared" si="0"/>
        <v>0.66705200179248936</v>
      </c>
      <c r="J9" s="104">
        <f t="shared" si="0"/>
        <v>0.66436797355566457</v>
      </c>
      <c r="K9" s="104">
        <f t="shared" ref="K9:Q9" si="1">SUM(K8/K6)</f>
        <v>0.7906531892089923</v>
      </c>
      <c r="L9" s="104">
        <f t="shared" si="1"/>
        <v>0.61081223692830067</v>
      </c>
      <c r="M9" s="104">
        <f t="shared" si="1"/>
        <v>0.64723728707338879</v>
      </c>
      <c r="N9" s="104">
        <f t="shared" si="1"/>
        <v>0.61199244547836018</v>
      </c>
      <c r="O9" s="104">
        <f>SUM(O8/O6)</f>
        <v>0.54498900352257251</v>
      </c>
      <c r="P9" s="104">
        <f t="shared" si="1"/>
        <v>0.63995811661296254</v>
      </c>
      <c r="Q9" s="148">
        <f t="shared" si="1"/>
        <v>0.67266666666666663</v>
      </c>
    </row>
    <row r="10" spans="1:19" x14ac:dyDescent="0.25">
      <c r="A10" s="29" t="s">
        <v>31</v>
      </c>
      <c r="B10" s="141">
        <f>SUM('[1]Summary Thai'!C15)/1000</f>
        <v>250.53800000000001</v>
      </c>
      <c r="C10" s="142">
        <f>SUM('[1]Summary Thai update 27.1.14'!E15/1000)</f>
        <v>238.27411852557992</v>
      </c>
      <c r="D10" s="149">
        <f>SUM('[1]Jan3rd-Feb6th''14'!H18/32.5/1000)</f>
        <v>19.236153846153847</v>
      </c>
      <c r="E10" s="132">
        <f>SUM('[1]Feb 7th-March 6th''14'!H21/32.5/1000)</f>
        <v>15.530261538461538</v>
      </c>
      <c r="F10" s="133">
        <f>SUM('[1]March 7th-April 3rd''14'!H17/32.5/1000)</f>
        <v>19.610153846153846</v>
      </c>
      <c r="G10" s="133">
        <f>SUM('[1]April 4th-1st may'!H17/32.5/1000)</f>
        <v>17.081815384615382</v>
      </c>
      <c r="H10" s="112">
        <f>SUM('[1]May 2nd - June 5th'!H17/32.5/1000)</f>
        <v>18.666492307692309</v>
      </c>
      <c r="I10" s="112">
        <f>SUM('[1]June 6th - July 3rd'!H20/32.5/1000)</f>
        <v>26.332184923076923</v>
      </c>
      <c r="J10" s="112">
        <f>SUM('[1]July 4th - July 31st'!H17/32.5/1000)</f>
        <v>14.304923076923076</v>
      </c>
      <c r="K10" s="135">
        <f>SUM('[1]Aug 1st - Sep 4th'!H21/32.5/1000)</f>
        <v>25.301046153846155</v>
      </c>
      <c r="L10" s="134">
        <f>SUM('[1]5th Sep to 2nd Oct'!H20/32.5/1000)</f>
        <v>30.737569230769228</v>
      </c>
      <c r="M10" s="134">
        <f>SUM('[1]3rd Oct to 6th Nov'!H18/32.5/1000)</f>
        <v>25.113723076923076</v>
      </c>
      <c r="N10" s="134">
        <f>SUM('[1]Nov 7th to 4th Dec'!H17/32.5/1000)</f>
        <v>18.519507692307691</v>
      </c>
      <c r="O10" s="135">
        <f>SUM('[1]5th Dec to 1st Jan'!H18/32.5/1000)</f>
        <v>22.724248000000003</v>
      </c>
      <c r="P10" s="136">
        <f>SUM(D10:O10)</f>
        <v>253.15807907692306</v>
      </c>
      <c r="Q10" s="150">
        <v>290</v>
      </c>
    </row>
    <row r="11" spans="1:19" x14ac:dyDescent="0.25">
      <c r="A11" s="29" t="s">
        <v>0</v>
      </c>
      <c r="B11" s="144">
        <f>SUM('[1]Summary Thai'!C16)</f>
        <v>0.21</v>
      </c>
      <c r="C11" s="151">
        <f t="shared" ref="C11:N11" si="2">SUM(C10/C6)</f>
        <v>0.1913774361628659</v>
      </c>
      <c r="D11" s="148">
        <f t="shared" si="2"/>
        <v>0.16864802297740461</v>
      </c>
      <c r="E11" s="148">
        <f t="shared" si="2"/>
        <v>0.18864956021873808</v>
      </c>
      <c r="F11" s="152">
        <f t="shared" si="2"/>
        <v>0.19255798103206151</v>
      </c>
      <c r="G11" s="152">
        <f t="shared" si="2"/>
        <v>0.16431253230480294</v>
      </c>
      <c r="H11" s="96">
        <f t="shared" si="2"/>
        <v>0.15956978294081681</v>
      </c>
      <c r="I11" s="96">
        <f t="shared" si="2"/>
        <v>0.1766700875891356</v>
      </c>
      <c r="J11" s="96">
        <f t="shared" si="2"/>
        <v>0.18483259238486854</v>
      </c>
      <c r="K11" s="96">
        <f t="shared" si="2"/>
        <v>0.17961091839737139</v>
      </c>
      <c r="L11" s="96">
        <f t="shared" si="2"/>
        <v>0.21127074370412352</v>
      </c>
      <c r="M11" s="96">
        <f t="shared" si="2"/>
        <v>0.19582349151719164</v>
      </c>
      <c r="N11" s="96">
        <f t="shared" si="2"/>
        <v>0.18931282424064211</v>
      </c>
      <c r="O11" s="96">
        <f>SUM(O10/O6)</f>
        <v>0.15952741002778623</v>
      </c>
      <c r="P11" s="96">
        <f>SUM(P10/P6)</f>
        <v>0.18076536407840305</v>
      </c>
      <c r="Q11" s="153">
        <v>0.19</v>
      </c>
      <c r="R11" s="119"/>
      <c r="S11" s="119"/>
    </row>
    <row r="12" spans="1:19" x14ac:dyDescent="0.25">
      <c r="A12" s="29" t="s">
        <v>32</v>
      </c>
      <c r="B12" s="141">
        <f>SUM('[1]Summary Thai'!C17)/1000</f>
        <v>999.851</v>
      </c>
      <c r="C12" s="142">
        <f t="shared" ref="C12:J12" si="3">SUM(C8+C10)</f>
        <v>1063.1607658087069</v>
      </c>
      <c r="D12" s="132">
        <f t="shared" si="3"/>
        <v>87.424153846153843</v>
      </c>
      <c r="E12" s="132">
        <f t="shared" si="3"/>
        <v>63.843861538461525</v>
      </c>
      <c r="F12" s="133">
        <f t="shared" si="3"/>
        <v>85.127938461538463</v>
      </c>
      <c r="G12" s="133">
        <f t="shared" si="3"/>
        <v>83.667483692307684</v>
      </c>
      <c r="H12" s="112">
        <f>SUM(H8+H10)</f>
        <v>94.720103076923081</v>
      </c>
      <c r="I12" s="112">
        <f t="shared" si="3"/>
        <v>125.75442953846155</v>
      </c>
      <c r="J12" s="112">
        <f t="shared" si="3"/>
        <v>65.722980000000007</v>
      </c>
      <c r="K12" s="112">
        <f>SUM(K8+K10)</f>
        <v>136.67708615384615</v>
      </c>
      <c r="L12" s="112">
        <f>SUM(L8+L10)</f>
        <v>119.60403076923076</v>
      </c>
      <c r="M12" s="112">
        <f>SUM(M8+M10)</f>
        <v>108.11979076923078</v>
      </c>
      <c r="N12" s="112">
        <f>SUM(N8+N10)</f>
        <v>78.38760615384615</v>
      </c>
      <c r="O12" s="112">
        <f>SUM(O8+O10)</f>
        <v>100.35645723076922</v>
      </c>
      <c r="P12" s="136">
        <f>SUM(D12:O12)</f>
        <v>1149.4059212307693</v>
      </c>
      <c r="Q12" s="154">
        <v>1300</v>
      </c>
      <c r="R12" s="119"/>
      <c r="S12" s="119"/>
    </row>
    <row r="13" spans="1:19" x14ac:dyDescent="0.25">
      <c r="A13" s="29" t="s">
        <v>29</v>
      </c>
      <c r="B13" s="144">
        <f>SUM('[1]Summary Thai'!C18)</f>
        <v>0.84</v>
      </c>
      <c r="C13" s="151">
        <f t="shared" ref="C13:J13" si="4">SUM(C12/C6)</f>
        <v>0.85391138092732655</v>
      </c>
      <c r="D13" s="148">
        <f t="shared" si="4"/>
        <v>0.76646874549582922</v>
      </c>
      <c r="E13" s="148">
        <f t="shared" si="4"/>
        <v>0.77552566465599204</v>
      </c>
      <c r="F13" s="152">
        <f t="shared" si="4"/>
        <v>0.83589675472079017</v>
      </c>
      <c r="G13" s="152">
        <f t="shared" si="4"/>
        <v>0.80481001623724224</v>
      </c>
      <c r="H13" s="96">
        <f t="shared" si="4"/>
        <v>0.80971111438477716</v>
      </c>
      <c r="I13" s="96">
        <f t="shared" si="4"/>
        <v>0.84372208938162496</v>
      </c>
      <c r="J13" s="96">
        <f t="shared" si="4"/>
        <v>0.84920056594053317</v>
      </c>
      <c r="K13" s="96">
        <f>SUM(K12/K6)</f>
        <v>0.97026410760636372</v>
      </c>
      <c r="L13" s="96">
        <f>SUM(L12/L6)</f>
        <v>0.82208298063242413</v>
      </c>
      <c r="M13" s="96">
        <f>SUM(M12/M6)</f>
        <v>0.84306077859058048</v>
      </c>
      <c r="N13" s="96">
        <f>SUM(N12/N6)</f>
        <v>0.80130526971900229</v>
      </c>
      <c r="O13" s="96">
        <f>SUM(O12/O6)</f>
        <v>0.70451641355035877</v>
      </c>
      <c r="P13" s="96">
        <f t="shared" ref="P13" si="5">SUM(P12/P6)</f>
        <v>0.82072348069136558</v>
      </c>
      <c r="Q13" s="148">
        <f>SUM(Q12/Q6)</f>
        <v>0.8666666666666667</v>
      </c>
      <c r="R13" s="184">
        <f>400000*4</f>
        <v>1600000</v>
      </c>
      <c r="S13" s="119"/>
    </row>
    <row r="14" spans="1:19" x14ac:dyDescent="0.25">
      <c r="A14" s="29"/>
      <c r="B14" s="155"/>
      <c r="C14" s="156"/>
      <c r="D14" s="157"/>
      <c r="E14" s="132"/>
      <c r="F14" s="158"/>
      <c r="G14" s="133"/>
      <c r="H14" s="112"/>
      <c r="I14" s="112"/>
      <c r="J14" s="112"/>
      <c r="K14" s="139"/>
      <c r="L14" s="139"/>
      <c r="M14" s="139"/>
      <c r="N14" s="139"/>
      <c r="O14" s="139"/>
      <c r="P14" s="136"/>
      <c r="Q14" s="143"/>
      <c r="R14" s="185">
        <f>400000*15</f>
        <v>6000000</v>
      </c>
      <c r="S14" s="119"/>
    </row>
    <row r="15" spans="1:19" x14ac:dyDescent="0.25">
      <c r="A15" s="29" t="s">
        <v>10</v>
      </c>
      <c r="B15" s="141">
        <f>SUM('[1]Summary Thai'!C20)/1000</f>
        <v>9.6539999999999999</v>
      </c>
      <c r="C15" s="142">
        <f>SUM('[1]Summary Thai update 27.1.14'!E20/1000)</f>
        <v>9.8967270416269475</v>
      </c>
      <c r="D15" s="132">
        <f>SUM('[1]Jan3rd-Feb6th''14'!H21)/32.5/1000</f>
        <v>1.228923076923077</v>
      </c>
      <c r="E15" s="132">
        <f>SUM('[1]Feb 7th-March 6th''14'!H25/32.5/1000)</f>
        <v>0.68615384615384623</v>
      </c>
      <c r="F15" s="133">
        <f>SUM('[1]March 7th-April 3rd''14'!H21/32.5/1000)</f>
        <v>0.94769230769230772</v>
      </c>
      <c r="G15" s="133">
        <f>SUM('[1]April 4th-1st may'!H20)/32.5/1000</f>
        <v>0.86153846153846159</v>
      </c>
      <c r="H15" s="112">
        <f>SUM('[1]May 2nd - June 5th'!H22)/32.5/1000</f>
        <v>1.0307692307692307</v>
      </c>
      <c r="I15" s="112">
        <f>SUM('[1]June 6th - July 3rd'!H24)/32.5/1000</f>
        <v>1.2461538461538462</v>
      </c>
      <c r="J15" s="112">
        <f>SUM('[1]July 4th - July 31st'!H20)/32.5/1000</f>
        <v>0.74769230769230777</v>
      </c>
      <c r="K15" s="135">
        <f>SUM('[1]Aug 1st - Sep 4th'!H25)/32.5/1000</f>
        <v>1.1538461538461537</v>
      </c>
      <c r="L15" s="135">
        <f>SUM('[1]5th Sep to 2nd Oct'!H24)/32.5/1000</f>
        <v>1.2984615384615386</v>
      </c>
      <c r="M15" s="135">
        <f>SUM('[1]3rd Oct to 6th Nov'!H22)/32.5/1000</f>
        <v>1.3107692307692307</v>
      </c>
      <c r="N15" s="135">
        <f>SUM('[1]Nov 7th to 4th Dec'!H21)/32.5/1000</f>
        <v>1.0215384615384615</v>
      </c>
      <c r="O15" s="135">
        <f>SUM('[1]5th Dec to 1st Jan'!H22)/32.5/1000</f>
        <v>1.0953846153846154</v>
      </c>
      <c r="P15" s="136">
        <f>SUM(D15:O15)</f>
        <v>12.628923076923076</v>
      </c>
      <c r="Q15" s="159">
        <v>12</v>
      </c>
      <c r="R15" s="186">
        <f>R13+R14</f>
        <v>7600000</v>
      </c>
      <c r="S15" s="119"/>
    </row>
    <row r="16" spans="1:19" x14ac:dyDescent="0.25">
      <c r="A16" s="29" t="s">
        <v>1</v>
      </c>
      <c r="B16" s="160">
        <f>SUM('[1]Summary Thai'!C21)</f>
        <v>8.0000000000000002E-3</v>
      </c>
      <c r="C16" s="161">
        <f t="shared" ref="C16:J16" si="6">SUM(C15/C6)</f>
        <v>7.9488710706401722E-3</v>
      </c>
      <c r="D16" s="162">
        <f t="shared" si="6"/>
        <v>1.0774266465737658E-2</v>
      </c>
      <c r="E16" s="162">
        <f t="shared" si="6"/>
        <v>8.3348642261269756E-3</v>
      </c>
      <c r="F16" s="163">
        <f t="shared" si="6"/>
        <v>9.3056749498493622E-3</v>
      </c>
      <c r="G16" s="163">
        <f t="shared" si="6"/>
        <v>8.2872670794033477E-3</v>
      </c>
      <c r="H16" s="97">
        <f t="shared" si="6"/>
        <v>8.8114906488423721E-3</v>
      </c>
      <c r="I16" s="97">
        <f t="shared" si="6"/>
        <v>8.36079914343138E-3</v>
      </c>
      <c r="J16" s="97">
        <f t="shared" si="6"/>
        <v>9.6608633820574018E-3</v>
      </c>
      <c r="K16" s="97">
        <f t="shared" ref="K16:Q16" si="7">SUM(K15/K6)</f>
        <v>8.1910987443528354E-3</v>
      </c>
      <c r="L16" s="97">
        <f t="shared" si="7"/>
        <v>8.9248090127881739E-3</v>
      </c>
      <c r="M16" s="97">
        <f t="shared" si="7"/>
        <v>1.0220683192067056E-2</v>
      </c>
      <c r="N16" s="97">
        <f t="shared" si="7"/>
        <v>1.044252009488426E-2</v>
      </c>
      <c r="O16" s="97">
        <f t="shared" si="7"/>
        <v>7.689753723713561E-3</v>
      </c>
      <c r="P16" s="97">
        <f t="shared" si="7"/>
        <v>9.0175746562861474E-3</v>
      </c>
      <c r="Q16" s="162">
        <f t="shared" si="7"/>
        <v>8.0000000000000002E-3</v>
      </c>
      <c r="R16" s="185">
        <v>2000000</v>
      </c>
      <c r="S16" s="119"/>
    </row>
    <row r="17" spans="1:19" x14ac:dyDescent="0.25">
      <c r="A17" s="29" t="s">
        <v>11</v>
      </c>
      <c r="B17" s="141">
        <f>SUM('[1]Summary Thai'!C22)/1000</f>
        <v>41.292000000000002</v>
      </c>
      <c r="C17" s="142">
        <f>SUM('[1]Summary Thai update 27.1.14'!E22/1000)</f>
        <v>42.053919923736899</v>
      </c>
      <c r="D17" s="132">
        <f>SUM('[1]Jan3rd-Feb6th''14'!H49/32.5/1000)</f>
        <v>3.4736378461538462</v>
      </c>
      <c r="E17" s="138">
        <f>SUM('[1]Feb 7th-March 6th''14'!H52/32.5/1000)</f>
        <v>3.4603436923076925</v>
      </c>
      <c r="F17" s="164">
        <f>SUM('[1]March 7th-April 3rd''14'!H39/32.5/1000)</f>
        <v>3.3702812307692307</v>
      </c>
      <c r="G17" s="164">
        <f>SUM('[1]April 4th-1st may'!H39/32.5/1000)</f>
        <v>3.4620501538461541</v>
      </c>
      <c r="H17" s="134">
        <f>SUM('[1]May 2nd - June 5th'!H44/32.5/1000)</f>
        <v>3.4550510769230769</v>
      </c>
      <c r="I17" s="134">
        <f>SUM('[1]June 6th - July 3rd'!H45/32.5/1000)</f>
        <v>3.5767707692307695</v>
      </c>
      <c r="J17" s="134">
        <f>SUM('[1]July 4th - July 31st'!H41/32.5/1000)</f>
        <v>3.3387800000000003</v>
      </c>
      <c r="K17" s="135">
        <f>SUM('[1]Aug 1st - Sep 4th'!H47/32.5/1000)</f>
        <v>3.4264729230769229</v>
      </c>
      <c r="L17" s="135">
        <f>SUM('[1]5th Sep to 2nd Oct'!H47/32.5/1000)</f>
        <v>3.4147763076923074</v>
      </c>
      <c r="M17" s="135">
        <f>SUM('[1]3rd Oct to 6th Nov'!H43/32.5/1000)</f>
        <v>3.415908307692308</v>
      </c>
      <c r="N17" s="135">
        <f>SUM('[1]Nov 7th to 4th Dec'!H47/32.5/1000)</f>
        <v>3.4434695384615384</v>
      </c>
      <c r="O17" s="135">
        <f>SUM('[1]5th Dec to 1st Jan'!H49/32.5/1000)</f>
        <v>3.4172199999999999</v>
      </c>
      <c r="P17" s="136">
        <f>SUM(D17:O17)</f>
        <v>41.254761846153841</v>
      </c>
      <c r="Q17" s="165">
        <v>41</v>
      </c>
      <c r="R17" s="186">
        <f>R15+R16</f>
        <v>9600000</v>
      </c>
      <c r="S17" s="119"/>
    </row>
    <row r="18" spans="1:19" x14ac:dyDescent="0.25">
      <c r="A18" s="29" t="s">
        <v>2</v>
      </c>
      <c r="B18" s="166">
        <f>SUM('[1]Summary Thai'!C23)</f>
        <v>3.5000000000000003E-2</v>
      </c>
      <c r="C18" s="167">
        <f t="shared" ref="C18:J18" si="8">SUM(C17/C6)</f>
        <v>3.3776943234139892E-2</v>
      </c>
      <c r="D18" s="168">
        <f t="shared" si="8"/>
        <v>3.0454224892283638E-2</v>
      </c>
      <c r="E18" s="168">
        <f t="shared" si="8"/>
        <v>4.2033568729210054E-2</v>
      </c>
      <c r="F18" s="169">
        <f t="shared" si="8"/>
        <v>3.3093802037379647E-2</v>
      </c>
      <c r="G18" s="169">
        <f t="shared" si="8"/>
        <v>3.3301977274443111E-2</v>
      </c>
      <c r="H18" s="98">
        <f t="shared" si="8"/>
        <v>2.9535369650936269E-2</v>
      </c>
      <c r="I18" s="98">
        <f t="shared" si="8"/>
        <v>2.3997568258472542E-2</v>
      </c>
      <c r="J18" s="98">
        <f t="shared" si="8"/>
        <v>4.3140068596264701E-2</v>
      </c>
      <c r="K18" s="98">
        <f t="shared" ref="K18:Q18" si="9">SUM(K17/K6)</f>
        <v>2.4324367650071125E-2</v>
      </c>
      <c r="L18" s="98">
        <f t="shared" si="9"/>
        <v>2.3471027415765504E-2</v>
      </c>
      <c r="M18" s="98">
        <f t="shared" si="9"/>
        <v>2.6635441087966491E-2</v>
      </c>
      <c r="N18" s="98">
        <f t="shared" si="9"/>
        <v>3.5200338710059016E-2</v>
      </c>
      <c r="O18" s="98">
        <f t="shared" si="9"/>
        <v>2.3989363964657999E-2</v>
      </c>
      <c r="P18" s="98">
        <f t="shared" si="9"/>
        <v>2.9457610329006487E-2</v>
      </c>
      <c r="Q18" s="168">
        <f t="shared" si="9"/>
        <v>2.7333333333333334E-2</v>
      </c>
      <c r="R18" s="185">
        <v>1000000</v>
      </c>
      <c r="S18" s="119"/>
    </row>
    <row r="19" spans="1:19" x14ac:dyDescent="0.25">
      <c r="A19" s="29" t="s">
        <v>33</v>
      </c>
      <c r="B19" s="141">
        <f>SUM('[1]Summary Thai'!C24)/1000</f>
        <v>50.945999999999998</v>
      </c>
      <c r="C19" s="170">
        <f t="shared" ref="C19:J19" si="10">SUM(C15+C17)</f>
        <v>51.950646965363845</v>
      </c>
      <c r="D19" s="149">
        <f t="shared" si="10"/>
        <v>4.7025609230769234</v>
      </c>
      <c r="E19" s="149">
        <f t="shared" si="10"/>
        <v>4.1464975384615386</v>
      </c>
      <c r="F19" s="171">
        <f t="shared" si="10"/>
        <v>4.3179735384615388</v>
      </c>
      <c r="G19" s="171">
        <f t="shared" si="10"/>
        <v>4.3235886153846153</v>
      </c>
      <c r="H19" s="172">
        <f t="shared" si="10"/>
        <v>4.4858203076923076</v>
      </c>
      <c r="I19" s="172">
        <f t="shared" si="10"/>
        <v>4.8229246153846157</v>
      </c>
      <c r="J19" s="172">
        <f t="shared" si="10"/>
        <v>4.0864723076923077</v>
      </c>
      <c r="K19" s="172">
        <f>SUM(K15+K17)</f>
        <v>4.580319076923077</v>
      </c>
      <c r="L19" s="172">
        <f>SUM(L15+L17)</f>
        <v>4.713237846153846</v>
      </c>
      <c r="M19" s="172">
        <f>SUM(M15+M17)</f>
        <v>4.7266775384615389</v>
      </c>
      <c r="N19" s="172">
        <f>SUM(N15+N17)</f>
        <v>4.4650080000000001</v>
      </c>
      <c r="O19" s="172">
        <f>SUM(O15+O17)</f>
        <v>4.5126046153846158</v>
      </c>
      <c r="P19" s="136">
        <f>SUM(D19:O19)</f>
        <v>53.88368492307692</v>
      </c>
      <c r="Q19" s="165">
        <f>SUM(Q15+Q17)</f>
        <v>53</v>
      </c>
      <c r="R19" s="186">
        <f>R17-R18</f>
        <v>8600000</v>
      </c>
      <c r="S19" s="119"/>
    </row>
    <row r="20" spans="1:19" x14ac:dyDescent="0.25">
      <c r="A20" s="29" t="s">
        <v>3</v>
      </c>
      <c r="B20" s="160">
        <f>SUM('[1]Summary Thai'!C25)</f>
        <v>4.2999999999999997E-2</v>
      </c>
      <c r="C20" s="161">
        <f t="shared" ref="C20:Q20" si="11">SUM(C19/C6)</f>
        <v>4.1725814304780062E-2</v>
      </c>
      <c r="D20" s="162">
        <f t="shared" si="11"/>
        <v>4.1228491358021299E-2</v>
      </c>
      <c r="E20" s="162">
        <f t="shared" si="11"/>
        <v>5.0368432955337029E-2</v>
      </c>
      <c r="F20" s="163">
        <f t="shared" si="11"/>
        <v>4.2399476987229012E-2</v>
      </c>
      <c r="G20" s="163">
        <f t="shared" si="11"/>
        <v>4.1589244353846457E-2</v>
      </c>
      <c r="H20" s="97">
        <f t="shared" si="11"/>
        <v>3.8346860299778643E-2</v>
      </c>
      <c r="I20" s="97">
        <f t="shared" si="11"/>
        <v>3.2358367401903919E-2</v>
      </c>
      <c r="J20" s="97">
        <f t="shared" si="11"/>
        <v>5.2800931978322099E-2</v>
      </c>
      <c r="K20" s="97">
        <f t="shared" si="11"/>
        <v>3.2515466394423959E-2</v>
      </c>
      <c r="L20" s="97">
        <f t="shared" si="11"/>
        <v>3.2395836428553676E-2</v>
      </c>
      <c r="M20" s="97">
        <f t="shared" si="11"/>
        <v>3.6856124280033549E-2</v>
      </c>
      <c r="N20" s="97">
        <f t="shared" si="11"/>
        <v>4.564285880494328E-2</v>
      </c>
      <c r="O20" s="97">
        <f t="shared" si="11"/>
        <v>3.1679117688371561E-2</v>
      </c>
      <c r="P20" s="97">
        <f t="shared" si="11"/>
        <v>3.8475184985292642E-2</v>
      </c>
      <c r="Q20" s="162">
        <f t="shared" si="11"/>
        <v>3.5333333333333335E-2</v>
      </c>
      <c r="R20" s="119"/>
      <c r="S20" s="119"/>
    </row>
    <row r="21" spans="1:19" x14ac:dyDescent="0.25">
      <c r="A21" s="29"/>
      <c r="B21" s="155"/>
      <c r="C21" s="156"/>
      <c r="D21" s="157"/>
      <c r="E21" s="157"/>
      <c r="F21" s="173"/>
      <c r="G21" s="173"/>
      <c r="H21" s="139"/>
      <c r="I21" s="139"/>
      <c r="J21" s="139"/>
      <c r="K21" s="139"/>
      <c r="L21" s="139"/>
      <c r="M21" s="139"/>
      <c r="N21" s="139"/>
      <c r="O21" s="139"/>
      <c r="P21" s="136"/>
      <c r="Q21" s="140"/>
      <c r="R21" s="119"/>
      <c r="S21" s="119"/>
    </row>
    <row r="22" spans="1:19" x14ac:dyDescent="0.25">
      <c r="A22" s="29" t="s">
        <v>4</v>
      </c>
      <c r="B22" s="141">
        <f>SUM('[1]Summary Thai'!C27)/1000</f>
        <v>36.972999999999999</v>
      </c>
      <c r="C22" s="142">
        <f>SUM('[1]Summary Thai update 27.1.14'!E27/1000)</f>
        <v>22.658826819192875</v>
      </c>
      <c r="D22" s="132">
        <f>SUM('[1]Jan3rd-Feb6th''14'!H64-'[1]Jan3rd-Feb6th''14'!H49)/32.5/1000</f>
        <v>3.1422070769230768</v>
      </c>
      <c r="E22" s="138">
        <f>SUM('[1]Feb 7th-March 6th''14'!H68-'[1]Feb 7th-March 6th''14'!H52)/32.5/1000</f>
        <v>1.6741495384615384</v>
      </c>
      <c r="F22" s="174">
        <f>SUM('[1]March 7th-April 3rd''14'!H52-'[1]March 7th-April 3rd''14'!H39)/32.5/1000</f>
        <v>1.2547926153846152</v>
      </c>
      <c r="G22" s="174">
        <f>SUM('[1]April 4th-1st may'!H52-'[1]April 4th-1st may'!H39)/32.5/1000</f>
        <v>0.42364461538461529</v>
      </c>
      <c r="H22" s="135">
        <f>SUM('[1]May 2nd - June 5th'!H61-'[1]May 2nd - June 5th'!H44)/32.5/1000</f>
        <v>4.3321923076923072</v>
      </c>
      <c r="I22" s="135">
        <f>SUM('[1]June 6th - July 3rd'!H60+'[1]June 6th - July 3rd'!H65-'[1]June 6th - July 3rd'!H45)/32.5/1000</f>
        <v>1.631383076923077</v>
      </c>
      <c r="J22" s="135">
        <f>SUM('[1]July 4th - July 31st'!H56-'[1]July 4th - July 31st'!H41)/32.5/1000</f>
        <v>0.84915415384615323</v>
      </c>
      <c r="K22" s="135">
        <f>SUM('[1]Aug 1st - Sep 4th'!H61-'[1]Aug 1st - Sep 4th'!H47)/32.5/1000</f>
        <v>2.8337710769230768</v>
      </c>
      <c r="L22" s="135">
        <f>SUM('[1]5th Sep to 2nd Oct'!H63-'[1]5th Sep to 2nd Oct'!H47)/32.5/1000</f>
        <v>3.1839535384615387</v>
      </c>
      <c r="M22" s="135">
        <f>SUM('[1]3rd Oct to 6th Nov'!H59-'[1]3rd Oct to 6th Nov'!H43)/32.5/1000</f>
        <v>3.1339113846153852</v>
      </c>
      <c r="N22" s="135">
        <f>SUM('[1]Nov 7th to 4th Dec'!H60-'[1]Nov 7th to 4th Dec'!H47)/32.5/1000</f>
        <v>1.7565018461538466</v>
      </c>
      <c r="O22" s="135">
        <f>SUM('[1]5th Dec to 1st Jan'!I63-'[1]5th Dec to 1st Jan'!H49)/32.5/1000</f>
        <v>2.9019612307692313</v>
      </c>
      <c r="P22" s="136">
        <f>SUM(D22:O22)</f>
        <v>27.11762246153846</v>
      </c>
      <c r="Q22" s="150">
        <v>28</v>
      </c>
    </row>
    <row r="23" spans="1:19" x14ac:dyDescent="0.25">
      <c r="A23" s="29" t="s">
        <v>7</v>
      </c>
      <c r="B23" s="160">
        <f>SUM('[1]Summary Thai'!C28)</f>
        <v>3.1E-2</v>
      </c>
      <c r="C23" s="175">
        <f t="shared" ref="C23:J23" si="12">SUM(C22/C6)</f>
        <v>1.8199157382046867E-2</v>
      </c>
      <c r="D23" s="176">
        <f t="shared" si="12"/>
        <v>2.7548491010568735E-2</v>
      </c>
      <c r="E23" s="176">
        <f t="shared" si="12"/>
        <v>2.0336268863792691E-2</v>
      </c>
      <c r="F23" s="177">
        <f t="shared" si="12"/>
        <v>1.2321184959994118E-2</v>
      </c>
      <c r="G23" s="177">
        <f t="shared" si="12"/>
        <v>4.0751008006932503E-3</v>
      </c>
      <c r="H23" s="113">
        <f t="shared" si="12"/>
        <v>3.7033577321405158E-2</v>
      </c>
      <c r="I23" s="113">
        <f t="shared" si="12"/>
        <v>1.0945411173945051E-2</v>
      </c>
      <c r="J23" s="113">
        <f t="shared" si="12"/>
        <v>1.0971842543002581E-2</v>
      </c>
      <c r="K23" s="113">
        <f t="shared" ref="K23:Q23" si="13">SUM(K22/K6)</f>
        <v>2.0116805548638931E-2</v>
      </c>
      <c r="L23" s="113">
        <f t="shared" si="13"/>
        <v>2.1884496686770401E-2</v>
      </c>
      <c r="M23" s="113">
        <f t="shared" si="13"/>
        <v>2.4436578661042187E-2</v>
      </c>
      <c r="N23" s="113">
        <f t="shared" si="13"/>
        <v>1.7955570461379289E-2</v>
      </c>
      <c r="O23" s="113">
        <f t="shared" si="13"/>
        <v>2.0372175094448112E-2</v>
      </c>
      <c r="P23" s="113">
        <f t="shared" si="13"/>
        <v>1.9363106700265371E-2</v>
      </c>
      <c r="Q23" s="168">
        <f t="shared" si="13"/>
        <v>1.8666666666666668E-2</v>
      </c>
    </row>
    <row r="24" spans="1:19" x14ac:dyDescent="0.25">
      <c r="A24" s="29"/>
      <c r="B24" s="141"/>
      <c r="C24" s="156"/>
      <c r="D24" s="157"/>
      <c r="E24" s="157"/>
      <c r="F24" s="173"/>
      <c r="G24" s="173"/>
      <c r="H24" s="139"/>
      <c r="I24" s="139"/>
      <c r="J24" s="139"/>
      <c r="K24" s="139"/>
      <c r="L24" s="139"/>
      <c r="M24" s="139"/>
      <c r="N24" s="139"/>
      <c r="O24" s="139"/>
      <c r="P24" s="136"/>
      <c r="Q24" s="143"/>
    </row>
    <row r="25" spans="1:19" x14ac:dyDescent="0.25">
      <c r="A25" s="29" t="s">
        <v>8</v>
      </c>
      <c r="B25" s="141">
        <f>SUM('[1]Summary Thai'!C30)/1000</f>
        <v>106.077</v>
      </c>
      <c r="C25" s="142">
        <f>SUM('[1]Summary Thai update 27.1.14'!E30/1000)</f>
        <v>107.27788782967906</v>
      </c>
      <c r="D25" s="132">
        <f>SUM('[1]Jan3rd-Feb6th''14'!H66/32.5/1000)</f>
        <v>18.792028923076924</v>
      </c>
      <c r="E25" s="138">
        <f>SUM('[1]Feb 7th-March 6th''14'!H70/32.5/1000)</f>
        <v>12.658829538461559</v>
      </c>
      <c r="F25" s="164">
        <f>SUM('[1]March 7th-April 3rd''14'!H54/32.5/1000)</f>
        <v>11.139550153846153</v>
      </c>
      <c r="G25" s="164">
        <f>SUM('[1]April 4th-1st may'!H54/32.5/1000)</f>
        <v>15.544580307692307</v>
      </c>
      <c r="H25" s="134">
        <f>SUM('[1]May 2nd - June 5th'!H70/32.5/1000)</f>
        <v>13.446887692307691</v>
      </c>
      <c r="I25" s="134">
        <f>SUM('[1]June 6th - July 3rd'!H69/32.5/1000)</f>
        <v>16.838382153846155</v>
      </c>
      <c r="J25" s="135">
        <f>SUM('[1]July 4th - July 31st'!H58/32.5/1000)</f>
        <v>6.7353363076923083</v>
      </c>
      <c r="K25" s="135">
        <f>SUM('[1]Aug 1st - Sep 4th'!H62/32.5/1000)</f>
        <v>-3.2253181538461537</v>
      </c>
      <c r="L25" s="134">
        <f>SUM('[1]5th Sep to 2nd Oct'!H65/32.5/1000)</f>
        <v>17.987777846153847</v>
      </c>
      <c r="M25" s="134">
        <f>SUM('[1]3rd Oct to 6th Nov'!H61/32.5/1000)</f>
        <v>12.266353538461539</v>
      </c>
      <c r="N25" s="134">
        <f>SUM('[1]Nov 7th to 4th Dec'!H62/32.5/1000)</f>
        <v>13.215781846153844</v>
      </c>
      <c r="O25" s="134">
        <f>SUM('[1]5th Dec to 1st Jan'!I72/32.5/1000)</f>
        <v>34.680821230769233</v>
      </c>
      <c r="P25" s="136">
        <f>SUM(D25:O25)</f>
        <v>170.08101138461538</v>
      </c>
      <c r="Q25" s="154">
        <f>SUM(Q6-Q12-Q19-Q22)</f>
        <v>119</v>
      </c>
    </row>
    <row r="26" spans="1:19" ht="15.75" thickBot="1" x14ac:dyDescent="0.3">
      <c r="A26" s="29" t="s">
        <v>9</v>
      </c>
      <c r="B26" s="160">
        <f>SUM('[1]Summary Thai'!C31)</f>
        <v>8.8999999999999996E-2</v>
      </c>
      <c r="C26" s="178">
        <f t="shared" ref="C26:P26" si="14">SUM(C25/C6)</f>
        <v>8.6163647385846628E-2</v>
      </c>
      <c r="D26" s="179">
        <f t="shared" si="14"/>
        <v>0.16475427213558075</v>
      </c>
      <c r="E26" s="179">
        <f t="shared" si="14"/>
        <v>0.15376963352487835</v>
      </c>
      <c r="F26" s="180">
        <f t="shared" si="14"/>
        <v>0.10938258333198685</v>
      </c>
      <c r="G26" s="179">
        <f t="shared" si="14"/>
        <v>0.14952563860821788</v>
      </c>
      <c r="H26" s="179">
        <f t="shared" si="14"/>
        <v>0.11495019604764452</v>
      </c>
      <c r="I26" s="179">
        <f t="shared" si="14"/>
        <v>0.11297347556496376</v>
      </c>
      <c r="J26" s="179">
        <f t="shared" si="14"/>
        <v>8.702665953814219E-2</v>
      </c>
      <c r="K26" s="179">
        <f t="shared" si="14"/>
        <v>-2.2896379549426617E-2</v>
      </c>
      <c r="L26" s="179">
        <f t="shared" si="14"/>
        <v>0.12363668625225169</v>
      </c>
      <c r="M26" s="179">
        <f t="shared" si="14"/>
        <v>9.5646518468343877E-2</v>
      </c>
      <c r="N26" s="179">
        <f t="shared" si="14"/>
        <v>0.13509630101467512</v>
      </c>
      <c r="O26" s="179">
        <f t="shared" si="14"/>
        <v>0.24346423206529327</v>
      </c>
      <c r="P26" s="179">
        <f t="shared" si="14"/>
        <v>0.12144489347472533</v>
      </c>
      <c r="Q26" s="179">
        <f>SUM(Q25/Q6)</f>
        <v>7.9333333333333339E-2</v>
      </c>
    </row>
    <row r="27" spans="1:19" x14ac:dyDescent="0.2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1:19" x14ac:dyDescent="0.25">
      <c r="B28" s="181">
        <f t="shared" ref="B28:N28" si="15">SUM(B6-B12-B19-B22)</f>
        <v>106.07699999999998</v>
      </c>
      <c r="C28" s="181">
        <f t="shared" si="15"/>
        <v>107.277887829679</v>
      </c>
      <c r="D28" s="182">
        <f t="shared" si="15"/>
        <v>18.792028923076927</v>
      </c>
      <c r="E28" s="181">
        <f t="shared" si="15"/>
        <v>12.65882953846155</v>
      </c>
      <c r="F28" s="182">
        <f t="shared" si="15"/>
        <v>11.139550153846137</v>
      </c>
      <c r="G28" s="182">
        <f t="shared" si="15"/>
        <v>15.544580307692323</v>
      </c>
      <c r="H28" s="182">
        <f t="shared" si="15"/>
        <v>13.442004000000001</v>
      </c>
      <c r="I28" s="182">
        <f t="shared" si="15"/>
        <v>16.838479999999993</v>
      </c>
      <c r="J28" s="183">
        <f t="shared" si="15"/>
        <v>6.7353363076923083</v>
      </c>
      <c r="K28" s="183">
        <f t="shared" si="15"/>
        <v>-3.2253181538461537</v>
      </c>
      <c r="L28" s="182">
        <f t="shared" si="15"/>
        <v>17.987777846153861</v>
      </c>
      <c r="M28" s="182">
        <f t="shared" si="15"/>
        <v>12.266353538461523</v>
      </c>
      <c r="N28" s="182">
        <f t="shared" si="15"/>
        <v>13.215781846153849</v>
      </c>
      <c r="O28" s="182">
        <f>SUM(O6-O12-O19-O22)+('[1]5th Dec to 1st Jan'!H68/32.5/1000)</f>
        <v>34.680821230769219</v>
      </c>
      <c r="P28" s="181">
        <f>SUM(P6-P12-P19-P22)</f>
        <v>170.07167599999974</v>
      </c>
      <c r="Q28" s="181">
        <f>SUM(Q6-Q12-Q19-Q22)</f>
        <v>119</v>
      </c>
    </row>
  </sheetData>
  <pageMargins left="0.7" right="0.7" top="0.75" bottom="0.75" header="0.3" footer="0.3"/>
  <pageSetup orientation="portrait" horizontalDpi="4294967292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N37" sqref="N37"/>
    </sheetView>
  </sheetViews>
  <sheetFormatPr defaultRowHeight="15" x14ac:dyDescent="0.25"/>
  <cols>
    <col min="2" max="5" width="0.7109375" customWidth="1"/>
    <col min="6" max="6" width="0.5703125" customWidth="1"/>
    <col min="7" max="7" width="0.85546875" customWidth="1"/>
    <col min="8" max="8" width="0.42578125" customWidth="1"/>
    <col min="9" max="9" width="40.28515625" bestFit="1" customWidth="1"/>
    <col min="10" max="10" width="15" bestFit="1" customWidth="1"/>
  </cols>
  <sheetData>
    <row r="1" spans="1:10" ht="15.75" thickBot="1" x14ac:dyDescent="0.3">
      <c r="A1" s="205"/>
      <c r="B1" s="205"/>
      <c r="C1" s="205"/>
      <c r="D1" s="205"/>
      <c r="E1" s="205"/>
      <c r="F1" s="205"/>
      <c r="G1" s="205"/>
      <c r="H1" s="205"/>
      <c r="I1" s="205"/>
      <c r="J1" s="206" t="s">
        <v>201</v>
      </c>
    </row>
    <row r="2" spans="1:10" ht="15.75" thickTop="1" x14ac:dyDescent="0.25">
      <c r="A2" s="200"/>
      <c r="B2" s="200"/>
      <c r="C2" s="200"/>
      <c r="D2" s="200"/>
      <c r="E2" s="200"/>
      <c r="F2" s="200" t="s">
        <v>202</v>
      </c>
      <c r="G2" s="200"/>
      <c r="H2" s="200"/>
      <c r="I2" s="200"/>
      <c r="J2" s="201"/>
    </row>
    <row r="3" spans="1:10" x14ac:dyDescent="0.25">
      <c r="A3" s="200"/>
      <c r="B3" s="200"/>
      <c r="C3" s="200"/>
      <c r="D3" s="200"/>
      <c r="E3" s="200"/>
      <c r="F3" s="200"/>
      <c r="G3" s="200" t="s">
        <v>203</v>
      </c>
      <c r="H3" s="200"/>
      <c r="I3" s="200"/>
      <c r="J3" s="201"/>
    </row>
    <row r="4" spans="1:10" ht="15.75" thickBot="1" x14ac:dyDescent="0.3">
      <c r="A4" s="200"/>
      <c r="B4" s="200"/>
      <c r="C4" s="200"/>
      <c r="D4" s="200"/>
      <c r="E4" s="200"/>
      <c r="F4" s="200"/>
      <c r="G4" s="200"/>
      <c r="H4" s="200" t="s">
        <v>173</v>
      </c>
      <c r="I4" s="200"/>
      <c r="J4" s="204">
        <v>225000</v>
      </c>
    </row>
    <row r="5" spans="1:10" x14ac:dyDescent="0.25">
      <c r="A5" s="200"/>
      <c r="B5" s="200"/>
      <c r="C5" s="200"/>
      <c r="D5" s="200"/>
      <c r="E5" s="200"/>
      <c r="F5" s="200"/>
      <c r="G5" s="200" t="s">
        <v>204</v>
      </c>
      <c r="H5" s="200"/>
      <c r="I5" s="200"/>
      <c r="J5" s="201">
        <v>225000</v>
      </c>
    </row>
    <row r="6" spans="1:10" x14ac:dyDescent="0.25">
      <c r="A6" s="200"/>
      <c r="B6" s="200"/>
      <c r="C6" s="200"/>
      <c r="D6" s="200"/>
      <c r="E6" s="200"/>
      <c r="F6" s="200"/>
      <c r="G6" s="200" t="s">
        <v>172</v>
      </c>
      <c r="H6" s="200"/>
      <c r="I6" s="200"/>
      <c r="J6" s="201"/>
    </row>
    <row r="7" spans="1:10" x14ac:dyDescent="0.25">
      <c r="A7" s="200"/>
      <c r="B7" s="200"/>
      <c r="C7" s="200"/>
      <c r="D7" s="200"/>
      <c r="E7" s="200"/>
      <c r="F7" s="200"/>
      <c r="G7" s="200"/>
      <c r="H7" s="200" t="s">
        <v>205</v>
      </c>
      <c r="I7" s="200"/>
      <c r="J7" s="201">
        <v>10000</v>
      </c>
    </row>
    <row r="8" spans="1:10" x14ac:dyDescent="0.25">
      <c r="A8" s="200"/>
      <c r="B8" s="200"/>
      <c r="C8" s="200"/>
      <c r="D8" s="200"/>
      <c r="E8" s="200"/>
      <c r="F8" s="200"/>
      <c r="G8" s="200"/>
      <c r="H8" s="200" t="s">
        <v>174</v>
      </c>
      <c r="I8" s="200"/>
      <c r="J8" s="201">
        <v>90378.67</v>
      </c>
    </row>
    <row r="9" spans="1:10" x14ac:dyDescent="0.25">
      <c r="A9" s="200"/>
      <c r="B9" s="200"/>
      <c r="C9" s="200"/>
      <c r="D9" s="200"/>
      <c r="E9" s="200"/>
      <c r="F9" s="200"/>
      <c r="G9" s="200"/>
      <c r="H9" s="200" t="s">
        <v>206</v>
      </c>
      <c r="I9" s="200"/>
      <c r="J9" s="201"/>
    </row>
    <row r="10" spans="1:10" ht="15.75" thickBot="1" x14ac:dyDescent="0.3">
      <c r="A10" s="200"/>
      <c r="B10" s="200"/>
      <c r="C10" s="200"/>
      <c r="D10" s="200"/>
      <c r="E10" s="200"/>
      <c r="F10" s="200"/>
      <c r="G10" s="200"/>
      <c r="H10" s="200"/>
      <c r="I10" s="200" t="s">
        <v>207</v>
      </c>
      <c r="J10" s="204">
        <v>1443.01</v>
      </c>
    </row>
    <row r="11" spans="1:10" x14ac:dyDescent="0.25">
      <c r="A11" s="200"/>
      <c r="B11" s="200"/>
      <c r="C11" s="200"/>
      <c r="D11" s="200"/>
      <c r="E11" s="200"/>
      <c r="F11" s="200"/>
      <c r="G11" s="200"/>
      <c r="H11" s="200" t="s">
        <v>208</v>
      </c>
      <c r="I11" s="200"/>
      <c r="J11" s="201">
        <v>1443.01</v>
      </c>
    </row>
    <row r="12" spans="1:10" x14ac:dyDescent="0.25">
      <c r="A12" s="200"/>
      <c r="B12" s="200"/>
      <c r="C12" s="200"/>
      <c r="D12" s="200"/>
      <c r="E12" s="200"/>
      <c r="F12" s="200"/>
      <c r="G12" s="200"/>
      <c r="H12" s="200" t="s">
        <v>209</v>
      </c>
      <c r="I12" s="200"/>
      <c r="J12" s="201">
        <v>17200</v>
      </c>
    </row>
    <row r="13" spans="1:10" x14ac:dyDescent="0.25">
      <c r="A13" s="200"/>
      <c r="B13" s="200"/>
      <c r="C13" s="200"/>
      <c r="D13" s="200"/>
      <c r="E13" s="200"/>
      <c r="F13" s="200"/>
      <c r="G13" s="200"/>
      <c r="H13" s="200" t="s">
        <v>210</v>
      </c>
      <c r="I13" s="200"/>
      <c r="J13" s="201">
        <v>75853.11</v>
      </c>
    </row>
    <row r="14" spans="1:10" x14ac:dyDescent="0.25">
      <c r="A14" s="200"/>
      <c r="B14" s="200"/>
      <c r="C14" s="200"/>
      <c r="D14" s="200"/>
      <c r="E14" s="200"/>
      <c r="F14" s="200"/>
      <c r="G14" s="200"/>
      <c r="H14" s="200" t="s">
        <v>175</v>
      </c>
      <c r="I14" s="200"/>
      <c r="J14" s="201">
        <v>17617.45</v>
      </c>
    </row>
    <row r="15" spans="1:10" x14ac:dyDescent="0.25">
      <c r="A15" s="200"/>
      <c r="B15" s="200"/>
      <c r="C15" s="200"/>
      <c r="D15" s="200"/>
      <c r="E15" s="200"/>
      <c r="F15" s="200"/>
      <c r="G15" s="200"/>
      <c r="H15" s="200" t="s">
        <v>176</v>
      </c>
      <c r="I15" s="200"/>
      <c r="J15" s="201">
        <v>66350</v>
      </c>
    </row>
    <row r="16" spans="1:10" ht="15.75" thickBot="1" x14ac:dyDescent="0.3">
      <c r="A16" s="200"/>
      <c r="B16" s="200"/>
      <c r="C16" s="200"/>
      <c r="D16" s="200"/>
      <c r="E16" s="200"/>
      <c r="F16" s="200"/>
      <c r="G16" s="200"/>
      <c r="H16" s="200" t="s">
        <v>177</v>
      </c>
      <c r="I16" s="200"/>
      <c r="J16" s="204">
        <v>20709.5</v>
      </c>
    </row>
    <row r="17" spans="1:10" x14ac:dyDescent="0.25">
      <c r="A17" s="200"/>
      <c r="B17" s="200"/>
      <c r="C17" s="200"/>
      <c r="D17" s="200"/>
      <c r="E17" s="200"/>
      <c r="F17" s="200"/>
      <c r="G17" s="200" t="s">
        <v>178</v>
      </c>
      <c r="H17" s="200"/>
      <c r="I17" s="200"/>
      <c r="J17" s="201">
        <v>299551.74</v>
      </c>
    </row>
    <row r="18" spans="1:10" x14ac:dyDescent="0.25">
      <c r="A18" s="200"/>
      <c r="B18" s="200"/>
      <c r="C18" s="200"/>
      <c r="D18" s="200"/>
      <c r="E18" s="200"/>
      <c r="F18" s="200"/>
      <c r="G18" s="200" t="s">
        <v>179</v>
      </c>
      <c r="H18" s="200"/>
      <c r="I18" s="200"/>
      <c r="J18" s="201"/>
    </row>
    <row r="19" spans="1:10" x14ac:dyDescent="0.25">
      <c r="A19" s="200"/>
      <c r="B19" s="200"/>
      <c r="C19" s="200"/>
      <c r="D19" s="200"/>
      <c r="E19" s="200"/>
      <c r="F19" s="200"/>
      <c r="G19" s="200"/>
      <c r="H19" s="200" t="s">
        <v>211</v>
      </c>
      <c r="I19" s="200"/>
      <c r="J19" s="201">
        <v>17489.3</v>
      </c>
    </row>
    <row r="20" spans="1:10" x14ac:dyDescent="0.25">
      <c r="A20" s="200"/>
      <c r="B20" s="200"/>
      <c r="C20" s="200"/>
      <c r="D20" s="200"/>
      <c r="E20" s="200"/>
      <c r="F20" s="200"/>
      <c r="G20" s="200"/>
      <c r="H20" s="200" t="s">
        <v>180</v>
      </c>
      <c r="I20" s="200"/>
      <c r="J20" s="201">
        <v>7893.57</v>
      </c>
    </row>
    <row r="21" spans="1:10" x14ac:dyDescent="0.25">
      <c r="A21" s="200"/>
      <c r="B21" s="200"/>
      <c r="C21" s="200"/>
      <c r="D21" s="200"/>
      <c r="E21" s="200"/>
      <c r="F21" s="200"/>
      <c r="G21" s="200"/>
      <c r="H21" s="200" t="s">
        <v>181</v>
      </c>
      <c r="I21" s="200"/>
      <c r="J21" s="201">
        <v>115537.14</v>
      </c>
    </row>
    <row r="22" spans="1:10" x14ac:dyDescent="0.25">
      <c r="A22" s="200"/>
      <c r="B22" s="200"/>
      <c r="C22" s="200"/>
      <c r="D22" s="200"/>
      <c r="E22" s="200"/>
      <c r="F22" s="200"/>
      <c r="G22" s="200"/>
      <c r="H22" s="200" t="s">
        <v>182</v>
      </c>
      <c r="I22" s="200"/>
      <c r="J22" s="201">
        <v>104399.63</v>
      </c>
    </row>
    <row r="23" spans="1:10" x14ac:dyDescent="0.25">
      <c r="A23" s="200"/>
      <c r="B23" s="200"/>
      <c r="C23" s="200"/>
      <c r="D23" s="200"/>
      <c r="E23" s="200"/>
      <c r="F23" s="200"/>
      <c r="G23" s="200"/>
      <c r="H23" s="200" t="s">
        <v>212</v>
      </c>
      <c r="I23" s="200"/>
      <c r="J23" s="201">
        <v>28061.26</v>
      </c>
    </row>
    <row r="24" spans="1:10" ht="15.75" thickBot="1" x14ac:dyDescent="0.3">
      <c r="A24" s="200"/>
      <c r="B24" s="200"/>
      <c r="C24" s="200"/>
      <c r="D24" s="200"/>
      <c r="E24" s="200"/>
      <c r="F24" s="200"/>
      <c r="G24" s="200"/>
      <c r="H24" s="200" t="s">
        <v>213</v>
      </c>
      <c r="I24" s="200"/>
      <c r="J24" s="204">
        <v>3655.73</v>
      </c>
    </row>
    <row r="25" spans="1:10" x14ac:dyDescent="0.25">
      <c r="A25" s="200"/>
      <c r="B25" s="200"/>
      <c r="C25" s="200"/>
      <c r="D25" s="200"/>
      <c r="E25" s="200"/>
      <c r="F25" s="200"/>
      <c r="G25" s="200" t="s">
        <v>183</v>
      </c>
      <c r="H25" s="200"/>
      <c r="I25" s="200"/>
      <c r="J25" s="201">
        <v>277036.63</v>
      </c>
    </row>
    <row r="26" spans="1:10" x14ac:dyDescent="0.25">
      <c r="A26" s="200"/>
      <c r="B26" s="200"/>
      <c r="C26" s="200"/>
      <c r="D26" s="200"/>
      <c r="E26" s="200"/>
      <c r="F26" s="200"/>
      <c r="G26" s="200" t="s">
        <v>184</v>
      </c>
      <c r="H26" s="200"/>
      <c r="I26" s="200"/>
      <c r="J26" s="201"/>
    </row>
    <row r="27" spans="1:10" x14ac:dyDescent="0.25">
      <c r="A27" s="200"/>
      <c r="B27" s="200"/>
      <c r="C27" s="200"/>
      <c r="D27" s="200"/>
      <c r="E27" s="200"/>
      <c r="F27" s="200"/>
      <c r="G27" s="200"/>
      <c r="H27" s="200" t="s">
        <v>187</v>
      </c>
      <c r="I27" s="200"/>
      <c r="J27" s="201">
        <v>7925.4</v>
      </c>
    </row>
    <row r="28" spans="1:10" x14ac:dyDescent="0.25">
      <c r="A28" s="200"/>
      <c r="B28" s="200"/>
      <c r="C28" s="200"/>
      <c r="D28" s="200"/>
      <c r="E28" s="200"/>
      <c r="F28" s="200"/>
      <c r="G28" s="200"/>
      <c r="H28" s="200" t="s">
        <v>185</v>
      </c>
      <c r="I28" s="200"/>
      <c r="J28" s="201">
        <v>12198.9</v>
      </c>
    </row>
    <row r="29" spans="1:10" x14ac:dyDescent="0.25">
      <c r="A29" s="200"/>
      <c r="B29" s="200"/>
      <c r="C29" s="200"/>
      <c r="D29" s="200"/>
      <c r="E29" s="200"/>
      <c r="F29" s="200"/>
      <c r="G29" s="200"/>
      <c r="H29" s="200" t="s">
        <v>188</v>
      </c>
      <c r="I29" s="200"/>
      <c r="J29" s="201">
        <v>70000</v>
      </c>
    </row>
    <row r="30" spans="1:10" ht="15.75" thickBot="1" x14ac:dyDescent="0.3">
      <c r="A30" s="200"/>
      <c r="B30" s="200"/>
      <c r="C30" s="200"/>
      <c r="D30" s="200"/>
      <c r="E30" s="200"/>
      <c r="F30" s="200"/>
      <c r="G30" s="200"/>
      <c r="H30" s="200" t="s">
        <v>186</v>
      </c>
      <c r="I30" s="200"/>
      <c r="J30" s="204">
        <v>91043.71</v>
      </c>
    </row>
    <row r="31" spans="1:10" x14ac:dyDescent="0.25">
      <c r="A31" s="200"/>
      <c r="B31" s="200"/>
      <c r="C31" s="200"/>
      <c r="D31" s="200"/>
      <c r="E31" s="200"/>
      <c r="F31" s="200"/>
      <c r="G31" s="200" t="s">
        <v>189</v>
      </c>
      <c r="H31" s="200"/>
      <c r="I31" s="200"/>
      <c r="J31" s="201">
        <v>181168.01</v>
      </c>
    </row>
    <row r="32" spans="1:10" x14ac:dyDescent="0.25">
      <c r="A32" s="200"/>
      <c r="B32" s="200"/>
      <c r="C32" s="200"/>
      <c r="D32" s="200"/>
      <c r="E32" s="200"/>
      <c r="F32" s="200"/>
      <c r="G32" s="200" t="s">
        <v>190</v>
      </c>
      <c r="H32" s="200"/>
      <c r="I32" s="200"/>
      <c r="J32" s="201"/>
    </row>
    <row r="33" spans="1:10" x14ac:dyDescent="0.25">
      <c r="A33" s="200"/>
      <c r="B33" s="200"/>
      <c r="C33" s="200"/>
      <c r="D33" s="200"/>
      <c r="E33" s="200"/>
      <c r="F33" s="200"/>
      <c r="G33" s="200"/>
      <c r="H33" s="200" t="s">
        <v>191</v>
      </c>
      <c r="I33" s="200"/>
      <c r="J33" s="201">
        <v>13300</v>
      </c>
    </row>
    <row r="34" spans="1:10" ht="15.75" thickBot="1" x14ac:dyDescent="0.3">
      <c r="A34" s="200"/>
      <c r="B34" s="200"/>
      <c r="C34" s="200"/>
      <c r="D34" s="200"/>
      <c r="E34" s="200"/>
      <c r="F34" s="200"/>
      <c r="G34" s="200"/>
      <c r="H34" s="200" t="s">
        <v>192</v>
      </c>
      <c r="I34" s="200"/>
      <c r="J34" s="204">
        <v>29835</v>
      </c>
    </row>
    <row r="35" spans="1:10" x14ac:dyDescent="0.25">
      <c r="A35" s="200"/>
      <c r="B35" s="200"/>
      <c r="C35" s="200"/>
      <c r="D35" s="200"/>
      <c r="E35" s="200"/>
      <c r="F35" s="200"/>
      <c r="G35" s="200" t="s">
        <v>193</v>
      </c>
      <c r="H35" s="200"/>
      <c r="I35" s="200"/>
      <c r="J35" s="201">
        <v>43135</v>
      </c>
    </row>
    <row r="36" spans="1:10" x14ac:dyDescent="0.25">
      <c r="A36" s="200"/>
      <c r="B36" s="200"/>
      <c r="C36" s="200"/>
      <c r="D36" s="200"/>
      <c r="E36" s="200"/>
      <c r="F36" s="200"/>
      <c r="G36" s="200" t="s">
        <v>194</v>
      </c>
      <c r="H36" s="200"/>
      <c r="I36" s="200"/>
      <c r="J36" s="201"/>
    </row>
    <row r="37" spans="1:10" ht="15.75" thickBot="1" x14ac:dyDescent="0.3">
      <c r="A37" s="200"/>
      <c r="B37" s="200"/>
      <c r="C37" s="200"/>
      <c r="D37" s="200"/>
      <c r="E37" s="200"/>
      <c r="F37" s="200"/>
      <c r="G37" s="200"/>
      <c r="H37" s="200" t="s">
        <v>195</v>
      </c>
      <c r="I37" s="200"/>
      <c r="J37" s="204">
        <v>3770</v>
      </c>
    </row>
    <row r="38" spans="1:10" x14ac:dyDescent="0.25">
      <c r="A38" s="200"/>
      <c r="B38" s="200"/>
      <c r="C38" s="200"/>
      <c r="D38" s="200"/>
      <c r="E38" s="200"/>
      <c r="F38" s="200"/>
      <c r="G38" s="200" t="s">
        <v>196</v>
      </c>
      <c r="H38" s="200"/>
      <c r="I38" s="200"/>
      <c r="J38" s="201">
        <v>3770</v>
      </c>
    </row>
    <row r="39" spans="1:10" x14ac:dyDescent="0.25">
      <c r="A39" s="200"/>
      <c r="B39" s="200"/>
      <c r="C39" s="200"/>
      <c r="D39" s="200"/>
      <c r="E39" s="200"/>
      <c r="F39" s="200"/>
      <c r="G39" s="200" t="s">
        <v>197</v>
      </c>
      <c r="H39" s="200"/>
      <c r="I39" s="200"/>
      <c r="J39" s="201"/>
    </row>
    <row r="40" spans="1:10" x14ac:dyDescent="0.25">
      <c r="A40" s="200"/>
      <c r="B40" s="200"/>
      <c r="C40" s="200"/>
      <c r="D40" s="200"/>
      <c r="E40" s="200"/>
      <c r="F40" s="200"/>
      <c r="G40" s="200"/>
      <c r="H40" s="200" t="s">
        <v>198</v>
      </c>
      <c r="I40" s="200"/>
      <c r="J40" s="201">
        <v>51097.56</v>
      </c>
    </row>
    <row r="41" spans="1:10" x14ac:dyDescent="0.25">
      <c r="A41" s="200"/>
      <c r="B41" s="200"/>
      <c r="C41" s="200"/>
      <c r="D41" s="200"/>
      <c r="E41" s="200"/>
      <c r="F41" s="200"/>
      <c r="G41" s="200"/>
      <c r="H41" s="200" t="s">
        <v>214</v>
      </c>
      <c r="I41" s="200"/>
      <c r="J41" s="201">
        <v>17715.29</v>
      </c>
    </row>
    <row r="42" spans="1:10" ht="15.75" thickBot="1" x14ac:dyDescent="0.3">
      <c r="A42" s="200"/>
      <c r="B42" s="200"/>
      <c r="C42" s="200"/>
      <c r="D42" s="200"/>
      <c r="E42" s="200"/>
      <c r="F42" s="200"/>
      <c r="G42" s="200"/>
      <c r="H42" s="200" t="s">
        <v>199</v>
      </c>
      <c r="I42" s="200"/>
      <c r="J42" s="202">
        <v>789842.34</v>
      </c>
    </row>
    <row r="43" spans="1:10" x14ac:dyDescent="0.25">
      <c r="A43" s="200"/>
      <c r="B43" s="200"/>
      <c r="C43" s="200"/>
      <c r="D43" s="200"/>
      <c r="E43" s="200"/>
      <c r="F43" s="200"/>
      <c r="G43" s="200" t="s">
        <v>200</v>
      </c>
      <c r="H43" s="200"/>
      <c r="I43" s="200"/>
      <c r="J43" s="203">
        <v>858655.19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34"/>
  <sheetViews>
    <sheetView workbookViewId="0">
      <selection activeCell="I11" sqref="I11"/>
    </sheetView>
  </sheetViews>
  <sheetFormatPr defaultRowHeight="15" x14ac:dyDescent="0.25"/>
  <cols>
    <col min="1" max="1" width="43.28515625" customWidth="1"/>
    <col min="2" max="2" width="18.28515625" customWidth="1"/>
    <col min="3" max="3" width="16.5703125" customWidth="1"/>
    <col min="4" max="4" width="17.85546875" customWidth="1"/>
    <col min="5" max="5" width="14.7109375" customWidth="1"/>
    <col min="6" max="6" width="17.140625" customWidth="1"/>
  </cols>
  <sheetData>
    <row r="6" spans="1:6" ht="26.25" x14ac:dyDescent="0.4">
      <c r="A6" s="33" t="s">
        <v>36</v>
      </c>
    </row>
    <row r="7" spans="1:6" ht="15.75" thickBot="1" x14ac:dyDescent="0.3">
      <c r="A7" t="s">
        <v>37</v>
      </c>
      <c r="B7" t="s">
        <v>38</v>
      </c>
      <c r="C7">
        <v>29.5</v>
      </c>
      <c r="E7">
        <v>31.47</v>
      </c>
    </row>
    <row r="8" spans="1:6" ht="15.75" thickBot="1" x14ac:dyDescent="0.3">
      <c r="A8" t="s">
        <v>39</v>
      </c>
      <c r="B8" s="50" t="s">
        <v>40</v>
      </c>
      <c r="C8" s="35" t="s">
        <v>41</v>
      </c>
      <c r="D8" s="50" t="s">
        <v>40</v>
      </c>
      <c r="E8" s="35" t="s">
        <v>42</v>
      </c>
      <c r="F8" s="51">
        <v>0.24</v>
      </c>
    </row>
    <row r="9" spans="1:6" ht="15.75" thickBot="1" x14ac:dyDescent="0.3">
      <c r="B9" s="55">
        <v>2012</v>
      </c>
      <c r="C9" s="56">
        <v>2012</v>
      </c>
      <c r="D9" s="55">
        <v>2013</v>
      </c>
      <c r="E9" s="56">
        <v>2013</v>
      </c>
      <c r="F9" s="55">
        <v>2014</v>
      </c>
    </row>
    <row r="10" spans="1:6" ht="15.75" thickBot="1" x14ac:dyDescent="0.3">
      <c r="B10" s="52" t="s">
        <v>5</v>
      </c>
      <c r="C10" s="53" t="s">
        <v>5</v>
      </c>
      <c r="D10" s="54" t="s">
        <v>5</v>
      </c>
      <c r="E10" s="54" t="s">
        <v>5</v>
      </c>
      <c r="F10" s="54" t="s">
        <v>30</v>
      </c>
    </row>
    <row r="11" spans="1:6" x14ac:dyDescent="0.25">
      <c r="A11" s="34" t="s">
        <v>43</v>
      </c>
      <c r="B11" s="44">
        <v>35218500</v>
      </c>
      <c r="C11" s="39">
        <v>1193847</v>
      </c>
      <c r="D11" s="44">
        <f>SUM('P&amp;L''13 Thai'!H13)</f>
        <v>37945313.789999999</v>
      </c>
      <c r="E11" s="39">
        <f>SUM(D11/E7)</f>
        <v>1205761.4804575786</v>
      </c>
      <c r="F11" s="44">
        <v>1500000</v>
      </c>
    </row>
    <row r="12" spans="1:6" x14ac:dyDescent="0.25">
      <c r="A12" s="36"/>
      <c r="B12" s="45"/>
      <c r="C12" s="37"/>
      <c r="D12" s="45"/>
      <c r="E12" s="37"/>
      <c r="F12" s="45"/>
    </row>
    <row r="13" spans="1:6" x14ac:dyDescent="0.25">
      <c r="A13" s="36" t="s">
        <v>44</v>
      </c>
      <c r="B13" s="46">
        <v>22104729</v>
      </c>
      <c r="C13" s="40">
        <v>749313</v>
      </c>
      <c r="D13" s="46">
        <f>SUM('P&amp;L''13 Thai'!H33-'P&amp;L''13 Thai'!H25-'P&amp;L''13 Thai'!H26-'P&amp;L''13 Thai'!H31)</f>
        <v>25234182.789999999</v>
      </c>
      <c r="E13" s="40">
        <f>SUM(D13/$E$7)</f>
        <v>801848.83349221479</v>
      </c>
      <c r="F13" s="46">
        <f>SUM(E14*F11)</f>
        <v>997521.70701445662</v>
      </c>
    </row>
    <row r="14" spans="1:6" x14ac:dyDescent="0.25">
      <c r="A14" s="36" t="s">
        <v>28</v>
      </c>
      <c r="B14" s="47">
        <v>0.63</v>
      </c>
      <c r="C14" s="41">
        <v>0.63</v>
      </c>
      <c r="D14" s="47">
        <f>SUM(D13/D11)</f>
        <v>0.66501447134297109</v>
      </c>
      <c r="E14" s="47">
        <f>SUM(E13/E11)</f>
        <v>0.66501447134297109</v>
      </c>
      <c r="F14" s="47">
        <f>SUM(F13/F11)</f>
        <v>0.66501447134297109</v>
      </c>
    </row>
    <row r="15" spans="1:6" x14ac:dyDescent="0.25">
      <c r="A15" s="36" t="s">
        <v>45</v>
      </c>
      <c r="B15" s="46">
        <v>7390868</v>
      </c>
      <c r="C15" s="40">
        <v>250538</v>
      </c>
      <c r="D15" s="46">
        <f>SUM('P&amp;L''13 Thai'!H25+'P&amp;L''13 Thai'!H26)</f>
        <v>7498086.5099999998</v>
      </c>
      <c r="E15" s="40">
        <f t="shared" ref="E15:E30" si="0">SUM(D15/$E$7)</f>
        <v>238261.40800762631</v>
      </c>
      <c r="F15" s="46">
        <f>SUM(E16*F11)</f>
        <v>296403.65677945816</v>
      </c>
    </row>
    <row r="16" spans="1:6" x14ac:dyDescent="0.25">
      <c r="A16" s="36" t="s">
        <v>0</v>
      </c>
      <c r="B16" s="47">
        <v>0.21</v>
      </c>
      <c r="C16" s="41">
        <v>0.21</v>
      </c>
      <c r="D16" s="47">
        <f>SUM(D15/D11)</f>
        <v>0.1976024378529721</v>
      </c>
      <c r="E16" s="47">
        <f>SUM(E15/E11)</f>
        <v>0.1976024378529721</v>
      </c>
      <c r="F16" s="47">
        <f>SUM(F15/F11)</f>
        <v>0.1976024378529721</v>
      </c>
    </row>
    <row r="17" spans="1:6" x14ac:dyDescent="0.25">
      <c r="A17" s="36" t="s">
        <v>46</v>
      </c>
      <c r="B17" s="46">
        <v>29495597</v>
      </c>
      <c r="C17" s="40">
        <v>999851</v>
      </c>
      <c r="D17" s="46">
        <f>SUM(D13+D15)</f>
        <v>32732269.299999997</v>
      </c>
      <c r="E17" s="40">
        <f t="shared" si="0"/>
        <v>1040110.2414998411</v>
      </c>
      <c r="F17" s="46">
        <f>SUM(F13+F15)</f>
        <v>1293925.3637939147</v>
      </c>
    </row>
    <row r="18" spans="1:6" x14ac:dyDescent="0.25">
      <c r="A18" s="36" t="s">
        <v>47</v>
      </c>
      <c r="B18" s="47">
        <v>0.84</v>
      </c>
      <c r="C18" s="41">
        <v>0.84</v>
      </c>
      <c r="D18" s="47">
        <f>SUM(D17/D11)</f>
        <v>0.86261690919594314</v>
      </c>
      <c r="E18" s="47">
        <f>SUM(E17/E11)</f>
        <v>0.86261690919594325</v>
      </c>
      <c r="F18" s="41">
        <v>0.86</v>
      </c>
    </row>
    <row r="19" spans="1:6" x14ac:dyDescent="0.25">
      <c r="A19" s="36"/>
      <c r="B19" s="45"/>
      <c r="C19" s="37"/>
      <c r="D19" s="45"/>
      <c r="E19" s="40"/>
      <c r="F19" s="45"/>
    </row>
    <row r="20" spans="1:6" x14ac:dyDescent="0.25">
      <c r="A20" s="36" t="s">
        <v>48</v>
      </c>
      <c r="B20" s="46">
        <v>284800</v>
      </c>
      <c r="C20" s="40">
        <v>9654</v>
      </c>
      <c r="D20" s="46">
        <f>SUM('P&amp;L''13 Thai'!H31)</f>
        <v>311450</v>
      </c>
      <c r="E20" s="40">
        <f t="shared" si="0"/>
        <v>9896.7270416269475</v>
      </c>
      <c r="F20" s="46">
        <f>SUM(E21*F11)</f>
        <v>12311.796987250587</v>
      </c>
    </row>
    <row r="21" spans="1:6" x14ac:dyDescent="0.25">
      <c r="A21" s="36" t="s">
        <v>49</v>
      </c>
      <c r="B21" s="48">
        <v>8.0000000000000002E-3</v>
      </c>
      <c r="C21" s="42">
        <v>8.0000000000000002E-3</v>
      </c>
      <c r="D21" s="48">
        <f>SUM(D20/D11)</f>
        <v>8.2078646581670561E-3</v>
      </c>
      <c r="E21" s="48">
        <f>SUM(E20/E11)</f>
        <v>8.2078646581670578E-3</v>
      </c>
      <c r="F21" s="48">
        <f t="shared" ref="F21" si="1">SUM(F20/F11)</f>
        <v>8.2078646581670578E-3</v>
      </c>
    </row>
    <row r="22" spans="1:6" x14ac:dyDescent="0.25">
      <c r="A22" s="36" t="s">
        <v>50</v>
      </c>
      <c r="B22" s="46">
        <v>1218106</v>
      </c>
      <c r="C22" s="40">
        <v>41292</v>
      </c>
      <c r="D22" s="46">
        <f>SUM('P&amp;L''13 Thai'!H66)</f>
        <v>1321242.8600000001</v>
      </c>
      <c r="E22" s="40">
        <f t="shared" si="0"/>
        <v>41984.202732761361</v>
      </c>
      <c r="F22" s="46">
        <f>SUM(E23*F11)</f>
        <v>52229.48743995616</v>
      </c>
    </row>
    <row r="23" spans="1:6" x14ac:dyDescent="0.25">
      <c r="A23" s="36" t="s">
        <v>2</v>
      </c>
      <c r="B23" s="48">
        <v>3.5000000000000003E-2</v>
      </c>
      <c r="C23" s="42">
        <v>3.5000000000000003E-2</v>
      </c>
      <c r="D23" s="48">
        <f>SUM(D22/D11)</f>
        <v>3.4819658293304107E-2</v>
      </c>
      <c r="E23" s="48">
        <f>SUM(E22/E11)</f>
        <v>3.4819658293304107E-2</v>
      </c>
      <c r="F23" s="48">
        <f>SUM(F22/F11)</f>
        <v>3.4819658293304107E-2</v>
      </c>
    </row>
    <row r="24" spans="1:6" x14ac:dyDescent="0.25">
      <c r="A24" s="36" t="s">
        <v>51</v>
      </c>
      <c r="B24" s="46">
        <v>1502906</v>
      </c>
      <c r="C24" s="40">
        <v>50946</v>
      </c>
      <c r="D24" s="46">
        <f>SUM(D20+D22)</f>
        <v>1632692.86</v>
      </c>
      <c r="E24" s="40">
        <f t="shared" si="0"/>
        <v>51880.929774388314</v>
      </c>
      <c r="F24" s="46">
        <f>SUM(F20+F22)</f>
        <v>64541.284427206745</v>
      </c>
    </row>
    <row r="25" spans="1:6" x14ac:dyDescent="0.25">
      <c r="A25" s="36" t="s">
        <v>52</v>
      </c>
      <c r="B25" s="48">
        <v>4.2999999999999997E-2</v>
      </c>
      <c r="C25" s="42">
        <v>4.2999999999999997E-2</v>
      </c>
      <c r="D25" s="48">
        <f>SUM(D24/D11)</f>
        <v>4.3027522951471157E-2</v>
      </c>
      <c r="E25" s="48">
        <f>SUM(E24/E11)</f>
        <v>4.3027522951471164E-2</v>
      </c>
      <c r="F25" s="48">
        <f>SUM(F24/F11)</f>
        <v>4.3027522951471164E-2</v>
      </c>
    </row>
    <row r="26" spans="1:6" x14ac:dyDescent="0.25">
      <c r="A26" s="36"/>
      <c r="B26" s="45"/>
      <c r="C26" s="37"/>
      <c r="D26" s="45"/>
      <c r="E26" s="40"/>
      <c r="F26" s="45"/>
    </row>
    <row r="27" spans="1:6" x14ac:dyDescent="0.25">
      <c r="A27" s="36" t="s">
        <v>53</v>
      </c>
      <c r="B27" s="46">
        <v>1090717</v>
      </c>
      <c r="C27" s="40">
        <v>36973</v>
      </c>
      <c r="D27" s="46">
        <f>SUM('P&amp;L''13 Thai'!H87-'Summary Thai'!D22)</f>
        <v>705879.92999999993</v>
      </c>
      <c r="E27" s="40">
        <f t="shared" si="0"/>
        <v>22430.24880838894</v>
      </c>
      <c r="F27" s="46">
        <f>SUM(E28*F11)</f>
        <v>27903.838161934989</v>
      </c>
    </row>
    <row r="28" spans="1:6" x14ac:dyDescent="0.25">
      <c r="A28" s="36" t="s">
        <v>7</v>
      </c>
      <c r="B28" s="48">
        <v>3.1E-2</v>
      </c>
      <c r="C28" s="42">
        <v>3.1E-2</v>
      </c>
      <c r="D28" s="48">
        <f>SUM(D27/D11)</f>
        <v>1.8602558774623325E-2</v>
      </c>
      <c r="E28" s="48">
        <f>SUM(E27/E11)</f>
        <v>1.8602558774623325E-2</v>
      </c>
      <c r="F28" s="48">
        <f>SUM(F27/F11)</f>
        <v>1.8602558774623325E-2</v>
      </c>
    </row>
    <row r="29" spans="1:6" x14ac:dyDescent="0.25">
      <c r="A29" s="36"/>
      <c r="B29" s="45"/>
      <c r="C29" s="37"/>
      <c r="D29" s="45"/>
      <c r="E29" s="40"/>
      <c r="F29" s="45"/>
    </row>
    <row r="30" spans="1:6" x14ac:dyDescent="0.25">
      <c r="A30" s="36" t="s">
        <v>54</v>
      </c>
      <c r="B30" s="46">
        <v>3129280</v>
      </c>
      <c r="C30" s="40">
        <v>106077</v>
      </c>
      <c r="D30" s="46">
        <f>SUM('P&amp;L''13 Thai'!H89)</f>
        <v>2874471.7</v>
      </c>
      <c r="E30" s="40">
        <f t="shared" si="0"/>
        <v>91340.060374960289</v>
      </c>
      <c r="F30" s="46">
        <f>SUM(E31*F11)</f>
        <v>113629.51361694356</v>
      </c>
    </row>
    <row r="31" spans="1:6" ht="15.75" thickBot="1" x14ac:dyDescent="0.3">
      <c r="A31" s="38" t="s">
        <v>55</v>
      </c>
      <c r="B31" s="49">
        <v>8.8999999999999996E-2</v>
      </c>
      <c r="C31" s="43">
        <v>8.8999999999999996E-2</v>
      </c>
      <c r="D31" s="49">
        <f>SUM(D30/D11)</f>
        <v>7.5753009077962355E-2</v>
      </c>
      <c r="E31" s="49">
        <f>SUM(E30/E11)</f>
        <v>7.5753009077962369E-2</v>
      </c>
      <c r="F31" s="49">
        <f>SUM(F30/F11)</f>
        <v>7.5753009077962369E-2</v>
      </c>
    </row>
    <row r="34" spans="2:6" x14ac:dyDescent="0.25">
      <c r="B34" s="32">
        <f>SUM(B11-B17-B24-B27)</f>
        <v>3129280</v>
      </c>
      <c r="C34" s="32">
        <f t="shared" ref="C34:F34" si="2">SUM(C11-C17-C24-C27)</f>
        <v>106077</v>
      </c>
      <c r="D34" s="32">
        <f t="shared" si="2"/>
        <v>2874471.700000002</v>
      </c>
      <c r="E34" s="32">
        <f t="shared" si="2"/>
        <v>91340.060374960187</v>
      </c>
      <c r="F34" s="32">
        <f t="shared" si="2"/>
        <v>113629.51361694362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selection activeCell="K14" sqref="K14"/>
    </sheetView>
  </sheetViews>
  <sheetFormatPr defaultRowHeight="15" x14ac:dyDescent="0.25"/>
  <cols>
    <col min="7" max="7" width="27.140625" customWidth="1"/>
    <col min="8" max="8" width="15.140625" customWidth="1"/>
  </cols>
  <sheetData>
    <row r="1" spans="1:9" ht="15.75" thickBot="1" x14ac:dyDescent="0.3">
      <c r="A1" s="77"/>
      <c r="B1" s="77"/>
      <c r="C1" s="77"/>
      <c r="D1" s="77"/>
      <c r="E1" s="77"/>
      <c r="F1" s="77"/>
      <c r="G1" s="77"/>
      <c r="H1" s="78" t="s">
        <v>56</v>
      </c>
      <c r="I1" s="79"/>
    </row>
    <row r="2" spans="1:9" ht="15.75" thickTop="1" x14ac:dyDescent="0.25">
      <c r="A2" s="80"/>
      <c r="B2" s="80" t="s">
        <v>57</v>
      </c>
      <c r="C2" s="80"/>
      <c r="D2" s="80"/>
      <c r="E2" s="80"/>
      <c r="F2" s="80"/>
      <c r="G2" s="80"/>
      <c r="H2" s="81"/>
    </row>
    <row r="3" spans="1:9" x14ac:dyDescent="0.25">
      <c r="A3" s="80"/>
      <c r="B3" s="80"/>
      <c r="C3" s="80"/>
      <c r="D3" s="80" t="s">
        <v>58</v>
      </c>
      <c r="E3" s="80"/>
      <c r="F3" s="80"/>
      <c r="G3" s="80"/>
      <c r="H3" s="81"/>
    </row>
    <row r="4" spans="1:9" x14ac:dyDescent="0.25">
      <c r="A4" s="80"/>
      <c r="B4" s="80"/>
      <c r="C4" s="80"/>
      <c r="D4" s="80"/>
      <c r="E4" s="80" t="s">
        <v>59</v>
      </c>
      <c r="F4" s="80"/>
      <c r="G4" s="80"/>
      <c r="H4" s="81"/>
    </row>
    <row r="5" spans="1:9" x14ac:dyDescent="0.25">
      <c r="A5" s="80"/>
      <c r="B5" s="80"/>
      <c r="C5" s="80"/>
      <c r="D5" s="80"/>
      <c r="E5" s="80"/>
      <c r="F5" s="80" t="s">
        <v>60</v>
      </c>
      <c r="G5" s="80"/>
      <c r="H5" s="81">
        <v>29240959.25</v>
      </c>
    </row>
    <row r="6" spans="1:9" x14ac:dyDescent="0.25">
      <c r="A6" s="80"/>
      <c r="B6" s="80"/>
      <c r="C6" s="80"/>
      <c r="D6" s="80"/>
      <c r="E6" s="80"/>
      <c r="F6" s="80" t="s">
        <v>61</v>
      </c>
      <c r="G6" s="80"/>
      <c r="H6" s="81">
        <v>7740542.0700000003</v>
      </c>
    </row>
    <row r="7" spans="1:9" x14ac:dyDescent="0.25">
      <c r="A7" s="80"/>
      <c r="B7" s="80"/>
      <c r="C7" s="80"/>
      <c r="D7" s="80"/>
      <c r="E7" s="80"/>
      <c r="F7" s="80" t="s">
        <v>62</v>
      </c>
      <c r="G7" s="80"/>
      <c r="H7" s="81">
        <v>424541.73</v>
      </c>
    </row>
    <row r="8" spans="1:9" x14ac:dyDescent="0.25">
      <c r="A8" s="80"/>
      <c r="B8" s="80"/>
      <c r="C8" s="80"/>
      <c r="D8" s="80"/>
      <c r="E8" s="80"/>
      <c r="F8" s="80" t="s">
        <v>63</v>
      </c>
      <c r="G8" s="80"/>
      <c r="H8" s="81">
        <v>199013.94</v>
      </c>
    </row>
    <row r="9" spans="1:9" x14ac:dyDescent="0.25">
      <c r="A9" s="80"/>
      <c r="B9" s="80"/>
      <c r="C9" s="80"/>
      <c r="D9" s="80"/>
      <c r="E9" s="80"/>
      <c r="F9" s="80" t="s">
        <v>64</v>
      </c>
      <c r="G9" s="80"/>
      <c r="H9" s="81">
        <v>-610957.85</v>
      </c>
    </row>
    <row r="10" spans="1:9" x14ac:dyDescent="0.25">
      <c r="A10" s="80"/>
      <c r="B10" s="80"/>
      <c r="C10" s="80"/>
      <c r="D10" s="80"/>
      <c r="E10" s="80"/>
      <c r="F10" s="80" t="s">
        <v>65</v>
      </c>
      <c r="G10" s="80"/>
      <c r="H10" s="81">
        <v>948258.68</v>
      </c>
    </row>
    <row r="11" spans="1:9" ht="15.75" thickBot="1" x14ac:dyDescent="0.3">
      <c r="A11" s="80"/>
      <c r="B11" s="80"/>
      <c r="C11" s="80"/>
      <c r="D11" s="80"/>
      <c r="E11" s="80"/>
      <c r="F11" s="80" t="s">
        <v>66</v>
      </c>
      <c r="G11" s="80"/>
      <c r="H11" s="82">
        <v>2955.97</v>
      </c>
    </row>
    <row r="12" spans="1:9" ht="15.75" thickBot="1" x14ac:dyDescent="0.3">
      <c r="A12" s="80"/>
      <c r="B12" s="80"/>
      <c r="C12" s="80"/>
      <c r="D12" s="80"/>
      <c r="E12" s="80" t="s">
        <v>67</v>
      </c>
      <c r="F12" s="80"/>
      <c r="G12" s="80"/>
      <c r="H12" s="83">
        <f>ROUND(SUM(H4:H11),5)</f>
        <v>37945313.789999999</v>
      </c>
    </row>
    <row r="13" spans="1:9" x14ac:dyDescent="0.25">
      <c r="A13" s="80"/>
      <c r="B13" s="80"/>
      <c r="C13" s="80"/>
      <c r="D13" s="80" t="s">
        <v>68</v>
      </c>
      <c r="E13" s="80"/>
      <c r="F13" s="80"/>
      <c r="G13" s="80"/>
      <c r="H13" s="81">
        <f>ROUND(H3+H12,5)</f>
        <v>37945313.789999999</v>
      </c>
    </row>
    <row r="14" spans="1:9" x14ac:dyDescent="0.25">
      <c r="A14" s="80"/>
      <c r="B14" s="80"/>
      <c r="C14" s="80"/>
      <c r="D14" s="80" t="s">
        <v>69</v>
      </c>
      <c r="E14" s="80"/>
      <c r="F14" s="80"/>
      <c r="G14" s="80"/>
      <c r="H14" s="81"/>
    </row>
    <row r="15" spans="1:9" x14ac:dyDescent="0.25">
      <c r="A15" s="80"/>
      <c r="B15" s="80"/>
      <c r="C15" s="80"/>
      <c r="D15" s="80"/>
      <c r="E15" s="80" t="s">
        <v>70</v>
      </c>
      <c r="F15" s="80"/>
      <c r="G15" s="80"/>
      <c r="H15" s="81">
        <v>0</v>
      </c>
    </row>
    <row r="16" spans="1:9" x14ac:dyDescent="0.25">
      <c r="A16" s="80"/>
      <c r="B16" s="80"/>
      <c r="C16" s="80"/>
      <c r="D16" s="80"/>
      <c r="E16" s="80" t="s">
        <v>71</v>
      </c>
      <c r="F16" s="80"/>
      <c r="G16" s="80"/>
      <c r="H16" s="81"/>
    </row>
    <row r="17" spans="1:8" x14ac:dyDescent="0.25">
      <c r="A17" s="80"/>
      <c r="B17" s="80"/>
      <c r="C17" s="80"/>
      <c r="D17" s="80"/>
      <c r="E17" s="80"/>
      <c r="F17" s="80" t="s">
        <v>72</v>
      </c>
      <c r="G17" s="80"/>
      <c r="H17" s="81">
        <v>4320</v>
      </c>
    </row>
    <row r="18" spans="1:8" x14ac:dyDescent="0.25">
      <c r="A18" s="80"/>
      <c r="B18" s="80"/>
      <c r="C18" s="80"/>
      <c r="D18" s="80"/>
      <c r="E18" s="80"/>
      <c r="F18" s="80" t="s">
        <v>73</v>
      </c>
      <c r="G18" s="80"/>
      <c r="H18" s="81">
        <v>23717602.640000001</v>
      </c>
    </row>
    <row r="19" spans="1:8" x14ac:dyDescent="0.25">
      <c r="A19" s="80"/>
      <c r="B19" s="80"/>
      <c r="C19" s="80"/>
      <c r="D19" s="80"/>
      <c r="E19" s="80"/>
      <c r="F19" s="80" t="s">
        <v>74</v>
      </c>
      <c r="G19" s="80"/>
      <c r="H19" s="81">
        <v>860198</v>
      </c>
    </row>
    <row r="20" spans="1:8" x14ac:dyDescent="0.25">
      <c r="A20" s="80"/>
      <c r="B20" s="80"/>
      <c r="C20" s="80"/>
      <c r="D20" s="80"/>
      <c r="E20" s="80"/>
      <c r="F20" s="80" t="s">
        <v>75</v>
      </c>
      <c r="G20" s="80"/>
      <c r="H20" s="81"/>
    </row>
    <row r="21" spans="1:8" x14ac:dyDescent="0.25">
      <c r="A21" s="80"/>
      <c r="B21" s="80"/>
      <c r="C21" s="80"/>
      <c r="D21" s="80"/>
      <c r="E21" s="80"/>
      <c r="F21" s="80"/>
      <c r="G21" s="80" t="s">
        <v>76</v>
      </c>
      <c r="H21" s="81">
        <v>16342</v>
      </c>
    </row>
    <row r="22" spans="1:8" x14ac:dyDescent="0.25">
      <c r="A22" s="80"/>
      <c r="B22" s="80"/>
      <c r="C22" s="80"/>
      <c r="D22" s="80"/>
      <c r="E22" s="80"/>
      <c r="F22" s="80"/>
      <c r="G22" s="80" t="s">
        <v>77</v>
      </c>
      <c r="H22" s="81">
        <v>650</v>
      </c>
    </row>
    <row r="23" spans="1:8" ht="15.75" thickBot="1" x14ac:dyDescent="0.3">
      <c r="A23" s="80"/>
      <c r="B23" s="80"/>
      <c r="C23" s="80"/>
      <c r="D23" s="80"/>
      <c r="E23" s="80"/>
      <c r="F23" s="80"/>
      <c r="G23" s="80" t="s">
        <v>78</v>
      </c>
      <c r="H23" s="84">
        <v>4861</v>
      </c>
    </row>
    <row r="24" spans="1:8" x14ac:dyDescent="0.25">
      <c r="A24" s="80"/>
      <c r="B24" s="80"/>
      <c r="C24" s="80"/>
      <c r="D24" s="80"/>
      <c r="E24" s="80"/>
      <c r="F24" s="80" t="s">
        <v>79</v>
      </c>
      <c r="G24" s="80"/>
      <c r="H24" s="81">
        <f>ROUND(SUM(H20:H23),5)</f>
        <v>21853</v>
      </c>
    </row>
    <row r="25" spans="1:8" x14ac:dyDescent="0.25">
      <c r="A25" s="80"/>
      <c r="B25" s="80"/>
      <c r="C25" s="80"/>
      <c r="D25" s="80"/>
      <c r="E25" s="80"/>
      <c r="F25" s="80" t="s">
        <v>80</v>
      </c>
      <c r="G25" s="80"/>
      <c r="H25" s="81">
        <v>7486686.5099999998</v>
      </c>
    </row>
    <row r="26" spans="1:8" x14ac:dyDescent="0.25">
      <c r="A26" s="80"/>
      <c r="B26" s="80"/>
      <c r="C26" s="80"/>
      <c r="D26" s="80"/>
      <c r="E26" s="80"/>
      <c r="F26" s="80" t="s">
        <v>81</v>
      </c>
      <c r="G26" s="80"/>
      <c r="H26" s="81">
        <v>11400</v>
      </c>
    </row>
    <row r="27" spans="1:8" x14ac:dyDescent="0.25">
      <c r="A27" s="80"/>
      <c r="B27" s="80"/>
      <c r="C27" s="80"/>
      <c r="D27" s="80"/>
      <c r="E27" s="80"/>
      <c r="F27" s="80" t="s">
        <v>82</v>
      </c>
      <c r="G27" s="80"/>
      <c r="H27" s="81">
        <v>67751</v>
      </c>
    </row>
    <row r="28" spans="1:8" x14ac:dyDescent="0.25">
      <c r="A28" s="80"/>
      <c r="B28" s="80"/>
      <c r="C28" s="80"/>
      <c r="D28" s="80"/>
      <c r="E28" s="80"/>
      <c r="F28" s="80" t="s">
        <v>83</v>
      </c>
      <c r="G28" s="80"/>
      <c r="H28" s="81">
        <v>558036.15</v>
      </c>
    </row>
    <row r="29" spans="1:8" x14ac:dyDescent="0.25">
      <c r="A29" s="80"/>
      <c r="B29" s="80"/>
      <c r="C29" s="80"/>
      <c r="D29" s="80"/>
      <c r="E29" s="80"/>
      <c r="F29" s="80" t="s">
        <v>84</v>
      </c>
      <c r="G29" s="80"/>
      <c r="H29" s="81">
        <v>1032</v>
      </c>
    </row>
    <row r="30" spans="1:8" x14ac:dyDescent="0.25">
      <c r="A30" s="80"/>
      <c r="B30" s="80"/>
      <c r="C30" s="80"/>
      <c r="D30" s="80"/>
      <c r="E30" s="80"/>
      <c r="F30" s="80" t="s">
        <v>85</v>
      </c>
      <c r="G30" s="80"/>
      <c r="H30" s="81">
        <v>3390</v>
      </c>
    </row>
    <row r="31" spans="1:8" ht="15.75" thickBot="1" x14ac:dyDescent="0.3">
      <c r="A31" s="80"/>
      <c r="B31" s="80"/>
      <c r="C31" s="80"/>
      <c r="D31" s="80"/>
      <c r="E31" s="80"/>
      <c r="F31" s="80" t="s">
        <v>86</v>
      </c>
      <c r="G31" s="80"/>
      <c r="H31" s="82">
        <v>311450</v>
      </c>
    </row>
    <row r="32" spans="1:8" ht="15.75" thickBot="1" x14ac:dyDescent="0.3">
      <c r="A32" s="80"/>
      <c r="B32" s="80"/>
      <c r="C32" s="80"/>
      <c r="D32" s="80"/>
      <c r="E32" s="80" t="s">
        <v>87</v>
      </c>
      <c r="F32" s="80"/>
      <c r="G32" s="80"/>
      <c r="H32" s="85">
        <f>ROUND(SUM(H16:H19)+SUM(H24:H31),5)</f>
        <v>33043719.300000001</v>
      </c>
    </row>
    <row r="33" spans="1:8" ht="15.75" thickBot="1" x14ac:dyDescent="0.3">
      <c r="A33" s="80"/>
      <c r="B33" s="80"/>
      <c r="C33" s="80"/>
      <c r="D33" s="80" t="s">
        <v>88</v>
      </c>
      <c r="E33" s="80"/>
      <c r="F33" s="80"/>
      <c r="G33" s="80"/>
      <c r="H33" s="83">
        <f>ROUND(SUM(H14:H15)+H32,5)</f>
        <v>33043719.300000001</v>
      </c>
    </row>
    <row r="34" spans="1:8" x14ac:dyDescent="0.25">
      <c r="A34" s="80"/>
      <c r="B34" s="80"/>
      <c r="C34" s="80" t="s">
        <v>89</v>
      </c>
      <c r="D34" s="80"/>
      <c r="E34" s="80"/>
      <c r="F34" s="80"/>
      <c r="G34" s="80"/>
      <c r="H34" s="81">
        <f>ROUND(H13-H33,5)</f>
        <v>4901594.49</v>
      </c>
    </row>
    <row r="35" spans="1:8" x14ac:dyDescent="0.25">
      <c r="A35" s="80"/>
      <c r="B35" s="80"/>
      <c r="C35" s="80"/>
      <c r="D35" s="80" t="s">
        <v>90</v>
      </c>
      <c r="E35" s="80"/>
      <c r="F35" s="80"/>
      <c r="G35" s="80"/>
      <c r="H35" s="81"/>
    </row>
    <row r="36" spans="1:8" x14ac:dyDescent="0.25">
      <c r="A36" s="80"/>
      <c r="B36" s="80"/>
      <c r="C36" s="80"/>
      <c r="D36" s="80"/>
      <c r="E36" s="80" t="s">
        <v>91</v>
      </c>
      <c r="F36" s="80"/>
      <c r="G36" s="80"/>
      <c r="H36" s="81"/>
    </row>
    <row r="37" spans="1:8" x14ac:dyDescent="0.25">
      <c r="A37" s="80"/>
      <c r="B37" s="80"/>
      <c r="C37" s="80"/>
      <c r="D37" s="80"/>
      <c r="E37" s="80"/>
      <c r="F37" s="80" t="s">
        <v>92</v>
      </c>
      <c r="G37" s="80"/>
      <c r="H37" s="81">
        <v>260</v>
      </c>
    </row>
    <row r="38" spans="1:8" x14ac:dyDescent="0.25">
      <c r="A38" s="80"/>
      <c r="B38" s="80"/>
      <c r="C38" s="80"/>
      <c r="D38" s="80"/>
      <c r="E38" s="80"/>
      <c r="F38" s="80" t="s">
        <v>93</v>
      </c>
      <c r="G38" s="80"/>
      <c r="H38" s="81"/>
    </row>
    <row r="39" spans="1:8" x14ac:dyDescent="0.25">
      <c r="A39" s="80"/>
      <c r="B39" s="80"/>
      <c r="C39" s="80"/>
      <c r="D39" s="80"/>
      <c r="E39" s="80"/>
      <c r="F39" s="80"/>
      <c r="G39" s="80" t="s">
        <v>94</v>
      </c>
      <c r="H39" s="81">
        <v>7201</v>
      </c>
    </row>
    <row r="40" spans="1:8" ht="15.75" thickBot="1" x14ac:dyDescent="0.3">
      <c r="A40" s="80"/>
      <c r="B40" s="80"/>
      <c r="C40" s="80"/>
      <c r="D40" s="80"/>
      <c r="E40" s="80"/>
      <c r="F40" s="80"/>
      <c r="G40" s="80" t="s">
        <v>95</v>
      </c>
      <c r="H40" s="84">
        <v>55000</v>
      </c>
    </row>
    <row r="41" spans="1:8" x14ac:dyDescent="0.25">
      <c r="A41" s="80"/>
      <c r="B41" s="80"/>
      <c r="C41" s="80"/>
      <c r="D41" s="80"/>
      <c r="E41" s="80"/>
      <c r="F41" s="80" t="s">
        <v>96</v>
      </c>
      <c r="G41" s="80"/>
      <c r="H41" s="81">
        <f>ROUND(SUM(H38:H40),5)</f>
        <v>62201</v>
      </c>
    </row>
    <row r="42" spans="1:8" x14ac:dyDescent="0.25">
      <c r="A42" s="80"/>
      <c r="B42" s="80"/>
      <c r="C42" s="80"/>
      <c r="D42" s="80"/>
      <c r="E42" s="80"/>
      <c r="F42" s="80" t="s">
        <v>97</v>
      </c>
      <c r="G42" s="80"/>
      <c r="H42" s="81"/>
    </row>
    <row r="43" spans="1:8" x14ac:dyDescent="0.25">
      <c r="A43" s="80"/>
      <c r="B43" s="80"/>
      <c r="C43" s="80"/>
      <c r="D43" s="80"/>
      <c r="E43" s="80"/>
      <c r="F43" s="80"/>
      <c r="G43" s="80" t="s">
        <v>98</v>
      </c>
      <c r="H43" s="81">
        <v>3640</v>
      </c>
    </row>
    <row r="44" spans="1:8" ht="15.75" thickBot="1" x14ac:dyDescent="0.3">
      <c r="A44" s="80"/>
      <c r="B44" s="80"/>
      <c r="C44" s="80"/>
      <c r="D44" s="80"/>
      <c r="E44" s="80"/>
      <c r="F44" s="80"/>
      <c r="G44" s="80" t="s">
        <v>99</v>
      </c>
      <c r="H44" s="84">
        <v>920</v>
      </c>
    </row>
    <row r="45" spans="1:8" x14ac:dyDescent="0.25">
      <c r="A45" s="80"/>
      <c r="B45" s="80"/>
      <c r="C45" s="80"/>
      <c r="D45" s="80"/>
      <c r="E45" s="80"/>
      <c r="F45" s="80" t="s">
        <v>100</v>
      </c>
      <c r="G45" s="80"/>
      <c r="H45" s="81">
        <f>ROUND(SUM(H42:H44),5)</f>
        <v>4560</v>
      </c>
    </row>
    <row r="46" spans="1:8" x14ac:dyDescent="0.25">
      <c r="A46" s="80"/>
      <c r="B46" s="80"/>
      <c r="C46" s="80"/>
      <c r="D46" s="80"/>
      <c r="E46" s="80"/>
      <c r="F46" s="80" t="s">
        <v>101</v>
      </c>
      <c r="G46" s="80"/>
      <c r="H46" s="81"/>
    </row>
    <row r="47" spans="1:8" ht="15.75" thickBot="1" x14ac:dyDescent="0.3">
      <c r="A47" s="80"/>
      <c r="B47" s="80"/>
      <c r="C47" s="80"/>
      <c r="D47" s="80"/>
      <c r="E47" s="80"/>
      <c r="F47" s="80"/>
      <c r="G47" s="80" t="s">
        <v>102</v>
      </c>
      <c r="H47" s="84">
        <v>32623.49</v>
      </c>
    </row>
    <row r="48" spans="1:8" x14ac:dyDescent="0.25">
      <c r="A48" s="80"/>
      <c r="B48" s="80"/>
      <c r="C48" s="80"/>
      <c r="D48" s="80"/>
      <c r="E48" s="80"/>
      <c r="F48" s="80" t="s">
        <v>103</v>
      </c>
      <c r="G48" s="80"/>
      <c r="H48" s="81">
        <f>ROUND(SUM(H46:H47),5)</f>
        <v>32623.49</v>
      </c>
    </row>
    <row r="49" spans="1:8" x14ac:dyDescent="0.25">
      <c r="A49" s="80"/>
      <c r="B49" s="80"/>
      <c r="C49" s="80"/>
      <c r="D49" s="80"/>
      <c r="E49" s="80"/>
      <c r="F49" s="80" t="s">
        <v>104</v>
      </c>
      <c r="G49" s="80"/>
      <c r="H49" s="81"/>
    </row>
    <row r="50" spans="1:8" x14ac:dyDescent="0.25">
      <c r="A50" s="80"/>
      <c r="B50" s="80"/>
      <c r="C50" s="80"/>
      <c r="D50" s="80"/>
      <c r="E50" s="80"/>
      <c r="F50" s="80"/>
      <c r="G50" s="80" t="s">
        <v>105</v>
      </c>
      <c r="H50" s="81">
        <v>920</v>
      </c>
    </row>
    <row r="51" spans="1:8" x14ac:dyDescent="0.25">
      <c r="A51" s="80"/>
      <c r="B51" s="80"/>
      <c r="C51" s="80"/>
      <c r="D51" s="80"/>
      <c r="E51" s="80"/>
      <c r="F51" s="80"/>
      <c r="G51" s="80" t="s">
        <v>106</v>
      </c>
      <c r="H51" s="81">
        <v>10840</v>
      </c>
    </row>
    <row r="52" spans="1:8" x14ac:dyDescent="0.25">
      <c r="A52" s="80"/>
      <c r="B52" s="80"/>
      <c r="C52" s="80"/>
      <c r="D52" s="80"/>
      <c r="E52" s="80"/>
      <c r="F52" s="80"/>
      <c r="G52" s="80" t="s">
        <v>107</v>
      </c>
      <c r="H52" s="81">
        <v>8150.24</v>
      </c>
    </row>
    <row r="53" spans="1:8" x14ac:dyDescent="0.25">
      <c r="A53" s="80"/>
      <c r="B53" s="80"/>
      <c r="C53" s="80"/>
      <c r="D53" s="80"/>
      <c r="E53" s="80"/>
      <c r="F53" s="80"/>
      <c r="G53" s="80" t="s">
        <v>108</v>
      </c>
      <c r="H53" s="81">
        <v>30600</v>
      </c>
    </row>
    <row r="54" spans="1:8" x14ac:dyDescent="0.25">
      <c r="A54" s="80"/>
      <c r="B54" s="80"/>
      <c r="C54" s="80"/>
      <c r="D54" s="80"/>
      <c r="E54" s="80"/>
      <c r="F54" s="80"/>
      <c r="G54" s="80" t="s">
        <v>109</v>
      </c>
      <c r="H54" s="81">
        <v>270</v>
      </c>
    </row>
    <row r="55" spans="1:8" x14ac:dyDescent="0.25">
      <c r="A55" s="80"/>
      <c r="B55" s="80"/>
      <c r="C55" s="80"/>
      <c r="D55" s="80"/>
      <c r="E55" s="80"/>
      <c r="F55" s="80"/>
      <c r="G55" s="80" t="s">
        <v>110</v>
      </c>
      <c r="H55" s="81">
        <v>16759.5</v>
      </c>
    </row>
    <row r="56" spans="1:8" x14ac:dyDescent="0.25">
      <c r="A56" s="80"/>
      <c r="B56" s="80"/>
      <c r="C56" s="80"/>
      <c r="D56" s="80"/>
      <c r="E56" s="80"/>
      <c r="F56" s="80"/>
      <c r="G56" s="80" t="s">
        <v>111</v>
      </c>
      <c r="H56" s="81">
        <v>17000</v>
      </c>
    </row>
    <row r="57" spans="1:8" x14ac:dyDescent="0.25">
      <c r="A57" s="80"/>
      <c r="B57" s="80"/>
      <c r="C57" s="80"/>
      <c r="D57" s="80"/>
      <c r="E57" s="80"/>
      <c r="F57" s="80"/>
      <c r="G57" s="80" t="s">
        <v>112</v>
      </c>
      <c r="H57" s="81">
        <v>1000</v>
      </c>
    </row>
    <row r="58" spans="1:8" x14ac:dyDescent="0.25">
      <c r="A58" s="80"/>
      <c r="B58" s="80"/>
      <c r="C58" s="80"/>
      <c r="D58" s="80"/>
      <c r="E58" s="80"/>
      <c r="F58" s="80"/>
      <c r="G58" s="80" t="s">
        <v>113</v>
      </c>
      <c r="H58" s="81">
        <v>1290</v>
      </c>
    </row>
    <row r="59" spans="1:8" x14ac:dyDescent="0.25">
      <c r="A59" s="80"/>
      <c r="B59" s="80"/>
      <c r="C59" s="80"/>
      <c r="D59" s="80"/>
      <c r="E59" s="80"/>
      <c r="F59" s="80"/>
      <c r="G59" s="80" t="s">
        <v>114</v>
      </c>
      <c r="H59" s="81">
        <v>6464</v>
      </c>
    </row>
    <row r="60" spans="1:8" ht="15.75" thickBot="1" x14ac:dyDescent="0.3">
      <c r="A60" s="80"/>
      <c r="B60" s="80"/>
      <c r="C60" s="80"/>
      <c r="D60" s="80"/>
      <c r="E60" s="80"/>
      <c r="F60" s="80"/>
      <c r="G60" s="80" t="s">
        <v>115</v>
      </c>
      <c r="H60" s="84">
        <v>7380.45</v>
      </c>
    </row>
    <row r="61" spans="1:8" x14ac:dyDescent="0.25">
      <c r="A61" s="80"/>
      <c r="B61" s="80"/>
      <c r="C61" s="80"/>
      <c r="D61" s="80"/>
      <c r="E61" s="80"/>
      <c r="F61" s="80" t="s">
        <v>116</v>
      </c>
      <c r="G61" s="80"/>
      <c r="H61" s="81">
        <f>ROUND(SUM(H49:H60),5)</f>
        <v>100674.19</v>
      </c>
    </row>
    <row r="62" spans="1:8" x14ac:dyDescent="0.25">
      <c r="A62" s="80"/>
      <c r="B62" s="80"/>
      <c r="C62" s="80"/>
      <c r="D62" s="80"/>
      <c r="E62" s="80"/>
      <c r="F62" s="80" t="s">
        <v>117</v>
      </c>
      <c r="G62" s="80"/>
      <c r="H62" s="81"/>
    </row>
    <row r="63" spans="1:8" x14ac:dyDescent="0.25">
      <c r="A63" s="80"/>
      <c r="B63" s="80"/>
      <c r="C63" s="80"/>
      <c r="D63" s="80"/>
      <c r="E63" s="80"/>
      <c r="F63" s="80"/>
      <c r="G63" s="80" t="s">
        <v>118</v>
      </c>
      <c r="H63" s="81">
        <v>1276230</v>
      </c>
    </row>
    <row r="64" spans="1:8" x14ac:dyDescent="0.25">
      <c r="A64" s="80"/>
      <c r="B64" s="80"/>
      <c r="C64" s="80"/>
      <c r="D64" s="80"/>
      <c r="E64" s="80"/>
      <c r="F64" s="80"/>
      <c r="G64" s="80" t="s">
        <v>119</v>
      </c>
      <c r="H64" s="81">
        <v>25067</v>
      </c>
    </row>
    <row r="65" spans="1:8" ht="15.75" thickBot="1" x14ac:dyDescent="0.3">
      <c r="A65" s="80"/>
      <c r="B65" s="80"/>
      <c r="C65" s="80"/>
      <c r="D65" s="80"/>
      <c r="E65" s="80"/>
      <c r="F65" s="80"/>
      <c r="G65" s="80" t="s">
        <v>120</v>
      </c>
      <c r="H65" s="84">
        <v>19945.86</v>
      </c>
    </row>
    <row r="66" spans="1:8" x14ac:dyDescent="0.25">
      <c r="A66" s="80"/>
      <c r="B66" s="80"/>
      <c r="C66" s="80"/>
      <c r="D66" s="80"/>
      <c r="E66" s="80"/>
      <c r="F66" s="80" t="s">
        <v>121</v>
      </c>
      <c r="G66" s="80"/>
      <c r="H66" s="81">
        <f>ROUND(SUM(H62:H65),5)</f>
        <v>1321242.8600000001</v>
      </c>
    </row>
    <row r="67" spans="1:8" x14ac:dyDescent="0.25">
      <c r="A67" s="80"/>
      <c r="B67" s="80"/>
      <c r="C67" s="80"/>
      <c r="D67" s="80"/>
      <c r="E67" s="80"/>
      <c r="F67" s="80" t="s">
        <v>122</v>
      </c>
      <c r="G67" s="80"/>
      <c r="H67" s="81"/>
    </row>
    <row r="68" spans="1:8" x14ac:dyDescent="0.25">
      <c r="A68" s="80"/>
      <c r="B68" s="80"/>
      <c r="C68" s="80"/>
      <c r="D68" s="80"/>
      <c r="E68" s="80"/>
      <c r="F68" s="80"/>
      <c r="G68" s="80" t="s">
        <v>123</v>
      </c>
      <c r="H68" s="81">
        <v>29543.02</v>
      </c>
    </row>
    <row r="69" spans="1:8" ht="15.75" thickBot="1" x14ac:dyDescent="0.3">
      <c r="A69" s="80"/>
      <c r="B69" s="80"/>
      <c r="C69" s="80"/>
      <c r="D69" s="80"/>
      <c r="E69" s="80"/>
      <c r="F69" s="80"/>
      <c r="G69" s="80" t="s">
        <v>124</v>
      </c>
      <c r="H69" s="84">
        <v>150</v>
      </c>
    </row>
    <row r="70" spans="1:8" x14ac:dyDescent="0.25">
      <c r="A70" s="80"/>
      <c r="B70" s="80"/>
      <c r="C70" s="80"/>
      <c r="D70" s="80"/>
      <c r="E70" s="80"/>
      <c r="F70" s="80" t="s">
        <v>125</v>
      </c>
      <c r="G70" s="80"/>
      <c r="H70" s="81">
        <f>ROUND(SUM(H67:H69),5)</f>
        <v>29693.02</v>
      </c>
    </row>
    <row r="71" spans="1:8" x14ac:dyDescent="0.25">
      <c r="A71" s="80"/>
      <c r="B71" s="80"/>
      <c r="C71" s="80"/>
      <c r="D71" s="80"/>
      <c r="E71" s="80"/>
      <c r="F71" s="80" t="s">
        <v>126</v>
      </c>
      <c r="G71" s="80"/>
      <c r="H71" s="81"/>
    </row>
    <row r="72" spans="1:8" ht="15.75" thickBot="1" x14ac:dyDescent="0.3">
      <c r="A72" s="80"/>
      <c r="B72" s="80"/>
      <c r="C72" s="80"/>
      <c r="D72" s="80"/>
      <c r="E72" s="80"/>
      <c r="F72" s="80"/>
      <c r="G72" s="80" t="s">
        <v>127</v>
      </c>
      <c r="H72" s="84">
        <v>11980</v>
      </c>
    </row>
    <row r="73" spans="1:8" x14ac:dyDescent="0.25">
      <c r="A73" s="80"/>
      <c r="B73" s="80"/>
      <c r="C73" s="80"/>
      <c r="D73" s="80"/>
      <c r="E73" s="80"/>
      <c r="F73" s="80" t="s">
        <v>128</v>
      </c>
      <c r="G73" s="80"/>
      <c r="H73" s="81">
        <f>ROUND(SUM(H71:H72),5)</f>
        <v>11980</v>
      </c>
    </row>
    <row r="74" spans="1:8" x14ac:dyDescent="0.25">
      <c r="A74" s="80"/>
      <c r="B74" s="80"/>
      <c r="C74" s="80"/>
      <c r="D74" s="80"/>
      <c r="E74" s="80"/>
      <c r="F74" s="80" t="s">
        <v>129</v>
      </c>
      <c r="G74" s="80"/>
      <c r="H74" s="81"/>
    </row>
    <row r="75" spans="1:8" x14ac:dyDescent="0.25">
      <c r="A75" s="80"/>
      <c r="B75" s="80"/>
      <c r="C75" s="80"/>
      <c r="D75" s="80"/>
      <c r="E75" s="80"/>
      <c r="F75" s="80"/>
      <c r="G75" s="80" t="s">
        <v>130</v>
      </c>
      <c r="H75" s="81">
        <v>16746.55</v>
      </c>
    </row>
    <row r="76" spans="1:8" x14ac:dyDescent="0.25">
      <c r="A76" s="80"/>
      <c r="B76" s="80"/>
      <c r="C76" s="80"/>
      <c r="D76" s="80"/>
      <c r="E76" s="80"/>
      <c r="F76" s="80"/>
      <c r="G76" s="80" t="s">
        <v>131</v>
      </c>
      <c r="H76" s="81">
        <v>42885.77</v>
      </c>
    </row>
    <row r="77" spans="1:8" x14ac:dyDescent="0.25">
      <c r="A77" s="80"/>
      <c r="B77" s="80"/>
      <c r="C77" s="80"/>
      <c r="D77" s="80"/>
      <c r="E77" s="80"/>
      <c r="F77" s="80"/>
      <c r="G77" s="80" t="s">
        <v>132</v>
      </c>
      <c r="H77" s="81">
        <v>6163.4</v>
      </c>
    </row>
    <row r="78" spans="1:8" ht="15.75" thickBot="1" x14ac:dyDescent="0.3">
      <c r="A78" s="80"/>
      <c r="B78" s="80"/>
      <c r="C78" s="80"/>
      <c r="D78" s="80"/>
      <c r="E78" s="80"/>
      <c r="F78" s="80"/>
      <c r="G78" s="80" t="s">
        <v>133</v>
      </c>
      <c r="H78" s="84">
        <v>377368.45</v>
      </c>
    </row>
    <row r="79" spans="1:8" x14ac:dyDescent="0.25">
      <c r="A79" s="80"/>
      <c r="B79" s="80"/>
      <c r="C79" s="80"/>
      <c r="D79" s="80"/>
      <c r="E79" s="80"/>
      <c r="F79" s="80" t="s">
        <v>134</v>
      </c>
      <c r="G79" s="80"/>
      <c r="H79" s="81">
        <f>ROUND(SUM(H74:H78),5)</f>
        <v>443164.17</v>
      </c>
    </row>
    <row r="80" spans="1:8" ht="15.75" thickBot="1" x14ac:dyDescent="0.3">
      <c r="A80" s="80"/>
      <c r="B80" s="80"/>
      <c r="C80" s="80"/>
      <c r="D80" s="80"/>
      <c r="E80" s="80"/>
      <c r="F80" s="80" t="s">
        <v>135</v>
      </c>
      <c r="G80" s="80"/>
      <c r="H80" s="84">
        <v>5467.32</v>
      </c>
    </row>
    <row r="81" spans="1:9" x14ac:dyDescent="0.25">
      <c r="A81" s="80"/>
      <c r="B81" s="80"/>
      <c r="C81" s="80"/>
      <c r="D81" s="80"/>
      <c r="E81" s="80" t="s">
        <v>136</v>
      </c>
      <c r="F81" s="80"/>
      <c r="G81" s="80"/>
      <c r="H81" s="81">
        <f>ROUND(SUM(H36:H37)+H41+H45+H48+H61+H66+H70+H73+SUM(H79:H80),5)</f>
        <v>2011866.05</v>
      </c>
    </row>
    <row r="82" spans="1:9" x14ac:dyDescent="0.25">
      <c r="A82" s="80"/>
      <c r="B82" s="80"/>
      <c r="C82" s="80"/>
      <c r="D82" s="80"/>
      <c r="E82" s="80" t="s">
        <v>137</v>
      </c>
      <c r="F82" s="80"/>
      <c r="G82" s="80"/>
      <c r="H82" s="81"/>
    </row>
    <row r="83" spans="1:9" x14ac:dyDescent="0.25">
      <c r="A83" s="80"/>
      <c r="B83" s="80"/>
      <c r="C83" s="80"/>
      <c r="D83" s="80"/>
      <c r="E83" s="80"/>
      <c r="F83" s="80" t="s">
        <v>138</v>
      </c>
      <c r="G83" s="80"/>
      <c r="H83" s="81">
        <v>2200.5</v>
      </c>
    </row>
    <row r="84" spans="1:9" x14ac:dyDescent="0.25">
      <c r="A84" s="80"/>
      <c r="B84" s="80"/>
      <c r="C84" s="80"/>
      <c r="D84" s="80"/>
      <c r="E84" s="80"/>
      <c r="F84" s="80" t="s">
        <v>139</v>
      </c>
      <c r="G84" s="80"/>
      <c r="H84" s="81">
        <v>-0.89</v>
      </c>
    </row>
    <row r="85" spans="1:9" ht="15.75" thickBot="1" x14ac:dyDescent="0.3">
      <c r="A85" s="80"/>
      <c r="B85" s="80"/>
      <c r="C85" s="80"/>
      <c r="D85" s="80"/>
      <c r="E85" s="80"/>
      <c r="F85" s="80" t="s">
        <v>140</v>
      </c>
      <c r="G85" s="80"/>
      <c r="H85" s="82">
        <v>13057.13</v>
      </c>
    </row>
    <row r="86" spans="1:9" ht="15.75" thickBot="1" x14ac:dyDescent="0.3">
      <c r="A86" s="80"/>
      <c r="B86" s="80"/>
      <c r="C86" s="80"/>
      <c r="D86" s="80"/>
      <c r="E86" s="80" t="s">
        <v>141</v>
      </c>
      <c r="F86" s="80"/>
      <c r="G86" s="80"/>
      <c r="H86" s="85">
        <f>ROUND(SUM(H82:H85),5)</f>
        <v>15256.74</v>
      </c>
    </row>
    <row r="87" spans="1:9" ht="15.75" thickBot="1" x14ac:dyDescent="0.3">
      <c r="A87" s="80"/>
      <c r="B87" s="80"/>
      <c r="C87" s="80"/>
      <c r="D87" s="80" t="s">
        <v>142</v>
      </c>
      <c r="E87" s="80"/>
      <c r="F87" s="80"/>
      <c r="G87" s="80"/>
      <c r="H87" s="85">
        <f>ROUND(H35+H81+H86,5)</f>
        <v>2027122.79</v>
      </c>
    </row>
    <row r="88" spans="1:9" ht="15.75" thickBot="1" x14ac:dyDescent="0.3">
      <c r="A88" s="80"/>
      <c r="B88" s="80" t="s">
        <v>143</v>
      </c>
      <c r="C88" s="80"/>
      <c r="D88" s="80"/>
      <c r="E88" s="80"/>
      <c r="F88" s="80"/>
      <c r="G88" s="80"/>
      <c r="H88" s="85">
        <f>ROUND(H2+H34-H87,5)</f>
        <v>2874471.7</v>
      </c>
    </row>
    <row r="89" spans="1:9" ht="15.75" thickBot="1" x14ac:dyDescent="0.3">
      <c r="A89" s="80" t="s">
        <v>144</v>
      </c>
      <c r="B89" s="80"/>
      <c r="C89" s="80"/>
      <c r="D89" s="80"/>
      <c r="E89" s="80"/>
      <c r="F89" s="80"/>
      <c r="G89" s="80"/>
      <c r="H89" s="86">
        <f>H88</f>
        <v>2874471.7</v>
      </c>
      <c r="I89" s="87"/>
    </row>
    <row r="90" spans="1:9" ht="15.75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90"/>
  <sheetViews>
    <sheetView workbookViewId="0">
      <selection activeCell="L15" sqref="L15"/>
    </sheetView>
  </sheetViews>
  <sheetFormatPr defaultRowHeight="15" x14ac:dyDescent="0.25"/>
  <cols>
    <col min="7" max="7" width="41.140625" customWidth="1"/>
    <col min="8" max="8" width="22.140625" customWidth="1"/>
  </cols>
  <sheetData>
    <row r="1" spans="1:9" ht="15.75" thickBot="1" x14ac:dyDescent="0.3">
      <c r="A1" s="77"/>
      <c r="B1" s="77"/>
      <c r="C1" s="77"/>
      <c r="D1" s="77"/>
      <c r="E1" s="77"/>
      <c r="F1" s="77"/>
      <c r="G1" s="77"/>
      <c r="H1" s="78" t="s">
        <v>56</v>
      </c>
      <c r="I1" s="79"/>
    </row>
    <row r="2" spans="1:9" ht="15.75" thickTop="1" x14ac:dyDescent="0.25">
      <c r="A2" s="80"/>
      <c r="B2" s="80" t="s">
        <v>57</v>
      </c>
      <c r="C2" s="80"/>
      <c r="D2" s="80"/>
      <c r="E2" s="80"/>
      <c r="F2" s="80"/>
      <c r="G2" s="80"/>
      <c r="H2" s="81"/>
    </row>
    <row r="3" spans="1:9" x14ac:dyDescent="0.25">
      <c r="A3" s="80"/>
      <c r="B3" s="80"/>
      <c r="C3" s="80"/>
      <c r="D3" s="80" t="s">
        <v>58</v>
      </c>
      <c r="E3" s="80"/>
      <c r="F3" s="80"/>
      <c r="G3" s="80"/>
      <c r="H3" s="81"/>
    </row>
    <row r="4" spans="1:9" x14ac:dyDescent="0.25">
      <c r="A4" s="80"/>
      <c r="B4" s="80"/>
      <c r="C4" s="80"/>
      <c r="D4" s="80"/>
      <c r="E4" s="80" t="s">
        <v>59</v>
      </c>
      <c r="F4" s="80"/>
      <c r="G4" s="80"/>
      <c r="H4" s="81"/>
    </row>
    <row r="5" spans="1:9" x14ac:dyDescent="0.25">
      <c r="A5" s="80"/>
      <c r="B5" s="80"/>
      <c r="C5" s="80"/>
      <c r="D5" s="80"/>
      <c r="E5" s="80"/>
      <c r="F5" s="80" t="s">
        <v>60</v>
      </c>
      <c r="G5" s="80"/>
      <c r="H5" s="81">
        <v>30229283.27</v>
      </c>
    </row>
    <row r="6" spans="1:9" x14ac:dyDescent="0.25">
      <c r="A6" s="80"/>
      <c r="B6" s="80"/>
      <c r="C6" s="80"/>
      <c r="D6" s="80"/>
      <c r="E6" s="80"/>
      <c r="F6" s="80" t="s">
        <v>61</v>
      </c>
      <c r="G6" s="80"/>
      <c r="H6" s="81">
        <v>7969413.0599999996</v>
      </c>
    </row>
    <row r="7" spans="1:9" x14ac:dyDescent="0.25">
      <c r="A7" s="80"/>
      <c r="B7" s="80"/>
      <c r="C7" s="80"/>
      <c r="D7" s="80"/>
      <c r="E7" s="80"/>
      <c r="F7" s="80" t="s">
        <v>62</v>
      </c>
      <c r="G7" s="80"/>
      <c r="H7" s="81">
        <v>437833.18</v>
      </c>
    </row>
    <row r="8" spans="1:9" x14ac:dyDescent="0.25">
      <c r="A8" s="80"/>
      <c r="B8" s="80"/>
      <c r="C8" s="80"/>
      <c r="D8" s="80"/>
      <c r="E8" s="80"/>
      <c r="F8" s="80" t="s">
        <v>63</v>
      </c>
      <c r="G8" s="80"/>
      <c r="H8" s="81">
        <v>204878.26</v>
      </c>
    </row>
    <row r="9" spans="1:9" x14ac:dyDescent="0.25">
      <c r="A9" s="80"/>
      <c r="B9" s="80"/>
      <c r="C9" s="80"/>
      <c r="D9" s="80"/>
      <c r="E9" s="80"/>
      <c r="F9" s="80" t="s">
        <v>64</v>
      </c>
      <c r="G9" s="80"/>
      <c r="H9" s="81">
        <v>-610957.85</v>
      </c>
    </row>
    <row r="10" spans="1:9" x14ac:dyDescent="0.25">
      <c r="A10" s="80"/>
      <c r="B10" s="80"/>
      <c r="C10" s="80"/>
      <c r="D10" s="80"/>
      <c r="E10" s="80"/>
      <c r="F10" s="80" t="s">
        <v>65</v>
      </c>
      <c r="G10" s="80"/>
      <c r="H10" s="81">
        <v>948258.68</v>
      </c>
    </row>
    <row r="11" spans="1:9" ht="15.75" thickBot="1" x14ac:dyDescent="0.3">
      <c r="A11" s="80"/>
      <c r="B11" s="80"/>
      <c r="C11" s="80"/>
      <c r="D11" s="80"/>
      <c r="E11" s="80"/>
      <c r="F11" s="80" t="s">
        <v>66</v>
      </c>
      <c r="G11" s="80"/>
      <c r="H11" s="82">
        <v>2955.97</v>
      </c>
    </row>
    <row r="12" spans="1:9" ht="15.75" thickBot="1" x14ac:dyDescent="0.3">
      <c r="A12" s="80"/>
      <c r="B12" s="80"/>
      <c r="C12" s="80"/>
      <c r="D12" s="80"/>
      <c r="E12" s="80" t="s">
        <v>67</v>
      </c>
      <c r="F12" s="80"/>
      <c r="G12" s="80"/>
      <c r="H12" s="83">
        <f>ROUND(SUM(H4:H11),5)</f>
        <v>39181664.57</v>
      </c>
    </row>
    <row r="13" spans="1:9" x14ac:dyDescent="0.25">
      <c r="A13" s="80"/>
      <c r="B13" s="80"/>
      <c r="C13" s="80"/>
      <c r="D13" s="80" t="s">
        <v>68</v>
      </c>
      <c r="E13" s="80"/>
      <c r="F13" s="80"/>
      <c r="G13" s="80"/>
      <c r="H13" s="81">
        <f>ROUND(H3+H12,5)</f>
        <v>39181664.57</v>
      </c>
    </row>
    <row r="14" spans="1:9" x14ac:dyDescent="0.25">
      <c r="A14" s="80"/>
      <c r="B14" s="80"/>
      <c r="C14" s="80"/>
      <c r="D14" s="80" t="s">
        <v>69</v>
      </c>
      <c r="E14" s="80"/>
      <c r="F14" s="80"/>
      <c r="G14" s="80"/>
      <c r="H14" s="81"/>
    </row>
    <row r="15" spans="1:9" x14ac:dyDescent="0.25">
      <c r="A15" s="80"/>
      <c r="B15" s="80"/>
      <c r="C15" s="80"/>
      <c r="D15" s="80"/>
      <c r="E15" s="80" t="s">
        <v>70</v>
      </c>
      <c r="F15" s="80"/>
      <c r="G15" s="80"/>
      <c r="H15" s="81">
        <v>0</v>
      </c>
    </row>
    <row r="16" spans="1:9" x14ac:dyDescent="0.25">
      <c r="A16" s="80"/>
      <c r="B16" s="80"/>
      <c r="C16" s="80"/>
      <c r="D16" s="80"/>
      <c r="E16" s="80" t="s">
        <v>71</v>
      </c>
      <c r="F16" s="80"/>
      <c r="G16" s="80"/>
      <c r="H16" s="81"/>
    </row>
    <row r="17" spans="1:8" x14ac:dyDescent="0.25">
      <c r="A17" s="80"/>
      <c r="B17" s="80"/>
      <c r="C17" s="80"/>
      <c r="D17" s="80"/>
      <c r="E17" s="80"/>
      <c r="F17" s="80" t="s">
        <v>72</v>
      </c>
      <c r="G17" s="80"/>
      <c r="H17" s="81">
        <v>4320</v>
      </c>
    </row>
    <row r="18" spans="1:8" x14ac:dyDescent="0.25">
      <c r="A18" s="80"/>
      <c r="B18" s="80"/>
      <c r="C18" s="80"/>
      <c r="D18" s="80"/>
      <c r="E18" s="80"/>
      <c r="F18" s="80" t="s">
        <v>73</v>
      </c>
      <c r="G18" s="80"/>
      <c r="H18" s="81">
        <v>24442602.640000001</v>
      </c>
    </row>
    <row r="19" spans="1:8" x14ac:dyDescent="0.25">
      <c r="A19" s="80"/>
      <c r="B19" s="80"/>
      <c r="C19" s="80"/>
      <c r="D19" s="80"/>
      <c r="E19" s="80"/>
      <c r="F19" s="80" t="s">
        <v>74</v>
      </c>
      <c r="G19" s="80"/>
      <c r="H19" s="81">
        <v>860198</v>
      </c>
    </row>
    <row r="20" spans="1:8" x14ac:dyDescent="0.25">
      <c r="A20" s="80"/>
      <c r="B20" s="80"/>
      <c r="C20" s="80"/>
      <c r="D20" s="80"/>
      <c r="E20" s="80"/>
      <c r="F20" s="80" t="s">
        <v>75</v>
      </c>
      <c r="G20" s="80"/>
      <c r="H20" s="81"/>
    </row>
    <row r="21" spans="1:8" x14ac:dyDescent="0.25">
      <c r="A21" s="80"/>
      <c r="B21" s="80"/>
      <c r="C21" s="80"/>
      <c r="D21" s="80"/>
      <c r="E21" s="80"/>
      <c r="F21" s="80"/>
      <c r="G21" s="80" t="s">
        <v>76</v>
      </c>
      <c r="H21" s="81">
        <v>16342</v>
      </c>
    </row>
    <row r="22" spans="1:8" x14ac:dyDescent="0.25">
      <c r="A22" s="80"/>
      <c r="B22" s="80"/>
      <c r="C22" s="80"/>
      <c r="D22" s="80"/>
      <c r="E22" s="80"/>
      <c r="F22" s="80"/>
      <c r="G22" s="80" t="s">
        <v>77</v>
      </c>
      <c r="H22" s="81">
        <v>650</v>
      </c>
    </row>
    <row r="23" spans="1:8" ht="15.75" thickBot="1" x14ac:dyDescent="0.3">
      <c r="A23" s="80"/>
      <c r="B23" s="80"/>
      <c r="C23" s="80"/>
      <c r="D23" s="80"/>
      <c r="E23" s="80"/>
      <c r="F23" s="80"/>
      <c r="G23" s="80" t="s">
        <v>78</v>
      </c>
      <c r="H23" s="84">
        <v>4861</v>
      </c>
    </row>
    <row r="24" spans="1:8" x14ac:dyDescent="0.25">
      <c r="A24" s="80"/>
      <c r="B24" s="80"/>
      <c r="C24" s="80"/>
      <c r="D24" s="80"/>
      <c r="E24" s="80"/>
      <c r="F24" s="80" t="s">
        <v>79</v>
      </c>
      <c r="G24" s="80"/>
      <c r="H24" s="81">
        <f>ROUND(SUM(H20:H23),5)</f>
        <v>21853</v>
      </c>
    </row>
    <row r="25" spans="1:8" x14ac:dyDescent="0.25">
      <c r="A25" s="80"/>
      <c r="B25" s="80"/>
      <c r="C25" s="80"/>
      <c r="D25" s="80"/>
      <c r="E25" s="80"/>
      <c r="F25" s="80" t="s">
        <v>80</v>
      </c>
      <c r="G25" s="80"/>
      <c r="H25" s="81">
        <v>7486686.5099999998</v>
      </c>
    </row>
    <row r="26" spans="1:8" x14ac:dyDescent="0.25">
      <c r="A26" s="80"/>
      <c r="B26" s="80"/>
      <c r="C26" s="80"/>
      <c r="D26" s="80"/>
      <c r="E26" s="80"/>
      <c r="F26" s="80" t="s">
        <v>81</v>
      </c>
      <c r="G26" s="80"/>
      <c r="H26" s="81">
        <v>11800</v>
      </c>
    </row>
    <row r="27" spans="1:8" x14ac:dyDescent="0.25">
      <c r="A27" s="80"/>
      <c r="B27" s="80"/>
      <c r="C27" s="80"/>
      <c r="D27" s="80"/>
      <c r="E27" s="80"/>
      <c r="F27" s="80" t="s">
        <v>82</v>
      </c>
      <c r="G27" s="80"/>
      <c r="H27" s="81">
        <v>67751</v>
      </c>
    </row>
    <row r="28" spans="1:8" x14ac:dyDescent="0.25">
      <c r="A28" s="80"/>
      <c r="B28" s="80"/>
      <c r="C28" s="80"/>
      <c r="D28" s="80"/>
      <c r="E28" s="80"/>
      <c r="F28" s="80" t="s">
        <v>83</v>
      </c>
      <c r="G28" s="80"/>
      <c r="H28" s="81">
        <v>558036.15</v>
      </c>
    </row>
    <row r="29" spans="1:8" x14ac:dyDescent="0.25">
      <c r="A29" s="80"/>
      <c r="B29" s="80"/>
      <c r="C29" s="80"/>
      <c r="D29" s="80"/>
      <c r="E29" s="80"/>
      <c r="F29" s="80" t="s">
        <v>84</v>
      </c>
      <c r="G29" s="80"/>
      <c r="H29" s="81">
        <v>1032</v>
      </c>
    </row>
    <row r="30" spans="1:8" x14ac:dyDescent="0.25">
      <c r="A30" s="80"/>
      <c r="B30" s="80"/>
      <c r="C30" s="80"/>
      <c r="D30" s="80"/>
      <c r="E30" s="80"/>
      <c r="F30" s="80" t="s">
        <v>85</v>
      </c>
      <c r="G30" s="80"/>
      <c r="H30" s="81">
        <v>3390</v>
      </c>
    </row>
    <row r="31" spans="1:8" ht="15.75" thickBot="1" x14ac:dyDescent="0.3">
      <c r="A31" s="80"/>
      <c r="B31" s="80"/>
      <c r="C31" s="80"/>
      <c r="D31" s="80"/>
      <c r="E31" s="80"/>
      <c r="F31" s="80" t="s">
        <v>86</v>
      </c>
      <c r="G31" s="80"/>
      <c r="H31" s="82">
        <v>311450</v>
      </c>
    </row>
    <row r="32" spans="1:8" ht="15.75" thickBot="1" x14ac:dyDescent="0.3">
      <c r="A32" s="80"/>
      <c r="B32" s="80"/>
      <c r="C32" s="80"/>
      <c r="D32" s="80"/>
      <c r="E32" s="80" t="s">
        <v>87</v>
      </c>
      <c r="F32" s="80"/>
      <c r="G32" s="80"/>
      <c r="H32" s="85">
        <f>ROUND(SUM(H16:H19)+SUM(H24:H31),5)</f>
        <v>33769119.299999997</v>
      </c>
    </row>
    <row r="33" spans="1:8" ht="15.75" thickBot="1" x14ac:dyDescent="0.3">
      <c r="A33" s="80"/>
      <c r="B33" s="80"/>
      <c r="C33" s="80"/>
      <c r="D33" s="80" t="s">
        <v>88</v>
      </c>
      <c r="E33" s="80"/>
      <c r="F33" s="80"/>
      <c r="G33" s="80"/>
      <c r="H33" s="83">
        <f>ROUND(SUM(H14:H15)+H32,5)</f>
        <v>33769119.299999997</v>
      </c>
    </row>
    <row r="34" spans="1:8" x14ac:dyDescent="0.25">
      <c r="A34" s="80"/>
      <c r="B34" s="80"/>
      <c r="C34" s="80" t="s">
        <v>89</v>
      </c>
      <c r="D34" s="80"/>
      <c r="E34" s="80"/>
      <c r="F34" s="80"/>
      <c r="G34" s="80"/>
      <c r="H34" s="81">
        <f>ROUND(H13-H33,5)</f>
        <v>5412545.2699999996</v>
      </c>
    </row>
    <row r="35" spans="1:8" x14ac:dyDescent="0.25">
      <c r="A35" s="80"/>
      <c r="B35" s="80"/>
      <c r="C35" s="80"/>
      <c r="D35" s="80" t="s">
        <v>90</v>
      </c>
      <c r="E35" s="80"/>
      <c r="F35" s="80"/>
      <c r="G35" s="80"/>
      <c r="H35" s="81"/>
    </row>
    <row r="36" spans="1:8" x14ac:dyDescent="0.25">
      <c r="A36" s="80"/>
      <c r="B36" s="80"/>
      <c r="C36" s="80"/>
      <c r="D36" s="80"/>
      <c r="E36" s="80" t="s">
        <v>91</v>
      </c>
      <c r="F36" s="80"/>
      <c r="G36" s="80"/>
      <c r="H36" s="81"/>
    </row>
    <row r="37" spans="1:8" x14ac:dyDescent="0.25">
      <c r="A37" s="80"/>
      <c r="B37" s="80"/>
      <c r="C37" s="80"/>
      <c r="D37" s="80"/>
      <c r="E37" s="80"/>
      <c r="F37" s="80" t="s">
        <v>92</v>
      </c>
      <c r="G37" s="80"/>
      <c r="H37" s="81">
        <v>260</v>
      </c>
    </row>
    <row r="38" spans="1:8" x14ac:dyDescent="0.25">
      <c r="A38" s="80"/>
      <c r="B38" s="80"/>
      <c r="C38" s="80"/>
      <c r="D38" s="80"/>
      <c r="E38" s="80"/>
      <c r="F38" s="80" t="s">
        <v>93</v>
      </c>
      <c r="G38" s="80"/>
      <c r="H38" s="81"/>
    </row>
    <row r="39" spans="1:8" x14ac:dyDescent="0.25">
      <c r="A39" s="80"/>
      <c r="B39" s="80"/>
      <c r="C39" s="80"/>
      <c r="D39" s="80"/>
      <c r="E39" s="80"/>
      <c r="F39" s="80"/>
      <c r="G39" s="80" t="s">
        <v>94</v>
      </c>
      <c r="H39" s="81">
        <v>7718</v>
      </c>
    </row>
    <row r="40" spans="1:8" ht="15.75" thickBot="1" x14ac:dyDescent="0.3">
      <c r="A40" s="80"/>
      <c r="B40" s="80"/>
      <c r="C40" s="80"/>
      <c r="D40" s="80"/>
      <c r="E40" s="80"/>
      <c r="F40" s="80"/>
      <c r="G40" s="80" t="s">
        <v>95</v>
      </c>
      <c r="H40" s="84">
        <v>60000</v>
      </c>
    </row>
    <row r="41" spans="1:8" x14ac:dyDescent="0.25">
      <c r="A41" s="80"/>
      <c r="B41" s="80"/>
      <c r="C41" s="80"/>
      <c r="D41" s="80"/>
      <c r="E41" s="80"/>
      <c r="F41" s="80" t="s">
        <v>96</v>
      </c>
      <c r="G41" s="80"/>
      <c r="H41" s="81">
        <f>ROUND(SUM(H38:H40),5)</f>
        <v>67718</v>
      </c>
    </row>
    <row r="42" spans="1:8" x14ac:dyDescent="0.25">
      <c r="A42" s="80"/>
      <c r="B42" s="80"/>
      <c r="C42" s="80"/>
      <c r="D42" s="80"/>
      <c r="E42" s="80"/>
      <c r="F42" s="80" t="s">
        <v>97</v>
      </c>
      <c r="G42" s="80"/>
      <c r="H42" s="81"/>
    </row>
    <row r="43" spans="1:8" x14ac:dyDescent="0.25">
      <c r="A43" s="80"/>
      <c r="B43" s="80"/>
      <c r="C43" s="80"/>
      <c r="D43" s="80"/>
      <c r="E43" s="80"/>
      <c r="F43" s="80"/>
      <c r="G43" s="80" t="s">
        <v>98</v>
      </c>
      <c r="H43" s="81">
        <v>3640</v>
      </c>
    </row>
    <row r="44" spans="1:8" ht="15.75" thickBot="1" x14ac:dyDescent="0.3">
      <c r="A44" s="80"/>
      <c r="B44" s="80"/>
      <c r="C44" s="80"/>
      <c r="D44" s="80"/>
      <c r="E44" s="80"/>
      <c r="F44" s="80"/>
      <c r="G44" s="80" t="s">
        <v>99</v>
      </c>
      <c r="H44" s="84">
        <v>920</v>
      </c>
    </row>
    <row r="45" spans="1:8" x14ac:dyDescent="0.25">
      <c r="A45" s="80"/>
      <c r="B45" s="80"/>
      <c r="C45" s="80"/>
      <c r="D45" s="80"/>
      <c r="E45" s="80"/>
      <c r="F45" s="80" t="s">
        <v>100</v>
      </c>
      <c r="G45" s="80"/>
      <c r="H45" s="81">
        <f>ROUND(SUM(H42:H44),5)</f>
        <v>4560</v>
      </c>
    </row>
    <row r="46" spans="1:8" x14ac:dyDescent="0.25">
      <c r="A46" s="80"/>
      <c r="B46" s="80"/>
      <c r="C46" s="80"/>
      <c r="D46" s="80"/>
      <c r="E46" s="80"/>
      <c r="F46" s="80" t="s">
        <v>101</v>
      </c>
      <c r="G46" s="80"/>
      <c r="H46" s="81"/>
    </row>
    <row r="47" spans="1:8" ht="15.75" thickBot="1" x14ac:dyDescent="0.3">
      <c r="A47" s="80"/>
      <c r="B47" s="80"/>
      <c r="C47" s="80"/>
      <c r="D47" s="80"/>
      <c r="E47" s="80"/>
      <c r="F47" s="80"/>
      <c r="G47" s="80" t="s">
        <v>102</v>
      </c>
      <c r="H47" s="84">
        <v>32623.49</v>
      </c>
    </row>
    <row r="48" spans="1:8" x14ac:dyDescent="0.25">
      <c r="A48" s="80"/>
      <c r="B48" s="80"/>
      <c r="C48" s="80"/>
      <c r="D48" s="80"/>
      <c r="E48" s="80"/>
      <c r="F48" s="80" t="s">
        <v>103</v>
      </c>
      <c r="G48" s="80"/>
      <c r="H48" s="81">
        <f>ROUND(SUM(H46:H47),5)</f>
        <v>32623.49</v>
      </c>
    </row>
    <row r="49" spans="1:8" x14ac:dyDescent="0.25">
      <c r="A49" s="80"/>
      <c r="B49" s="80"/>
      <c r="C49" s="80"/>
      <c r="D49" s="80"/>
      <c r="E49" s="80"/>
      <c r="F49" s="80" t="s">
        <v>104</v>
      </c>
      <c r="G49" s="80"/>
      <c r="H49" s="81"/>
    </row>
    <row r="50" spans="1:8" x14ac:dyDescent="0.25">
      <c r="A50" s="80"/>
      <c r="B50" s="80"/>
      <c r="C50" s="80"/>
      <c r="D50" s="80"/>
      <c r="E50" s="80"/>
      <c r="F50" s="80"/>
      <c r="G50" s="80" t="s">
        <v>105</v>
      </c>
      <c r="H50" s="81">
        <v>920</v>
      </c>
    </row>
    <row r="51" spans="1:8" x14ac:dyDescent="0.25">
      <c r="A51" s="80"/>
      <c r="B51" s="80"/>
      <c r="C51" s="80"/>
      <c r="D51" s="80"/>
      <c r="E51" s="80"/>
      <c r="F51" s="80"/>
      <c r="G51" s="80" t="s">
        <v>106</v>
      </c>
      <c r="H51" s="81">
        <v>10840</v>
      </c>
    </row>
    <row r="52" spans="1:8" x14ac:dyDescent="0.25">
      <c r="A52" s="80"/>
      <c r="B52" s="80"/>
      <c r="C52" s="80"/>
      <c r="D52" s="80"/>
      <c r="E52" s="80"/>
      <c r="F52" s="80"/>
      <c r="G52" s="80" t="s">
        <v>107</v>
      </c>
      <c r="H52" s="81">
        <v>8150.24</v>
      </c>
    </row>
    <row r="53" spans="1:8" x14ac:dyDescent="0.25">
      <c r="A53" s="80"/>
      <c r="B53" s="80"/>
      <c r="C53" s="80"/>
      <c r="D53" s="80"/>
      <c r="E53" s="80"/>
      <c r="F53" s="80"/>
      <c r="G53" s="80" t="s">
        <v>108</v>
      </c>
      <c r="H53" s="81">
        <v>30600</v>
      </c>
    </row>
    <row r="54" spans="1:8" x14ac:dyDescent="0.25">
      <c r="A54" s="80"/>
      <c r="B54" s="80"/>
      <c r="C54" s="80"/>
      <c r="D54" s="80"/>
      <c r="E54" s="80"/>
      <c r="F54" s="80"/>
      <c r="G54" s="80" t="s">
        <v>109</v>
      </c>
      <c r="H54" s="81">
        <v>270</v>
      </c>
    </row>
    <row r="55" spans="1:8" x14ac:dyDescent="0.25">
      <c r="A55" s="80"/>
      <c r="B55" s="80"/>
      <c r="C55" s="80"/>
      <c r="D55" s="80"/>
      <c r="E55" s="80"/>
      <c r="F55" s="80"/>
      <c r="G55" s="80" t="s">
        <v>110</v>
      </c>
      <c r="H55" s="81">
        <v>16759.5</v>
      </c>
    </row>
    <row r="56" spans="1:8" x14ac:dyDescent="0.25">
      <c r="A56" s="80"/>
      <c r="B56" s="80"/>
      <c r="C56" s="80"/>
      <c r="D56" s="80"/>
      <c r="E56" s="80"/>
      <c r="F56" s="80"/>
      <c r="G56" s="80" t="s">
        <v>111</v>
      </c>
      <c r="H56" s="81">
        <v>17000</v>
      </c>
    </row>
    <row r="57" spans="1:8" x14ac:dyDescent="0.25">
      <c r="A57" s="80"/>
      <c r="B57" s="80"/>
      <c r="C57" s="80"/>
      <c r="D57" s="80"/>
      <c r="E57" s="80"/>
      <c r="F57" s="80"/>
      <c r="G57" s="80" t="s">
        <v>112</v>
      </c>
      <c r="H57" s="81">
        <v>1000</v>
      </c>
    </row>
    <row r="58" spans="1:8" x14ac:dyDescent="0.25">
      <c r="A58" s="80"/>
      <c r="B58" s="80"/>
      <c r="C58" s="80"/>
      <c r="D58" s="80"/>
      <c r="E58" s="80"/>
      <c r="F58" s="80"/>
      <c r="G58" s="80" t="s">
        <v>113</v>
      </c>
      <c r="H58" s="81">
        <v>1290</v>
      </c>
    </row>
    <row r="59" spans="1:8" x14ac:dyDescent="0.25">
      <c r="A59" s="80"/>
      <c r="B59" s="80"/>
      <c r="C59" s="80"/>
      <c r="D59" s="80"/>
      <c r="E59" s="80"/>
      <c r="F59" s="80"/>
      <c r="G59" s="80" t="s">
        <v>114</v>
      </c>
      <c r="H59" s="81">
        <v>6464</v>
      </c>
    </row>
    <row r="60" spans="1:8" ht="15.75" thickBot="1" x14ac:dyDescent="0.3">
      <c r="A60" s="80"/>
      <c r="B60" s="80"/>
      <c r="C60" s="80"/>
      <c r="D60" s="80"/>
      <c r="E60" s="80"/>
      <c r="F60" s="80"/>
      <c r="G60" s="80" t="s">
        <v>115</v>
      </c>
      <c r="H60" s="84">
        <v>7380.45</v>
      </c>
    </row>
    <row r="61" spans="1:8" x14ac:dyDescent="0.25">
      <c r="A61" s="80"/>
      <c r="B61" s="80"/>
      <c r="C61" s="80"/>
      <c r="D61" s="80"/>
      <c r="E61" s="80"/>
      <c r="F61" s="80" t="s">
        <v>116</v>
      </c>
      <c r="G61" s="80"/>
      <c r="H61" s="81">
        <f>ROUND(SUM(H49:H60),5)</f>
        <v>100674.19</v>
      </c>
    </row>
    <row r="62" spans="1:8" x14ac:dyDescent="0.25">
      <c r="A62" s="80"/>
      <c r="B62" s="80"/>
      <c r="C62" s="80"/>
      <c r="D62" s="80"/>
      <c r="E62" s="80"/>
      <c r="F62" s="80" t="s">
        <v>117</v>
      </c>
      <c r="G62" s="80"/>
      <c r="H62" s="81"/>
    </row>
    <row r="63" spans="1:8" x14ac:dyDescent="0.25">
      <c r="A63" s="80"/>
      <c r="B63" s="80"/>
      <c r="C63" s="80"/>
      <c r="D63" s="80"/>
      <c r="E63" s="80"/>
      <c r="F63" s="80"/>
      <c r="G63" s="80" t="s">
        <v>118</v>
      </c>
      <c r="H63" s="81">
        <v>1276230</v>
      </c>
    </row>
    <row r="64" spans="1:8" x14ac:dyDescent="0.25">
      <c r="A64" s="80"/>
      <c r="B64" s="80"/>
      <c r="C64" s="80"/>
      <c r="D64" s="80"/>
      <c r="E64" s="80"/>
      <c r="F64" s="80"/>
      <c r="G64" s="80" t="s">
        <v>119</v>
      </c>
      <c r="H64" s="81">
        <v>27261</v>
      </c>
    </row>
    <row r="65" spans="1:8" ht="15.75" thickBot="1" x14ac:dyDescent="0.3">
      <c r="A65" s="80"/>
      <c r="B65" s="80"/>
      <c r="C65" s="80"/>
      <c r="D65" s="80"/>
      <c r="E65" s="80"/>
      <c r="F65" s="80"/>
      <c r="G65" s="80" t="s">
        <v>120</v>
      </c>
      <c r="H65" s="84">
        <v>19945.86</v>
      </c>
    </row>
    <row r="66" spans="1:8" x14ac:dyDescent="0.25">
      <c r="A66" s="80"/>
      <c r="B66" s="80"/>
      <c r="C66" s="80"/>
      <c r="D66" s="80"/>
      <c r="E66" s="80"/>
      <c r="F66" s="80" t="s">
        <v>121</v>
      </c>
      <c r="G66" s="80"/>
      <c r="H66" s="81">
        <f>ROUND(SUM(H62:H65),5)</f>
        <v>1323436.8600000001</v>
      </c>
    </row>
    <row r="67" spans="1:8" x14ac:dyDescent="0.25">
      <c r="A67" s="80"/>
      <c r="B67" s="80"/>
      <c r="C67" s="80"/>
      <c r="D67" s="80"/>
      <c r="E67" s="80"/>
      <c r="F67" s="80" t="s">
        <v>122</v>
      </c>
      <c r="G67" s="80"/>
      <c r="H67" s="81"/>
    </row>
    <row r="68" spans="1:8" x14ac:dyDescent="0.25">
      <c r="A68" s="80"/>
      <c r="B68" s="80"/>
      <c r="C68" s="80"/>
      <c r="D68" s="80"/>
      <c r="E68" s="80"/>
      <c r="F68" s="80"/>
      <c r="G68" s="80" t="s">
        <v>123</v>
      </c>
      <c r="H68" s="81">
        <v>29543.02</v>
      </c>
    </row>
    <row r="69" spans="1:8" ht="15.75" thickBot="1" x14ac:dyDescent="0.3">
      <c r="A69" s="80"/>
      <c r="B69" s="80"/>
      <c r="C69" s="80"/>
      <c r="D69" s="80"/>
      <c r="E69" s="80"/>
      <c r="F69" s="80"/>
      <c r="G69" s="80" t="s">
        <v>124</v>
      </c>
      <c r="H69" s="84">
        <v>150</v>
      </c>
    </row>
    <row r="70" spans="1:8" x14ac:dyDescent="0.25">
      <c r="A70" s="80"/>
      <c r="B70" s="80"/>
      <c r="C70" s="80"/>
      <c r="D70" s="80"/>
      <c r="E70" s="80"/>
      <c r="F70" s="80" t="s">
        <v>125</v>
      </c>
      <c r="G70" s="80"/>
      <c r="H70" s="81">
        <f>ROUND(SUM(H67:H69),5)</f>
        <v>29693.02</v>
      </c>
    </row>
    <row r="71" spans="1:8" x14ac:dyDescent="0.25">
      <c r="A71" s="80"/>
      <c r="B71" s="80"/>
      <c r="C71" s="80"/>
      <c r="D71" s="80"/>
      <c r="E71" s="80"/>
      <c r="F71" s="80" t="s">
        <v>126</v>
      </c>
      <c r="G71" s="80"/>
      <c r="H71" s="81"/>
    </row>
    <row r="72" spans="1:8" ht="15.75" thickBot="1" x14ac:dyDescent="0.3">
      <c r="A72" s="80"/>
      <c r="B72" s="80"/>
      <c r="C72" s="80"/>
      <c r="D72" s="80"/>
      <c r="E72" s="80"/>
      <c r="F72" s="80"/>
      <c r="G72" s="80" t="s">
        <v>127</v>
      </c>
      <c r="H72" s="84">
        <v>11980</v>
      </c>
    </row>
    <row r="73" spans="1:8" x14ac:dyDescent="0.25">
      <c r="A73" s="80"/>
      <c r="B73" s="80"/>
      <c r="C73" s="80"/>
      <c r="D73" s="80"/>
      <c r="E73" s="80"/>
      <c r="F73" s="80" t="s">
        <v>128</v>
      </c>
      <c r="G73" s="80"/>
      <c r="H73" s="81">
        <f>ROUND(SUM(H71:H72),5)</f>
        <v>11980</v>
      </c>
    </row>
    <row r="74" spans="1:8" x14ac:dyDescent="0.25">
      <c r="A74" s="80"/>
      <c r="B74" s="80"/>
      <c r="C74" s="80"/>
      <c r="D74" s="80"/>
      <c r="E74" s="80"/>
      <c r="F74" s="80" t="s">
        <v>129</v>
      </c>
      <c r="G74" s="80"/>
      <c r="H74" s="81"/>
    </row>
    <row r="75" spans="1:8" x14ac:dyDescent="0.25">
      <c r="A75" s="80"/>
      <c r="B75" s="80"/>
      <c r="C75" s="80"/>
      <c r="D75" s="80"/>
      <c r="E75" s="80"/>
      <c r="F75" s="80"/>
      <c r="G75" s="80" t="s">
        <v>130</v>
      </c>
      <c r="H75" s="81">
        <v>18422.900000000001</v>
      </c>
    </row>
    <row r="76" spans="1:8" x14ac:dyDescent="0.25">
      <c r="A76" s="80"/>
      <c r="B76" s="80"/>
      <c r="C76" s="80"/>
      <c r="D76" s="80"/>
      <c r="E76" s="80"/>
      <c r="F76" s="80"/>
      <c r="G76" s="80" t="s">
        <v>131</v>
      </c>
      <c r="H76" s="81">
        <v>42885.77</v>
      </c>
    </row>
    <row r="77" spans="1:8" x14ac:dyDescent="0.25">
      <c r="A77" s="80"/>
      <c r="B77" s="80"/>
      <c r="C77" s="80"/>
      <c r="D77" s="80"/>
      <c r="E77" s="80"/>
      <c r="F77" s="80"/>
      <c r="G77" s="80" t="s">
        <v>132</v>
      </c>
      <c r="H77" s="81">
        <v>6163.4</v>
      </c>
    </row>
    <row r="78" spans="1:8" ht="15.75" thickBot="1" x14ac:dyDescent="0.3">
      <c r="A78" s="80"/>
      <c r="B78" s="80"/>
      <c r="C78" s="80"/>
      <c r="D78" s="80"/>
      <c r="E78" s="80"/>
      <c r="F78" s="80"/>
      <c r="G78" s="80" t="s">
        <v>133</v>
      </c>
      <c r="H78" s="84">
        <v>377368.45</v>
      </c>
    </row>
    <row r="79" spans="1:8" x14ac:dyDescent="0.25">
      <c r="A79" s="80"/>
      <c r="B79" s="80"/>
      <c r="C79" s="80"/>
      <c r="D79" s="80"/>
      <c r="E79" s="80"/>
      <c r="F79" s="80" t="s">
        <v>134</v>
      </c>
      <c r="G79" s="80"/>
      <c r="H79" s="81">
        <f>ROUND(SUM(H74:H78),5)</f>
        <v>444840.52</v>
      </c>
    </row>
    <row r="80" spans="1:8" ht="15.75" thickBot="1" x14ac:dyDescent="0.3">
      <c r="A80" s="80"/>
      <c r="B80" s="80"/>
      <c r="C80" s="80"/>
      <c r="D80" s="80"/>
      <c r="E80" s="80"/>
      <c r="F80" s="80" t="s">
        <v>135</v>
      </c>
      <c r="G80" s="80"/>
      <c r="H80" s="84">
        <v>5467.32</v>
      </c>
    </row>
    <row r="81" spans="1:9" x14ac:dyDescent="0.25">
      <c r="A81" s="80"/>
      <c r="B81" s="80"/>
      <c r="C81" s="80"/>
      <c r="D81" s="80"/>
      <c r="E81" s="80" t="s">
        <v>136</v>
      </c>
      <c r="F81" s="80"/>
      <c r="G81" s="80"/>
      <c r="H81" s="81">
        <f>ROUND(SUM(H36:H37)+H41+H45+H48+H61+H66+H70+H73+SUM(H79:H80),5)</f>
        <v>2021253.4</v>
      </c>
    </row>
    <row r="82" spans="1:9" x14ac:dyDescent="0.25">
      <c r="A82" s="80"/>
      <c r="B82" s="80"/>
      <c r="C82" s="80"/>
      <c r="D82" s="80"/>
      <c r="E82" s="80" t="s">
        <v>137</v>
      </c>
      <c r="F82" s="80"/>
      <c r="G82" s="80"/>
      <c r="H82" s="81"/>
    </row>
    <row r="83" spans="1:9" x14ac:dyDescent="0.25">
      <c r="A83" s="80"/>
      <c r="B83" s="80"/>
      <c r="C83" s="80"/>
      <c r="D83" s="80"/>
      <c r="E83" s="80"/>
      <c r="F83" s="80" t="s">
        <v>138</v>
      </c>
      <c r="G83" s="80"/>
      <c r="H83" s="81">
        <v>2200.5</v>
      </c>
    </row>
    <row r="84" spans="1:9" x14ac:dyDescent="0.25">
      <c r="A84" s="80"/>
      <c r="B84" s="80"/>
      <c r="C84" s="80"/>
      <c r="D84" s="80"/>
      <c r="E84" s="80"/>
      <c r="F84" s="80" t="s">
        <v>139</v>
      </c>
      <c r="G84" s="80"/>
      <c r="H84" s="81">
        <v>-0.89</v>
      </c>
    </row>
    <row r="85" spans="1:9" ht="15.75" thickBot="1" x14ac:dyDescent="0.3">
      <c r="A85" s="80"/>
      <c r="B85" s="80"/>
      <c r="C85" s="80"/>
      <c r="D85" s="80"/>
      <c r="E85" s="80"/>
      <c r="F85" s="80" t="s">
        <v>140</v>
      </c>
      <c r="G85" s="80"/>
      <c r="H85" s="82">
        <v>13057.13</v>
      </c>
    </row>
    <row r="86" spans="1:9" ht="15.75" thickBot="1" x14ac:dyDescent="0.3">
      <c r="A86" s="80"/>
      <c r="B86" s="80"/>
      <c r="C86" s="80"/>
      <c r="D86" s="80"/>
      <c r="E86" s="80" t="s">
        <v>141</v>
      </c>
      <c r="F86" s="80"/>
      <c r="G86" s="80"/>
      <c r="H86" s="85">
        <f>ROUND(SUM(H82:H85),5)</f>
        <v>15256.74</v>
      </c>
    </row>
    <row r="87" spans="1:9" ht="15.75" thickBot="1" x14ac:dyDescent="0.3">
      <c r="A87" s="80"/>
      <c r="B87" s="80"/>
      <c r="C87" s="80"/>
      <c r="D87" s="80" t="s">
        <v>142</v>
      </c>
      <c r="E87" s="80"/>
      <c r="F87" s="80"/>
      <c r="G87" s="80"/>
      <c r="H87" s="85">
        <f>ROUND(H35+H81+H86,5)</f>
        <v>2036510.14</v>
      </c>
    </row>
    <row r="88" spans="1:9" ht="15.75" thickBot="1" x14ac:dyDescent="0.3">
      <c r="A88" s="80"/>
      <c r="B88" s="80" t="s">
        <v>143</v>
      </c>
      <c r="C88" s="80"/>
      <c r="D88" s="80"/>
      <c r="E88" s="80"/>
      <c r="F88" s="80"/>
      <c r="G88" s="80"/>
      <c r="H88" s="85">
        <f>ROUND(H2+H34-H87,5)</f>
        <v>3376035.13</v>
      </c>
    </row>
    <row r="89" spans="1:9" ht="15.75" thickBot="1" x14ac:dyDescent="0.3">
      <c r="A89" s="80" t="s">
        <v>144</v>
      </c>
      <c r="B89" s="80"/>
      <c r="C89" s="80"/>
      <c r="D89" s="80"/>
      <c r="E89" s="80"/>
      <c r="F89" s="80"/>
      <c r="G89" s="80"/>
      <c r="H89" s="86">
        <f>H88</f>
        <v>3376035.13</v>
      </c>
      <c r="I89" s="87"/>
    </row>
    <row r="90" spans="1:9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6:F34"/>
  <sheetViews>
    <sheetView workbookViewId="0">
      <selection activeCell="G14" sqref="G14"/>
    </sheetView>
  </sheetViews>
  <sheetFormatPr defaultRowHeight="15" x14ac:dyDescent="0.25"/>
  <cols>
    <col min="1" max="1" width="48" customWidth="1"/>
    <col min="2" max="2" width="19.28515625" customWidth="1"/>
    <col min="3" max="3" width="14.5703125" customWidth="1"/>
    <col min="4" max="4" width="17.7109375" customWidth="1"/>
    <col min="5" max="5" width="12.7109375" customWidth="1"/>
    <col min="6" max="6" width="15.42578125" customWidth="1"/>
  </cols>
  <sheetData>
    <row r="6" spans="1:6" ht="26.25" x14ac:dyDescent="0.4">
      <c r="A6" s="33" t="s">
        <v>36</v>
      </c>
    </row>
    <row r="7" spans="1:6" ht="15.75" thickBot="1" x14ac:dyDescent="0.3">
      <c r="A7" t="s">
        <v>37</v>
      </c>
      <c r="B7" t="s">
        <v>38</v>
      </c>
      <c r="C7">
        <v>29.5</v>
      </c>
      <c r="E7">
        <v>31.47</v>
      </c>
    </row>
    <row r="8" spans="1:6" ht="15.75" thickBot="1" x14ac:dyDescent="0.3">
      <c r="A8" t="s">
        <v>39</v>
      </c>
      <c r="B8" s="50" t="s">
        <v>40</v>
      </c>
      <c r="C8" s="35" t="s">
        <v>41</v>
      </c>
      <c r="D8" s="50" t="s">
        <v>40</v>
      </c>
      <c r="E8" s="35" t="s">
        <v>42</v>
      </c>
      <c r="F8" s="51">
        <v>0.24</v>
      </c>
    </row>
    <row r="9" spans="1:6" ht="15.75" thickBot="1" x14ac:dyDescent="0.3">
      <c r="B9" s="55">
        <v>2012</v>
      </c>
      <c r="C9" s="56">
        <v>2012</v>
      </c>
      <c r="D9" s="55">
        <v>2013</v>
      </c>
      <c r="E9" s="56">
        <v>2013</v>
      </c>
      <c r="F9" s="55">
        <v>2014</v>
      </c>
    </row>
    <row r="10" spans="1:6" ht="15.75" thickBot="1" x14ac:dyDescent="0.3">
      <c r="B10" s="52" t="s">
        <v>5</v>
      </c>
      <c r="C10" s="53" t="s">
        <v>5</v>
      </c>
      <c r="D10" s="54" t="s">
        <v>5</v>
      </c>
      <c r="E10" s="54" t="s">
        <v>5</v>
      </c>
      <c r="F10" s="54" t="s">
        <v>30</v>
      </c>
    </row>
    <row r="11" spans="1:6" x14ac:dyDescent="0.25">
      <c r="A11" s="34" t="s">
        <v>43</v>
      </c>
      <c r="B11" s="44">
        <v>35218500</v>
      </c>
      <c r="C11" s="39">
        <v>1193847</v>
      </c>
      <c r="D11" s="44">
        <f>SUM('P&amp;L Thai''13 update 27.1.14'!H12)</f>
        <v>39181664.57</v>
      </c>
      <c r="E11" s="39">
        <f>SUM(D11/E7)</f>
        <v>1245048.1274229425</v>
      </c>
      <c r="F11" s="44">
        <v>1500000</v>
      </c>
    </row>
    <row r="12" spans="1:6" x14ac:dyDescent="0.25">
      <c r="A12" s="36"/>
      <c r="B12" s="45"/>
      <c r="C12" s="37"/>
      <c r="D12" s="45"/>
      <c r="E12" s="37"/>
      <c r="F12" s="45"/>
    </row>
    <row r="13" spans="1:6" x14ac:dyDescent="0.25">
      <c r="A13" s="36" t="s">
        <v>44</v>
      </c>
      <c r="B13" s="46">
        <v>22104729</v>
      </c>
      <c r="C13" s="40">
        <v>749313</v>
      </c>
      <c r="D13" s="46">
        <f>SUM('P&amp;L Thai''13 update 27.1.14'!H32-'P&amp;L Thai''13 update 27.1.14'!H25-'P&amp;L Thai''13 update 27.1.14'!H26-'P&amp;L Thai''13 update 27.1.14'!H31)</f>
        <v>25959182.789999999</v>
      </c>
      <c r="E13" s="40">
        <f>SUM(D13/$E$7)</f>
        <v>824886.64728312683</v>
      </c>
      <c r="F13" s="46">
        <f>SUM(E14*F11)</f>
        <v>993800.91714669077</v>
      </c>
    </row>
    <row r="14" spans="1:6" x14ac:dyDescent="0.25">
      <c r="A14" s="36" t="s">
        <v>28</v>
      </c>
      <c r="B14" s="47">
        <v>0.63</v>
      </c>
      <c r="C14" s="41">
        <v>0.63</v>
      </c>
      <c r="D14" s="47">
        <f>SUM(D13/D11)</f>
        <v>0.66253394476446048</v>
      </c>
      <c r="E14" s="47">
        <f>SUM(E13/E11)</f>
        <v>0.66253394476446048</v>
      </c>
      <c r="F14" s="47">
        <f>SUM(F13/F11)</f>
        <v>0.66253394476446048</v>
      </c>
    </row>
    <row r="15" spans="1:6" x14ac:dyDescent="0.25">
      <c r="A15" s="36" t="s">
        <v>45</v>
      </c>
      <c r="B15" s="46">
        <v>7390868</v>
      </c>
      <c r="C15" s="40">
        <v>250538</v>
      </c>
      <c r="D15" s="46">
        <f>SUM('P&amp;L Thai''13 update 27.1.14'!H25+'P&amp;L Thai''13 update 27.1.14'!H26)</f>
        <v>7498486.5099999998</v>
      </c>
      <c r="E15" s="40">
        <f t="shared" ref="E15:E30" si="0">SUM(D15/$E$7)</f>
        <v>238274.11852557992</v>
      </c>
      <c r="F15" s="46">
        <f>SUM(E16*F11)</f>
        <v>287066.15424429887</v>
      </c>
    </row>
    <row r="16" spans="1:6" x14ac:dyDescent="0.25">
      <c r="A16" s="36" t="s">
        <v>0</v>
      </c>
      <c r="B16" s="47">
        <v>0.21</v>
      </c>
      <c r="C16" s="41">
        <v>0.21</v>
      </c>
      <c r="D16" s="47">
        <f>SUM(D15/D11)</f>
        <v>0.1913774361628659</v>
      </c>
      <c r="E16" s="47">
        <f>SUM(E15/E11)</f>
        <v>0.1913774361628659</v>
      </c>
      <c r="F16" s="47">
        <f>SUM(F15/F11)</f>
        <v>0.19137743616286593</v>
      </c>
    </row>
    <row r="17" spans="1:6" x14ac:dyDescent="0.25">
      <c r="A17" s="36" t="s">
        <v>46</v>
      </c>
      <c r="B17" s="46">
        <v>29495597</v>
      </c>
      <c r="C17" s="40">
        <v>999851</v>
      </c>
      <c r="D17" s="46">
        <f>SUM(D13+D15)</f>
        <v>33457669.299999997</v>
      </c>
      <c r="E17" s="40">
        <f t="shared" si="0"/>
        <v>1063160.7658087066</v>
      </c>
      <c r="F17" s="46">
        <f>SUM(F13+F15)</f>
        <v>1280867.0713909897</v>
      </c>
    </row>
    <row r="18" spans="1:6" x14ac:dyDescent="0.25">
      <c r="A18" s="36" t="s">
        <v>47</v>
      </c>
      <c r="B18" s="47">
        <v>0.84</v>
      </c>
      <c r="C18" s="41">
        <v>0.84</v>
      </c>
      <c r="D18" s="47">
        <f>SUM(D17/D11)</f>
        <v>0.85391138092732632</v>
      </c>
      <c r="E18" s="47">
        <f>SUM(E17/E11)</f>
        <v>0.85391138092732632</v>
      </c>
      <c r="F18" s="47">
        <f>SUM(F17/F11)</f>
        <v>0.85391138092732644</v>
      </c>
    </row>
    <row r="19" spans="1:6" x14ac:dyDescent="0.25">
      <c r="A19" s="36"/>
      <c r="B19" s="45"/>
      <c r="C19" s="37"/>
      <c r="D19" s="45"/>
      <c r="E19" s="40"/>
      <c r="F19" s="45"/>
    </row>
    <row r="20" spans="1:6" x14ac:dyDescent="0.25">
      <c r="A20" s="36" t="s">
        <v>48</v>
      </c>
      <c r="B20" s="46">
        <v>284800</v>
      </c>
      <c r="C20" s="40">
        <v>9654</v>
      </c>
      <c r="D20" s="46">
        <f>SUM('P&amp;L Thai''13 update 27.1.14'!H31)</f>
        <v>311450</v>
      </c>
      <c r="E20" s="40">
        <f t="shared" si="0"/>
        <v>9896.7270416269475</v>
      </c>
      <c r="F20" s="46">
        <f>SUM(E21*F11)</f>
        <v>11923.306605960259</v>
      </c>
    </row>
    <row r="21" spans="1:6" x14ac:dyDescent="0.25">
      <c r="A21" s="36" t="s">
        <v>49</v>
      </c>
      <c r="B21" s="89">
        <v>8.0000000000000002E-3</v>
      </c>
      <c r="C21" s="90">
        <v>8.0000000000000002E-3</v>
      </c>
      <c r="D21" s="88">
        <f>SUM(D20/D11)</f>
        <v>7.9488710706401722E-3</v>
      </c>
      <c r="E21" s="88">
        <f>SUM(E20/E11)</f>
        <v>7.9488710706401722E-3</v>
      </c>
      <c r="F21" s="88">
        <f t="shared" ref="F21" si="1">SUM(F20/F11)</f>
        <v>7.9488710706401722E-3</v>
      </c>
    </row>
    <row r="22" spans="1:6" x14ac:dyDescent="0.25">
      <c r="A22" s="36" t="s">
        <v>50</v>
      </c>
      <c r="B22" s="46">
        <v>1218106</v>
      </c>
      <c r="C22" s="40">
        <v>41292</v>
      </c>
      <c r="D22" s="46">
        <f>SUM('P&amp;L Thai''13 update 27.1.14'!H66)</f>
        <v>1323436.8600000001</v>
      </c>
      <c r="E22" s="40">
        <f t="shared" si="0"/>
        <v>42053.919923736896</v>
      </c>
      <c r="F22" s="46">
        <f>SUM(E23*F11)</f>
        <v>50665.414851209825</v>
      </c>
    </row>
    <row r="23" spans="1:6" x14ac:dyDescent="0.25">
      <c r="A23" s="36" t="s">
        <v>2</v>
      </c>
      <c r="B23" s="48">
        <v>3.5000000000000003E-2</v>
      </c>
      <c r="C23" s="42">
        <v>3.5000000000000003E-2</v>
      </c>
      <c r="D23" s="48">
        <f>SUM(D22/D11)</f>
        <v>3.3776943234139892E-2</v>
      </c>
      <c r="E23" s="48">
        <f>SUM(E22/E11)</f>
        <v>3.3776943234139885E-2</v>
      </c>
      <c r="F23" s="48">
        <f>SUM(F22/F11)</f>
        <v>3.3776943234139885E-2</v>
      </c>
    </row>
    <row r="24" spans="1:6" x14ac:dyDescent="0.25">
      <c r="A24" s="36" t="s">
        <v>51</v>
      </c>
      <c r="B24" s="46">
        <v>1502906</v>
      </c>
      <c r="C24" s="40">
        <v>50946</v>
      </c>
      <c r="D24" s="46">
        <f>SUM(D20+D22)</f>
        <v>1634886.86</v>
      </c>
      <c r="E24" s="40">
        <f t="shared" si="0"/>
        <v>51950.646965363841</v>
      </c>
      <c r="F24" s="46">
        <f>SUM(F20+F22)</f>
        <v>62588.721457170082</v>
      </c>
    </row>
    <row r="25" spans="1:6" x14ac:dyDescent="0.25">
      <c r="A25" s="36" t="s">
        <v>52</v>
      </c>
      <c r="B25" s="48">
        <v>4.2999999999999997E-2</v>
      </c>
      <c r="C25" s="42">
        <v>4.2999999999999997E-2</v>
      </c>
      <c r="D25" s="48">
        <f>SUM(D24/D11)</f>
        <v>4.1725814304780062E-2</v>
      </c>
      <c r="E25" s="48">
        <f>SUM(E24/E11)</f>
        <v>4.1725814304780055E-2</v>
      </c>
      <c r="F25" s="48">
        <f>SUM(F24/F11)</f>
        <v>4.1725814304780055E-2</v>
      </c>
    </row>
    <row r="26" spans="1:6" x14ac:dyDescent="0.25">
      <c r="A26" s="36"/>
      <c r="B26" s="45"/>
      <c r="C26" s="37"/>
      <c r="D26" s="45"/>
      <c r="E26" s="40"/>
      <c r="F26" s="45"/>
    </row>
    <row r="27" spans="1:6" x14ac:dyDescent="0.25">
      <c r="A27" s="36" t="s">
        <v>53</v>
      </c>
      <c r="B27" s="46">
        <v>1090717</v>
      </c>
      <c r="C27" s="40">
        <v>36973</v>
      </c>
      <c r="D27" s="46">
        <f>SUM('P&amp;L Thai''13 update 27.1.14'!H87-'Summary Thai update 27.1.14'!D22)</f>
        <v>713073.2799999998</v>
      </c>
      <c r="E27" s="40">
        <f t="shared" si="0"/>
        <v>22658.826819192876</v>
      </c>
      <c r="F27" s="46">
        <f>SUM(E28*F11)</f>
        <v>27298.736073070304</v>
      </c>
    </row>
    <row r="28" spans="1:6" x14ac:dyDescent="0.25">
      <c r="A28" s="36" t="s">
        <v>7</v>
      </c>
      <c r="B28" s="48">
        <v>3.1E-2</v>
      </c>
      <c r="C28" s="42">
        <v>3.1E-2</v>
      </c>
      <c r="D28" s="48">
        <f>SUM(D27/D11)</f>
        <v>1.819915738204687E-2</v>
      </c>
      <c r="E28" s="48">
        <f>SUM(E27/E11)</f>
        <v>1.819915738204687E-2</v>
      </c>
      <c r="F28" s="48">
        <f>SUM(F27/F11)</f>
        <v>1.819915738204687E-2</v>
      </c>
    </row>
    <row r="29" spans="1:6" x14ac:dyDescent="0.25">
      <c r="A29" s="36"/>
      <c r="B29" s="45"/>
      <c r="C29" s="37"/>
      <c r="D29" s="45"/>
      <c r="E29" s="40"/>
      <c r="F29" s="45"/>
    </row>
    <row r="30" spans="1:6" x14ac:dyDescent="0.25">
      <c r="A30" s="36" t="s">
        <v>54</v>
      </c>
      <c r="B30" s="46">
        <v>3129280</v>
      </c>
      <c r="C30" s="40">
        <v>106077</v>
      </c>
      <c r="D30" s="46">
        <f>SUM('P&amp;L Thai''13 update 27.1.14'!H88)</f>
        <v>3376035.13</v>
      </c>
      <c r="E30" s="40">
        <f t="shared" si="0"/>
        <v>107277.88782967906</v>
      </c>
      <c r="F30" s="46">
        <f>SUM(E31*F11)</f>
        <v>129245.47107876994</v>
      </c>
    </row>
    <row r="31" spans="1:6" ht="15.75" thickBot="1" x14ac:dyDescent="0.3">
      <c r="A31" s="38" t="s">
        <v>55</v>
      </c>
      <c r="B31" s="49">
        <v>8.8999999999999996E-2</v>
      </c>
      <c r="C31" s="43">
        <v>8.8999999999999996E-2</v>
      </c>
      <c r="D31" s="49">
        <f>SUM(D30/D11)</f>
        <v>8.6163647385846628E-2</v>
      </c>
      <c r="E31" s="49">
        <f>SUM(E30/E11)</f>
        <v>8.6163647385846628E-2</v>
      </c>
      <c r="F31" s="49">
        <f>SUM(F30/F11)</f>
        <v>8.6163647385846628E-2</v>
      </c>
    </row>
    <row r="34" spans="2:6" x14ac:dyDescent="0.25">
      <c r="B34" s="32">
        <f>SUM(B11-B17-B24-B27)</f>
        <v>3129280</v>
      </c>
      <c r="C34" s="32">
        <f t="shared" ref="C34:F34" si="2">SUM(C11-C17-C24-C27)</f>
        <v>106077</v>
      </c>
      <c r="D34" s="32">
        <f t="shared" si="2"/>
        <v>3376035.1300000031</v>
      </c>
      <c r="E34" s="32">
        <f t="shared" si="2"/>
        <v>107277.88782967918</v>
      </c>
      <c r="F34" s="32">
        <f t="shared" si="2"/>
        <v>129245.4710787699</v>
      </c>
    </row>
  </sheetData>
  <pageMargins left="0.7" right="0.7" top="0.75" bottom="0.75" header="0.3" footer="0.3"/>
  <ignoredErrors>
    <ignoredError sqref="E14:E16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"/>
  <sheetViews>
    <sheetView workbookViewId="0">
      <selection activeCell="H8" sqref="H8"/>
    </sheetView>
  </sheetViews>
  <sheetFormatPr defaultRowHeight="15" x14ac:dyDescent="0.25"/>
  <cols>
    <col min="8" max="8" width="10" bestFit="1" customWidth="1"/>
    <col min="10" max="10" width="10.7109375" bestFit="1" customWidth="1"/>
  </cols>
  <sheetData>
    <row r="2" spans="1:10" x14ac:dyDescent="0.25">
      <c r="A2" s="199" t="s">
        <v>163</v>
      </c>
      <c r="B2" s="199"/>
      <c r="C2" s="199"/>
      <c r="D2" s="199"/>
      <c r="E2" s="199"/>
      <c r="F2" s="199"/>
    </row>
    <row r="3" spans="1:10" ht="15.75" thickBot="1" x14ac:dyDescent="0.3"/>
    <row r="4" spans="1:10" ht="15.75" thickBot="1" x14ac:dyDescent="0.3">
      <c r="A4" s="188" t="s">
        <v>164</v>
      </c>
      <c r="B4" s="189" t="s">
        <v>157</v>
      </c>
      <c r="C4" s="189" t="s">
        <v>158</v>
      </c>
      <c r="D4" s="189" t="s">
        <v>159</v>
      </c>
      <c r="E4" s="189" t="s">
        <v>160</v>
      </c>
      <c r="F4" s="189" t="s">
        <v>165</v>
      </c>
      <c r="G4" s="189" t="s">
        <v>161</v>
      </c>
      <c r="H4" s="189" t="s">
        <v>162</v>
      </c>
      <c r="I4" s="189" t="s">
        <v>166</v>
      </c>
      <c r="J4" s="190" t="s">
        <v>167</v>
      </c>
    </row>
    <row r="5" spans="1:10" x14ac:dyDescent="0.25">
      <c r="A5" s="191" t="s">
        <v>168</v>
      </c>
      <c r="B5" s="192">
        <v>0.25</v>
      </c>
      <c r="C5" s="192">
        <v>0.2</v>
      </c>
      <c r="D5" s="192">
        <v>0.1</v>
      </c>
      <c r="E5" s="192">
        <v>0.15</v>
      </c>
      <c r="F5" s="192">
        <v>0.2</v>
      </c>
      <c r="G5" s="192">
        <v>0.1</v>
      </c>
      <c r="H5" s="192">
        <v>0.1</v>
      </c>
      <c r="I5" s="192">
        <v>0.5</v>
      </c>
      <c r="J5" s="192">
        <v>0.55000000000000004</v>
      </c>
    </row>
    <row r="6" spans="1:10" x14ac:dyDescent="0.25">
      <c r="A6" s="193" t="s">
        <v>169</v>
      </c>
      <c r="B6" s="194">
        <v>0.5</v>
      </c>
      <c r="C6" s="194">
        <v>0.3</v>
      </c>
      <c r="D6" s="194">
        <v>0.45</v>
      </c>
      <c r="E6" s="194">
        <v>0.45</v>
      </c>
      <c r="F6" s="194">
        <v>0.5</v>
      </c>
      <c r="G6" s="194">
        <v>0.35</v>
      </c>
      <c r="H6" s="194">
        <v>0.15</v>
      </c>
      <c r="I6" s="194">
        <v>0.35</v>
      </c>
      <c r="J6" s="194">
        <v>0.3</v>
      </c>
    </row>
    <row r="7" spans="1:10" x14ac:dyDescent="0.25">
      <c r="A7" s="195" t="s">
        <v>170</v>
      </c>
      <c r="B7" s="196">
        <v>0.2</v>
      </c>
      <c r="C7" s="196">
        <v>0.45</v>
      </c>
      <c r="D7" s="196">
        <v>0.3</v>
      </c>
      <c r="E7" s="196">
        <v>0.35</v>
      </c>
      <c r="F7" s="196">
        <v>0.2</v>
      </c>
      <c r="G7" s="196">
        <v>0.45</v>
      </c>
      <c r="H7" s="196">
        <v>0.7</v>
      </c>
      <c r="I7" s="196">
        <v>0.1</v>
      </c>
      <c r="J7" s="196">
        <v>0.1</v>
      </c>
    </row>
    <row r="8" spans="1:10" x14ac:dyDescent="0.25">
      <c r="A8" s="195" t="s">
        <v>171</v>
      </c>
      <c r="B8" s="210">
        <v>0.05</v>
      </c>
      <c r="C8" s="210">
        <v>0.05</v>
      </c>
      <c r="D8" s="210">
        <v>0.15</v>
      </c>
      <c r="E8" s="210">
        <v>0.05</v>
      </c>
      <c r="F8" s="210">
        <v>0.1</v>
      </c>
      <c r="G8" s="210">
        <v>0.1</v>
      </c>
      <c r="H8" s="210">
        <v>0.05</v>
      </c>
      <c r="I8" s="196">
        <v>0.05</v>
      </c>
      <c r="J8" s="196">
        <v>0.05</v>
      </c>
    </row>
    <row r="9" spans="1:10" x14ac:dyDescent="0.25">
      <c r="A9" s="197" t="s">
        <v>25</v>
      </c>
      <c r="B9" s="198">
        <f t="shared" ref="B9:J9" si="0">SUM(B5:B8)</f>
        <v>1</v>
      </c>
      <c r="C9" s="198">
        <f t="shared" si="0"/>
        <v>1</v>
      </c>
      <c r="D9" s="198">
        <f t="shared" si="0"/>
        <v>1</v>
      </c>
      <c r="E9" s="198">
        <f t="shared" si="0"/>
        <v>1</v>
      </c>
      <c r="F9" s="198">
        <f t="shared" si="0"/>
        <v>0.99999999999999989</v>
      </c>
      <c r="G9" s="198">
        <f t="shared" si="0"/>
        <v>0.99999999999999989</v>
      </c>
      <c r="H9" s="198">
        <f t="shared" si="0"/>
        <v>1</v>
      </c>
      <c r="I9" s="198">
        <f t="shared" si="0"/>
        <v>1</v>
      </c>
      <c r="J9" s="198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26"/>
  <sheetViews>
    <sheetView tabSelected="1" zoomScaleNormal="100" workbookViewId="0">
      <pane xSplit="1" topLeftCell="B1" activePane="topRight" state="frozen"/>
      <selection pane="topRight" activeCell="O3" sqref="O3"/>
    </sheetView>
  </sheetViews>
  <sheetFormatPr defaultRowHeight="15" x14ac:dyDescent="0.25"/>
  <cols>
    <col min="1" max="1" width="23.85546875" customWidth="1"/>
    <col min="2" max="3" width="7.5703125" customWidth="1"/>
    <col min="4" max="4" width="7.140625" customWidth="1"/>
    <col min="5" max="5" width="5" style="79" bestFit="1" customWidth="1"/>
    <col min="6" max="10" width="12.140625" customWidth="1"/>
    <col min="11" max="15" width="13.140625" customWidth="1"/>
    <col min="16" max="16" width="7.140625" customWidth="1"/>
    <col min="17" max="17" width="8.28515625" customWidth="1"/>
  </cols>
  <sheetData>
    <row r="1" spans="1:18" s="99" customFormat="1" ht="23.25" x14ac:dyDescent="0.35">
      <c r="A1" s="187" t="s">
        <v>216</v>
      </c>
      <c r="E1" s="79"/>
    </row>
    <row r="2" spans="1:18" ht="18.75" x14ac:dyDescent="0.3">
      <c r="A2" s="92" t="s">
        <v>35</v>
      </c>
    </row>
    <row r="3" spans="1:18" s="79" customFormat="1" ht="24.75" x14ac:dyDescent="0.25">
      <c r="A3" s="207"/>
      <c r="B3" s="93">
        <v>2013</v>
      </c>
      <c r="C3" s="93">
        <v>2014</v>
      </c>
      <c r="D3" s="208">
        <v>2015</v>
      </c>
      <c r="E3" s="224" t="s">
        <v>232</v>
      </c>
      <c r="F3" s="233" t="s">
        <v>238</v>
      </c>
      <c r="G3" s="237" t="s">
        <v>236</v>
      </c>
      <c r="H3" s="239" t="s">
        <v>293</v>
      </c>
      <c r="I3" s="241" t="s">
        <v>303</v>
      </c>
      <c r="J3" s="242" t="s">
        <v>305</v>
      </c>
      <c r="K3" s="243" t="s">
        <v>314</v>
      </c>
      <c r="L3" s="255" t="s">
        <v>316</v>
      </c>
      <c r="M3" s="258" t="s">
        <v>328</v>
      </c>
      <c r="N3" s="259" t="s">
        <v>330</v>
      </c>
      <c r="O3" s="263" t="s">
        <v>337</v>
      </c>
      <c r="P3" s="208">
        <v>2016</v>
      </c>
      <c r="Q3" s="209">
        <v>2016</v>
      </c>
    </row>
    <row r="4" spans="1:18" s="95" customFormat="1" x14ac:dyDescent="0.25">
      <c r="A4" s="94"/>
      <c r="B4" s="100" t="s">
        <v>5</v>
      </c>
      <c r="C4" s="100" t="s">
        <v>5</v>
      </c>
      <c r="D4" s="100" t="s">
        <v>215</v>
      </c>
      <c r="E4" s="225"/>
      <c r="F4" s="225" t="s">
        <v>235</v>
      </c>
      <c r="G4" s="225" t="s">
        <v>237</v>
      </c>
      <c r="H4" s="225" t="s">
        <v>294</v>
      </c>
      <c r="I4" s="225" t="s">
        <v>304</v>
      </c>
      <c r="J4" s="225" t="s">
        <v>306</v>
      </c>
      <c r="K4" s="225" t="s">
        <v>309</v>
      </c>
      <c r="L4" s="225" t="s">
        <v>317</v>
      </c>
      <c r="M4" s="225" t="s">
        <v>329</v>
      </c>
      <c r="N4" s="225" t="s">
        <v>336</v>
      </c>
      <c r="O4" s="225" t="s">
        <v>336</v>
      </c>
      <c r="P4" s="225" t="s">
        <v>5</v>
      </c>
      <c r="Q4" s="225" t="s">
        <v>30</v>
      </c>
    </row>
    <row r="5" spans="1:18" x14ac:dyDescent="0.25">
      <c r="A5" s="29" t="s">
        <v>6</v>
      </c>
      <c r="B5" s="114">
        <f>SUM('Summary Thai update 27.1.14'!E11/1000)</f>
        <v>1245.0481274229426</v>
      </c>
      <c r="C5" s="115">
        <v>1400.5</v>
      </c>
      <c r="D5" s="115">
        <v>1725</v>
      </c>
      <c r="E5" s="226"/>
      <c r="F5" s="112">
        <f>'STF P1'!H11/'STF P1'!L1/1000</f>
        <v>152.66207679750161</v>
      </c>
      <c r="G5" s="252">
        <f>('STF P2'!I10+'STF P2'!I69)/'STF P2'!$M$1/1000</f>
        <v>122.80643212488727</v>
      </c>
      <c r="H5" s="112">
        <f>('STF P3'!I10)/'STF P2'!$M$1/1000</f>
        <v>171.98996522715802</v>
      </c>
      <c r="I5" s="112">
        <f>('STF P4'!I10)/'STF P2'!$M$1/1000</f>
        <v>151.48088060946074</v>
      </c>
      <c r="J5" s="112">
        <f>('STF P5'!I10)/'STF P2'!$M$1/1000</f>
        <v>146.84712996420612</v>
      </c>
      <c r="K5" s="254">
        <f>('STF P6'!I10)/'STF P2'!$M$1/1000</f>
        <v>122.19690050882936</v>
      </c>
      <c r="L5" s="254">
        <f>(STFP7!I10)/'STF P2'!$M$1/1000</f>
        <v>134.26957177783956</v>
      </c>
      <c r="M5" s="254">
        <f>(STFP8!I11)/'STF P2'!$M$1/1000</f>
        <v>201.88454055035257</v>
      </c>
      <c r="N5" s="254">
        <f>('STF P9'!I12)/'STF P2'!$M$1/1000</f>
        <v>212.74643212091647</v>
      </c>
      <c r="O5" s="254">
        <f>('STF 10'!I9)/'STF P2'!$M$1/1000</f>
        <v>85.047414727121122</v>
      </c>
      <c r="P5" s="112">
        <f>SUM(F5:O5)</f>
        <v>1501.9313444082729</v>
      </c>
      <c r="Q5" s="103">
        <v>2000</v>
      </c>
    </row>
    <row r="6" spans="1:18" x14ac:dyDescent="0.25">
      <c r="A6" s="29"/>
      <c r="B6" s="114"/>
      <c r="C6" s="102"/>
      <c r="D6" s="115"/>
      <c r="E6" s="226"/>
      <c r="F6" s="112"/>
      <c r="G6" s="112"/>
      <c r="H6" s="112"/>
      <c r="I6" s="112"/>
      <c r="J6" s="112"/>
      <c r="K6" s="115"/>
      <c r="L6" s="115"/>
      <c r="M6" s="115"/>
      <c r="N6" s="115"/>
      <c r="O6" s="115"/>
      <c r="P6" s="112"/>
      <c r="Q6" s="101"/>
    </row>
    <row r="7" spans="1:18" x14ac:dyDescent="0.25">
      <c r="A7" s="29" t="s">
        <v>27</v>
      </c>
      <c r="B7" s="115">
        <f>SUM('Summary Thai update 27.1.14'!E13/1000)</f>
        <v>824.88664728312688</v>
      </c>
      <c r="C7" s="115">
        <v>896.2</v>
      </c>
      <c r="D7" s="115">
        <v>1040</v>
      </c>
      <c r="E7" s="226"/>
      <c r="F7" s="112">
        <f>('STF P1'!H23-'STF P1'!H22-'STF P1'!H18)/'STF P1'!L1/1000</f>
        <v>90.402234367236858</v>
      </c>
      <c r="G7" s="112">
        <f>('STF P2'!I25-'STF P2'!I22-'STF P2'!I18)/'STF P2'!$M$1/1000</f>
        <v>71.685319393942834</v>
      </c>
      <c r="H7" s="112">
        <f>('STF P3'!I24-'STF P3'!I21-'STF P3'!I18)/'STF P2'!$M$1/1000</f>
        <v>111.36673152302781</v>
      </c>
      <c r="I7" s="112">
        <f>('STF P4'!I25-'STF P4'!I21-'STF P4'!I18)/'STF P2'!$M$1/1000</f>
        <v>90.006073902216286</v>
      </c>
      <c r="J7" s="112">
        <f>('STF P5'!I24-'STF P5'!I22-'STF P5'!I18)/'STF P2'!$M$1/1000</f>
        <v>91.423656594076704</v>
      </c>
      <c r="K7" s="115">
        <f>('STF P6'!I25-'STF P6'!I19-'STF P6'!I22)/'STF P2'!$M$1/1000</f>
        <v>80.584634998610227</v>
      </c>
      <c r="L7" s="115">
        <f>(STFP7!I26-STFP7!I23-STFP7!I20)/'STF P2'!$M$1/1000</f>
        <v>88.022191086126611</v>
      </c>
      <c r="M7" s="115">
        <f>(STFP8!I27-STFP8!I24-STFP8!I20)/'STF P2'!$M$1/1000</f>
        <v>132.07631192317075</v>
      </c>
      <c r="N7" s="115">
        <f>('STF P9'!I29-'STF P9'!I25-'STF P9'!I21)/'STF P2'!$M$1/1000</f>
        <v>139.83943478532169</v>
      </c>
      <c r="O7" s="115">
        <f>('STF 10'!I22)/'STF P2'!$M$1/1000</f>
        <v>67.202999086716545</v>
      </c>
      <c r="P7" s="112">
        <f>SUM(F7:O7)</f>
        <v>962.60958766044644</v>
      </c>
      <c r="Q7" s="103">
        <v>1200</v>
      </c>
    </row>
    <row r="8" spans="1:18" x14ac:dyDescent="0.25">
      <c r="A8" s="29" t="s">
        <v>28</v>
      </c>
      <c r="B8" s="105">
        <f t="shared" ref="B8" si="0">SUM(B7/B5)</f>
        <v>0.66253394476446059</v>
      </c>
      <c r="C8" s="105">
        <v>0.64</v>
      </c>
      <c r="D8" s="105">
        <v>0.6</v>
      </c>
      <c r="E8" s="227"/>
      <c r="F8" s="105">
        <f t="shared" ref="F8:P8" si="1">+F7/F5</f>
        <v>0.59217217703091229</v>
      </c>
      <c r="G8" s="105">
        <f t="shared" ref="G8:H8" si="2">+G7/G5</f>
        <v>0.58372609767738282</v>
      </c>
      <c r="H8" s="105">
        <f t="shared" si="2"/>
        <v>0.64751877457466034</v>
      </c>
      <c r="I8" s="105">
        <f t="shared" ref="I8:J8" si="3">+I7/I5</f>
        <v>0.59417448287922714</v>
      </c>
      <c r="J8" s="105">
        <f t="shared" si="3"/>
        <v>0.62257707465144985</v>
      </c>
      <c r="K8" s="105">
        <f t="shared" ref="K8:L8" si="4">+K7/K5</f>
        <v>0.65946545831403935</v>
      </c>
      <c r="L8" s="105">
        <f t="shared" si="4"/>
        <v>0.65556320706650362</v>
      </c>
      <c r="M8" s="105">
        <f t="shared" ref="M8" si="5">+M7/M5</f>
        <v>0.65421706666157153</v>
      </c>
      <c r="N8" s="105">
        <f t="shared" ref="N8:O8" si="6">+N7/N5</f>
        <v>0.65730566379530453</v>
      </c>
      <c r="O8" s="105">
        <f t="shared" si="6"/>
        <v>0.7901827386798379</v>
      </c>
      <c r="P8" s="105">
        <f t="shared" si="1"/>
        <v>0.64091450734034239</v>
      </c>
      <c r="Q8" s="106">
        <v>0.6</v>
      </c>
      <c r="R8" s="211"/>
    </row>
    <row r="9" spans="1:18" x14ac:dyDescent="0.25">
      <c r="A9" s="29" t="s">
        <v>31</v>
      </c>
      <c r="B9" s="115">
        <f>SUM('Summary Thai update 27.1.14'!E15/1000)</f>
        <v>238.27411852557992</v>
      </c>
      <c r="C9" s="115">
        <v>253.2</v>
      </c>
      <c r="D9" s="115">
        <v>293</v>
      </c>
      <c r="E9" s="226"/>
      <c r="F9" s="112">
        <f>('STF P1'!H18/'STF P1'!L1/1000)</f>
        <v>27.400312300376182</v>
      </c>
      <c r="G9" s="112">
        <f>('STF P2'!I18/'STF P2'!$M$1/1000)</f>
        <v>24.14182554584286</v>
      </c>
      <c r="H9" s="112">
        <f>('STF P3'!I18/'STF P2'!$M$1/1000)</f>
        <v>31.914264806820697</v>
      </c>
      <c r="I9" s="112">
        <f>('STF P4'!I18/'STF P2'!$M$1/1000)</f>
        <v>36.602571375087216</v>
      </c>
      <c r="J9" s="112">
        <f>('STF P5'!I18/'STF P2'!$M$1/1000)</f>
        <v>32.618452296539168</v>
      </c>
      <c r="K9" s="253">
        <f>('STF P6'!I19/'STF P2'!$M$1/1000)</f>
        <v>18.158854595063733</v>
      </c>
      <c r="L9" s="257">
        <f>(STFP7!I20/'STF P2'!$M$1/1000)</f>
        <v>20.85414693085707</v>
      </c>
      <c r="M9" s="257">
        <f>(STFP8!I20/'STF P2'!$M$1/1000)</f>
        <v>28.392285874738359</v>
      </c>
      <c r="N9" s="257">
        <f>('STF P9'!I21/'STF P2'!$M$1/1000)</f>
        <v>31.176903282715116</v>
      </c>
      <c r="O9" s="257">
        <f>('STF P9'!J21/'STF P2'!$M$1/1000)</f>
        <v>0</v>
      </c>
      <c r="P9" s="112">
        <f>SUM(F9:O9)</f>
        <v>251.25961700804038</v>
      </c>
      <c r="Q9" s="101">
        <v>340</v>
      </c>
    </row>
    <row r="10" spans="1:18" x14ac:dyDescent="0.25">
      <c r="A10" s="29" t="s">
        <v>0</v>
      </c>
      <c r="B10" s="107">
        <f t="shared" ref="B10" si="7">SUM(B9/B5)</f>
        <v>0.1913774361628659</v>
      </c>
      <c r="C10" s="107">
        <v>0.18</v>
      </c>
      <c r="D10" s="105">
        <v>0.17</v>
      </c>
      <c r="E10" s="228"/>
      <c r="F10" s="105">
        <f t="shared" ref="F10:P10" si="8">SUM(F9/F5)</f>
        <v>0.17948342427387048</v>
      </c>
      <c r="G10" s="105">
        <f t="shared" ref="G10:H10" si="9">SUM(G9/G5)</f>
        <v>0.19658437370195703</v>
      </c>
      <c r="H10" s="105">
        <f t="shared" si="9"/>
        <v>0.18555887702325835</v>
      </c>
      <c r="I10" s="105">
        <f t="shared" ref="I10:J10" si="10">SUM(I9/I5)</f>
        <v>0.24163162524420392</v>
      </c>
      <c r="J10" s="105">
        <f t="shared" si="10"/>
        <v>0.22212522849094765</v>
      </c>
      <c r="K10" s="105">
        <f t="shared" ref="K10:L10" si="11">SUM(K9/K5)</f>
        <v>0.14860323395642644</v>
      </c>
      <c r="L10" s="105">
        <f t="shared" si="11"/>
        <v>0.15531550934981778</v>
      </c>
      <c r="M10" s="105">
        <f t="shared" ref="M10" si="12">SUM(M9/M5)</f>
        <v>0.14063625573973537</v>
      </c>
      <c r="N10" s="105">
        <f t="shared" ref="N10:O10" si="13">SUM(N9/N5)</f>
        <v>0.14654489371175647</v>
      </c>
      <c r="O10" s="105">
        <f t="shared" si="13"/>
        <v>0</v>
      </c>
      <c r="P10" s="105">
        <f t="shared" si="8"/>
        <v>0.16729101362954177</v>
      </c>
      <c r="Q10" s="106">
        <v>0.17</v>
      </c>
    </row>
    <row r="11" spans="1:18" x14ac:dyDescent="0.25">
      <c r="A11" s="29" t="s">
        <v>32</v>
      </c>
      <c r="B11" s="115">
        <f t="shared" ref="B11" si="14">SUM(B7+B9)</f>
        <v>1063.1607658087069</v>
      </c>
      <c r="C11" s="115">
        <v>1149.4000000000001</v>
      </c>
      <c r="D11" s="115">
        <v>1333</v>
      </c>
      <c r="E11" s="226"/>
      <c r="F11" s="112">
        <f t="shared" ref="F11" si="15">SUM(F7+F9)</f>
        <v>117.80254666761304</v>
      </c>
      <c r="G11" s="112">
        <f t="shared" ref="G11:H11" si="16">SUM(G7+G9)</f>
        <v>95.827144939785697</v>
      </c>
      <c r="H11" s="112">
        <f t="shared" si="16"/>
        <v>143.28099632984851</v>
      </c>
      <c r="I11" s="112">
        <f t="shared" ref="I11:J11" si="17">SUM(I7+I9)</f>
        <v>126.60864527730351</v>
      </c>
      <c r="J11" s="112">
        <f t="shared" si="17"/>
        <v>124.04210889061588</v>
      </c>
      <c r="K11" s="115">
        <f t="shared" ref="K11:P11" si="18">SUM(K7+K9)</f>
        <v>98.743489593673957</v>
      </c>
      <c r="L11" s="115">
        <f t="shared" si="18"/>
        <v>108.87633801698368</v>
      </c>
      <c r="M11" s="115">
        <f t="shared" si="18"/>
        <v>160.4685977979091</v>
      </c>
      <c r="N11" s="115">
        <f t="shared" si="18"/>
        <v>171.01633806803682</v>
      </c>
      <c r="O11" s="115">
        <f t="shared" si="18"/>
        <v>67.202999086716545</v>
      </c>
      <c r="P11" s="112">
        <f t="shared" si="18"/>
        <v>1213.8692046684869</v>
      </c>
      <c r="Q11" s="103">
        <v>1540</v>
      </c>
    </row>
    <row r="12" spans="1:18" x14ac:dyDescent="0.25">
      <c r="A12" s="29" t="s">
        <v>29</v>
      </c>
      <c r="B12" s="107">
        <f t="shared" ref="B12" si="19">SUM(B11/B5)</f>
        <v>0.85391138092732655</v>
      </c>
      <c r="C12" s="107">
        <v>0.82</v>
      </c>
      <c r="D12" s="105">
        <v>0.77</v>
      </c>
      <c r="E12" s="228"/>
      <c r="F12" s="105">
        <f t="shared" ref="F12:P12" si="20">SUM(F11/F5)</f>
        <v>0.77165560130478283</v>
      </c>
      <c r="G12" s="105">
        <f t="shared" ref="G12:H12" si="21">SUM(G11/G5)</f>
        <v>0.78031047137933995</v>
      </c>
      <c r="H12" s="105">
        <f t="shared" si="21"/>
        <v>0.83307765159791869</v>
      </c>
      <c r="I12" s="105">
        <f t="shared" ref="I12:J12" si="22">SUM(I11/I5)</f>
        <v>0.83580610812343115</v>
      </c>
      <c r="J12" s="105">
        <f t="shared" si="22"/>
        <v>0.84470230314239747</v>
      </c>
      <c r="K12" s="105">
        <f t="shared" ref="K12:L12" si="23">SUM(K11/K5)</f>
        <v>0.80806869227046585</v>
      </c>
      <c r="L12" s="105">
        <f t="shared" si="23"/>
        <v>0.81087871641632148</v>
      </c>
      <c r="M12" s="105">
        <f t="shared" ref="M12" si="24">SUM(M11/M5)</f>
        <v>0.79485332240130691</v>
      </c>
      <c r="N12" s="105">
        <f t="shared" ref="N12:O12" si="25">SUM(N11/N5)</f>
        <v>0.80385055750706103</v>
      </c>
      <c r="O12" s="105">
        <f t="shared" si="25"/>
        <v>0.7901827386798379</v>
      </c>
      <c r="P12" s="105">
        <f t="shared" si="20"/>
        <v>0.80820552096988429</v>
      </c>
      <c r="Q12" s="106">
        <v>0.77</v>
      </c>
    </row>
    <row r="13" spans="1:18" x14ac:dyDescent="0.25">
      <c r="A13" s="29"/>
      <c r="B13" s="116"/>
      <c r="C13" s="102"/>
      <c r="D13" s="102"/>
      <c r="E13" s="226"/>
      <c r="F13" s="112"/>
      <c r="G13" s="112"/>
      <c r="H13" s="112"/>
      <c r="I13" s="112"/>
      <c r="J13" s="112"/>
      <c r="K13" s="102"/>
      <c r="L13" s="102"/>
      <c r="M13" s="102"/>
      <c r="N13" s="102"/>
      <c r="O13" s="102"/>
      <c r="P13" s="112"/>
      <c r="Q13" s="101"/>
    </row>
    <row r="14" spans="1:18" x14ac:dyDescent="0.25">
      <c r="A14" s="29" t="s">
        <v>10</v>
      </c>
      <c r="B14" s="115">
        <f>SUM('Summary Thai update 27.1.14'!E20/1000)</f>
        <v>9.8967270416269475</v>
      </c>
      <c r="C14" s="115">
        <v>12.6</v>
      </c>
      <c r="D14" s="115">
        <v>12.4</v>
      </c>
      <c r="E14" s="226"/>
      <c r="F14" s="112">
        <f>('STF P1'!H22/'STF P1'!L1/1000)</f>
        <v>1.2333025764781036</v>
      </c>
      <c r="G14" s="112">
        <f>('STF P2'!I22/'STF P2'!$M$1/1000)</f>
        <v>0.91328345255180476</v>
      </c>
      <c r="H14" s="112">
        <f>('STF P3'!I21/'STF P2'!$M$1/1000)</f>
        <v>1.2422923981915854</v>
      </c>
      <c r="I14" s="112">
        <f>('STF P4'!I21/'STF P2'!$M$1/1000)</f>
        <v>0.86223034029735601</v>
      </c>
      <c r="J14" s="112">
        <f>('STF P5'!I22/'STF P2'!$M$1/1000)</f>
        <v>1.0777879253716951</v>
      </c>
      <c r="K14" s="115">
        <f>('STF P6'!I22/'STF P2'!$M$1/1000)</f>
        <v>0.81117722804290737</v>
      </c>
      <c r="L14" s="115">
        <f>(STFP7!I23/'STF P2'!$M$1/1000)</f>
        <v>0.8792480443821723</v>
      </c>
      <c r="M14" s="115">
        <f>(STFP8!I24/'STF P2'!$M$1/1000)</f>
        <v>0.98986312093347784</v>
      </c>
      <c r="N14" s="115">
        <f>('STF P9'!I25/'STF P2'!$M$1/1000)</f>
        <v>0.24959299324397149</v>
      </c>
      <c r="O14" s="115">
        <f>('STF P9'!J25/'STF P2'!$M$1/1000)</f>
        <v>0</v>
      </c>
      <c r="P14" s="112">
        <f>SUM(F14:O14)</f>
        <v>8.2587780794930747</v>
      </c>
      <c r="Q14" s="101">
        <v>20</v>
      </c>
    </row>
    <row r="15" spans="1:18" x14ac:dyDescent="0.25">
      <c r="A15" s="29" t="s">
        <v>1</v>
      </c>
      <c r="B15" s="108">
        <f t="shared" ref="B15" si="26">SUM(B14/B5)</f>
        <v>7.9488710706401722E-3</v>
      </c>
      <c r="C15" s="108">
        <v>8.9999999999999993E-3</v>
      </c>
      <c r="D15" s="105">
        <v>0.01</v>
      </c>
      <c r="E15" s="229"/>
      <c r="F15" s="105">
        <f t="shared" ref="F15:P15" si="27">SUM(F14/F5)</f>
        <v>8.0786440375366832E-3</v>
      </c>
      <c r="G15" s="105">
        <f t="shared" ref="G15:H15" si="28">SUM(G14/G5)</f>
        <v>7.4367721360314954E-3</v>
      </c>
      <c r="H15" s="105">
        <f t="shared" si="28"/>
        <v>7.2230516271737794E-3</v>
      </c>
      <c r="I15" s="105">
        <f t="shared" ref="I15:J15" si="29">SUM(I14/I5)</f>
        <v>5.6920077096746522E-3</v>
      </c>
      <c r="J15" s="105">
        <f t="shared" si="29"/>
        <v>7.3395232554725794E-3</v>
      </c>
      <c r="K15" s="105">
        <f t="shared" ref="K15:L15" si="30">SUM(K14/K5)</f>
        <v>6.6382798963407061E-3</v>
      </c>
      <c r="L15" s="105">
        <f t="shared" si="30"/>
        <v>6.5483790015876649E-3</v>
      </c>
      <c r="M15" s="105">
        <f t="shared" ref="M15" si="31">SUM(M14/M5)</f>
        <v>4.9031150093763291E-3</v>
      </c>
      <c r="N15" s="105">
        <f t="shared" ref="N15:O15" si="32">SUM(N14/N5)</f>
        <v>1.1731947311911343E-3</v>
      </c>
      <c r="O15" s="105">
        <f t="shared" si="32"/>
        <v>0</v>
      </c>
      <c r="P15" s="105">
        <f t="shared" si="27"/>
        <v>5.4987720379101931E-3</v>
      </c>
      <c r="Q15" s="109">
        <v>0.01</v>
      </c>
    </row>
    <row r="16" spans="1:18" x14ac:dyDescent="0.25">
      <c r="A16" s="29" t="s">
        <v>11</v>
      </c>
      <c r="B16" s="115">
        <f>SUM('Summary Thai update 27.1.14'!E22/1000)</f>
        <v>42.053919923736899</v>
      </c>
      <c r="C16" s="115">
        <v>41.3</v>
      </c>
      <c r="D16" s="115">
        <v>41.3</v>
      </c>
      <c r="E16" s="230" t="s">
        <v>233</v>
      </c>
      <c r="F16" s="234">
        <f>'STF P1'!L4/'STF P1'!L1/1000</f>
        <v>3.2697971467101996</v>
      </c>
      <c r="G16" s="234">
        <f>'STF P2'!M4/'STF P2'!$M$1/1000</f>
        <v>3.1493411312235167</v>
      </c>
      <c r="H16" s="234">
        <f>'STF P3'!M4/'STF P2'!$M$1/1000</f>
        <v>3.1841017772155631</v>
      </c>
      <c r="I16" s="234">
        <f>'STF P4'!M4/'STF P2'!$M$1/1000</f>
        <v>3.204847209380159</v>
      </c>
      <c r="J16" s="234">
        <f>'STF P5'!M4/'STF P2'!$M$1/1000</f>
        <v>3.1961823617169731</v>
      </c>
      <c r="K16" s="247">
        <f>'STF P6'!N4/'STF P2'!$M$1/1000</f>
        <v>3.1745883133753483</v>
      </c>
      <c r="L16" s="247">
        <f>STFP7!O4/'STF P2'!$M$1/1000</f>
        <v>3.1492713586367684</v>
      </c>
      <c r="M16" s="247">
        <f>STFP8!O4/'STF P2'!$M$1/1000</f>
        <v>3.1695975880240748</v>
      </c>
      <c r="N16" s="247">
        <f>'STF P9'!O4/'STF P2'!$M$1/1000</f>
        <v>3.1695975880240748</v>
      </c>
      <c r="O16" s="247">
        <f>'STF 10'!O4/'STF P2'!$M$1/1000</f>
        <v>3.1486615575737291</v>
      </c>
      <c r="P16" s="234">
        <f>SUM(F16:O16)</f>
        <v>31.815986031880406</v>
      </c>
      <c r="Q16" s="101">
        <v>41</v>
      </c>
    </row>
    <row r="17" spans="1:17" x14ac:dyDescent="0.25">
      <c r="A17" s="29" t="s">
        <v>2</v>
      </c>
      <c r="B17" s="110">
        <f t="shared" ref="B17" si="33">SUM(B16/B5)</f>
        <v>3.3776943234139892E-2</v>
      </c>
      <c r="C17" s="110">
        <v>2.9499999999999998E-2</v>
      </c>
      <c r="D17" s="105">
        <v>0.02</v>
      </c>
      <c r="E17" s="231"/>
      <c r="F17" s="105">
        <f t="shared" ref="F17:P17" si="34">SUM(F16/F5)</f>
        <v>2.1418529180940053E-2</v>
      </c>
      <c r="G17" s="105">
        <f t="shared" ref="G17:H17" si="35">SUM(G16/G5)</f>
        <v>2.5644757173800253E-2</v>
      </c>
      <c r="H17" s="105">
        <f t="shared" si="35"/>
        <v>1.8513299732400776E-2</v>
      </c>
      <c r="I17" s="105">
        <f t="shared" ref="I17:J17" si="36">SUM(I16/I5)</f>
        <v>2.1156776990508202E-2</v>
      </c>
      <c r="J17" s="105">
        <f t="shared" si="36"/>
        <v>2.176537166573184E-2</v>
      </c>
      <c r="K17" s="105">
        <f t="shared" ref="K17:L17" si="37">SUM(K16/K5)</f>
        <v>2.5979286709861906E-2</v>
      </c>
      <c r="L17" s="105">
        <f t="shared" si="37"/>
        <v>2.3454840266024728E-2</v>
      </c>
      <c r="M17" s="105">
        <f t="shared" ref="M17" si="38">SUM(M16/M5)</f>
        <v>1.5700051026113795E-2</v>
      </c>
      <c r="N17" s="105">
        <f t="shared" ref="N17:O17" si="39">SUM(N16/N5)</f>
        <v>1.4898475882418577E-2</v>
      </c>
      <c r="O17" s="105">
        <f t="shared" si="39"/>
        <v>3.7022425286839897E-2</v>
      </c>
      <c r="P17" s="105">
        <f t="shared" si="34"/>
        <v>2.1183382416468034E-2</v>
      </c>
      <c r="Q17" s="109">
        <v>0.02</v>
      </c>
    </row>
    <row r="18" spans="1:17" x14ac:dyDescent="0.25">
      <c r="A18" s="29" t="s">
        <v>33</v>
      </c>
      <c r="B18" s="117">
        <f t="shared" ref="B18" si="40">SUM(B14+B16)</f>
        <v>51.950646965363845</v>
      </c>
      <c r="C18" s="115">
        <v>53.9</v>
      </c>
      <c r="D18" s="115">
        <v>53.7</v>
      </c>
      <c r="E18" s="226"/>
      <c r="F18" s="112">
        <f t="shared" ref="F18" si="41">SUM(F14+F16)</f>
        <v>4.5030997231883028</v>
      </c>
      <c r="G18" s="112">
        <f t="shared" ref="G18:H18" si="42">SUM(G14+G16)</f>
        <v>4.062624583775321</v>
      </c>
      <c r="H18" s="112">
        <f t="shared" si="42"/>
        <v>4.4263941754071485</v>
      </c>
      <c r="I18" s="112">
        <f t="shared" ref="I18:J18" si="43">SUM(I14+I16)</f>
        <v>4.0670775496775153</v>
      </c>
      <c r="J18" s="112">
        <f t="shared" si="43"/>
        <v>4.2739702870886678</v>
      </c>
      <c r="K18" s="115">
        <f t="shared" ref="K18:P18" si="44">SUM(K14+K16)</f>
        <v>3.9857655414182558</v>
      </c>
      <c r="L18" s="115">
        <f t="shared" si="44"/>
        <v>4.0285194030189411</v>
      </c>
      <c r="M18" s="115">
        <f t="shared" si="44"/>
        <v>4.1594607089575524</v>
      </c>
      <c r="N18" s="115">
        <f t="shared" si="44"/>
        <v>3.4191905812680461</v>
      </c>
      <c r="O18" s="115">
        <f t="shared" si="44"/>
        <v>3.1486615575737291</v>
      </c>
      <c r="P18" s="112">
        <f t="shared" si="44"/>
        <v>40.074764111373483</v>
      </c>
      <c r="Q18" s="101">
        <v>61</v>
      </c>
    </row>
    <row r="19" spans="1:17" x14ac:dyDescent="0.25">
      <c r="A19" s="29" t="s">
        <v>3</v>
      </c>
      <c r="B19" s="108">
        <f t="shared" ref="B19" si="45">SUM(B18/B5)</f>
        <v>4.1725814304780062E-2</v>
      </c>
      <c r="C19" s="108">
        <v>3.7999999999999999E-2</v>
      </c>
      <c r="D19" s="105">
        <v>0.03</v>
      </c>
      <c r="E19" s="229"/>
      <c r="F19" s="105">
        <f t="shared" ref="F19:P19" si="46">SUM(F18/F5)</f>
        <v>2.9497173218476731E-2</v>
      </c>
      <c r="G19" s="105">
        <f t="shared" ref="G19:H19" si="47">SUM(G18/G5)</f>
        <v>3.3081529309831749E-2</v>
      </c>
      <c r="H19" s="105">
        <f t="shared" si="47"/>
        <v>2.5736351359574552E-2</v>
      </c>
      <c r="I19" s="105">
        <f t="shared" ref="I19:J19" si="48">SUM(I18/I5)</f>
        <v>2.6848784700182857E-2</v>
      </c>
      <c r="J19" s="105">
        <f t="shared" si="48"/>
        <v>2.9104894921204418E-2</v>
      </c>
      <c r="K19" s="105">
        <f t="shared" ref="K19:L19" si="49">SUM(K18/K5)</f>
        <v>3.2617566606202616E-2</v>
      </c>
      <c r="L19" s="105">
        <f t="shared" si="49"/>
        <v>3.0003219267612392E-2</v>
      </c>
      <c r="M19" s="105">
        <f t="shared" ref="M19" si="50">SUM(M18/M5)</f>
        <v>2.0603166035490124E-2</v>
      </c>
      <c r="N19" s="105">
        <f t="shared" ref="N19:O19" si="51">SUM(N18/N5)</f>
        <v>1.6071670613609711E-2</v>
      </c>
      <c r="O19" s="105">
        <f t="shared" si="51"/>
        <v>3.7022425286839897E-2</v>
      </c>
      <c r="P19" s="105">
        <f t="shared" si="46"/>
        <v>2.6682154454378229E-2</v>
      </c>
      <c r="Q19" s="106">
        <v>0.03</v>
      </c>
    </row>
    <row r="20" spans="1:17" x14ac:dyDescent="0.25">
      <c r="A20" s="29"/>
      <c r="B20" s="116"/>
      <c r="C20" s="102"/>
      <c r="D20" s="102"/>
      <c r="E20" s="226"/>
      <c r="F20" s="112"/>
      <c r="G20" s="112"/>
      <c r="H20" s="112"/>
      <c r="I20" s="112"/>
      <c r="J20" s="112"/>
      <c r="K20" s="102"/>
      <c r="L20" s="102"/>
      <c r="M20" s="102"/>
      <c r="N20" s="102"/>
      <c r="O20" s="102"/>
      <c r="P20" s="112"/>
      <c r="Q20" s="101"/>
    </row>
    <row r="21" spans="1:17" x14ac:dyDescent="0.25">
      <c r="A21" s="29" t="s">
        <v>4</v>
      </c>
      <c r="B21" s="115">
        <f>SUM('Summary Thai update 27.1.14'!E27/1000)</f>
        <v>22.658826819192875</v>
      </c>
      <c r="C21" s="115">
        <v>27.1</v>
      </c>
      <c r="D21" s="115">
        <v>120.4</v>
      </c>
      <c r="E21" s="230" t="s">
        <v>234</v>
      </c>
      <c r="F21" s="234">
        <f>'STF P1'!L7/'STF P1'!L1/1000</f>
        <v>8.8535078429980842</v>
      </c>
      <c r="G21" s="234">
        <f>'STF P2'!M7/'STF P2'!$M$1/1000</f>
        <v>8.8200238815113998</v>
      </c>
      <c r="H21" s="234">
        <f>'STF P3'!M7/'STF P2'!$M$1/1000</f>
        <v>8.8605784884875263</v>
      </c>
      <c r="I21" s="234">
        <f>'STF P4'!M7/'STF P2'!$M$1/1000</f>
        <v>9.0416176462246227</v>
      </c>
      <c r="J21" s="234">
        <f>'STF P5'!M7/'STF P2'!$M$1/1000</f>
        <v>7.9825880524372197</v>
      </c>
      <c r="K21" s="247">
        <f>'STF P6'!N7/'STF P2'!$M$1/1000</f>
        <v>8.5883343638498584</v>
      </c>
      <c r="L21" s="247">
        <f>STFP7!O7/'STF P2'!$M$1/1000</f>
        <v>8.7843312325923062</v>
      </c>
      <c r="M21" s="247">
        <f>STFP8!O7/'STF P2'!$M$1/1000</f>
        <v>9.3620709411357623</v>
      </c>
      <c r="N21" s="247">
        <f>'STF P9'!O7/'STF P2'!$M$1/1000</f>
        <v>9.049476138342591</v>
      </c>
      <c r="O21" s="247">
        <f>'STF 10'!O7/'STF P2'!$M$1/1000</f>
        <v>8.57247584904162</v>
      </c>
      <c r="P21" s="234">
        <f>SUM(F21:O21)</f>
        <v>87.915004436621004</v>
      </c>
      <c r="Q21" s="101">
        <v>120</v>
      </c>
    </row>
    <row r="22" spans="1:17" x14ac:dyDescent="0.25">
      <c r="A22" s="29" t="s">
        <v>7</v>
      </c>
      <c r="B22" s="118">
        <f t="shared" ref="B22" si="52">SUM(B21/B5)</f>
        <v>1.8199157382046867E-2</v>
      </c>
      <c r="C22" s="111">
        <v>1.9E-2</v>
      </c>
      <c r="D22" s="105">
        <v>7.0000000000000007E-2</v>
      </c>
      <c r="E22" s="232"/>
      <c r="F22" s="105">
        <f t="shared" ref="F22:P22" si="53">SUM(F21/F5)</f>
        <v>5.7994153025586088E-2</v>
      </c>
      <c r="G22" s="105">
        <f t="shared" ref="G22:H22" si="54">SUM(G21/G5)</f>
        <v>7.1820536831018175E-2</v>
      </c>
      <c r="H22" s="105">
        <f t="shared" si="54"/>
        <v>5.1517996859786558E-2</v>
      </c>
      <c r="I22" s="105">
        <f t="shared" ref="I22:J22" si="55">SUM(I21/I5)</f>
        <v>5.9688177213170546E-2</v>
      </c>
      <c r="J22" s="105">
        <f t="shared" si="55"/>
        <v>5.4359850644564653E-2</v>
      </c>
      <c r="K22" s="105">
        <f t="shared" ref="K22:L22" si="56">SUM(K21/K5)</f>
        <v>7.0282751265277027E-2</v>
      </c>
      <c r="L22" s="105">
        <f t="shared" si="56"/>
        <v>6.5423097104433531E-2</v>
      </c>
      <c r="M22" s="105">
        <f t="shared" ref="M22" si="57">SUM(M21/M5)</f>
        <v>4.6373392017110604E-2</v>
      </c>
      <c r="N22" s="105">
        <f t="shared" ref="N22:O22" si="58">SUM(N21/N5)</f>
        <v>4.2536441378247108E-2</v>
      </c>
      <c r="O22" s="105">
        <f t="shared" si="58"/>
        <v>0.10079643075038597</v>
      </c>
      <c r="P22" s="105">
        <f t="shared" si="53"/>
        <v>5.8534635929885018E-2</v>
      </c>
      <c r="Q22" s="106">
        <v>0.06</v>
      </c>
    </row>
    <row r="23" spans="1:17" x14ac:dyDescent="0.25">
      <c r="A23" s="29"/>
      <c r="B23" s="116"/>
      <c r="C23" s="102"/>
      <c r="D23" s="102"/>
      <c r="E23" s="226"/>
      <c r="F23" s="112"/>
      <c r="G23" s="112"/>
      <c r="H23" s="112"/>
      <c r="I23" s="112"/>
      <c r="J23" s="112"/>
      <c r="K23" s="102"/>
      <c r="L23" s="102"/>
      <c r="M23" s="102"/>
      <c r="N23" s="102"/>
      <c r="O23" s="102"/>
      <c r="P23" s="112"/>
      <c r="Q23" s="101"/>
    </row>
    <row r="24" spans="1:17" x14ac:dyDescent="0.25">
      <c r="A24" s="29" t="s">
        <v>8</v>
      </c>
      <c r="B24" s="115">
        <f>SUM('Summary Thai update 27.1.14'!E30/1000)</f>
        <v>107.27788782967906</v>
      </c>
      <c r="C24" s="115">
        <v>170.1</v>
      </c>
      <c r="D24" s="115">
        <v>217.9</v>
      </c>
      <c r="E24" s="226"/>
      <c r="F24" s="112">
        <f t="shared" ref="F24" si="59">F5-F11-F18-F21</f>
        <v>21.502922563702182</v>
      </c>
      <c r="G24" s="112">
        <f t="shared" ref="G24:H24" si="60">G5-G11-G18-G21</f>
        <v>14.096638719814848</v>
      </c>
      <c r="H24" s="112">
        <f t="shared" si="60"/>
        <v>15.421996233414845</v>
      </c>
      <c r="I24" s="112">
        <f t="shared" ref="I24:J24" si="61">I5-I11-I18-I21</f>
        <v>11.763540136255095</v>
      </c>
      <c r="J24" s="112">
        <f t="shared" si="61"/>
        <v>10.548462734064355</v>
      </c>
      <c r="K24" s="115">
        <f t="shared" ref="K24" si="62">K5-K11-K18-K21</f>
        <v>10.879311009887287</v>
      </c>
      <c r="L24" s="115">
        <f>L5-L11-L18-L21</f>
        <v>12.580383125244632</v>
      </c>
      <c r="M24" s="115">
        <f>M5-M11-M18-M21</f>
        <v>27.894411102350155</v>
      </c>
      <c r="N24" s="115">
        <f>N5-N11-N18-N21</f>
        <v>29.261427333269012</v>
      </c>
      <c r="O24" s="115">
        <f>O5-O11-O18-O21</f>
        <v>6.1232782337892289</v>
      </c>
      <c r="P24" s="112">
        <f>P5-P11-P18-P21</f>
        <v>160.07237119179155</v>
      </c>
      <c r="Q24" s="101">
        <v>279</v>
      </c>
    </row>
    <row r="25" spans="1:17" x14ac:dyDescent="0.25">
      <c r="A25" s="29" t="s">
        <v>9</v>
      </c>
      <c r="B25" s="108">
        <f t="shared" ref="B25" si="63">SUM(B24/B5)</f>
        <v>8.6163647385846628E-2</v>
      </c>
      <c r="C25" s="108">
        <v>0.121</v>
      </c>
      <c r="D25" s="105">
        <v>0.13</v>
      </c>
      <c r="E25" s="229"/>
      <c r="F25" s="105">
        <f t="shared" ref="F25:P25" si="64">SUM(F24/F5)</f>
        <v>0.14085307245115433</v>
      </c>
      <c r="G25" s="105">
        <f t="shared" ref="G25:H25" si="65">SUM(G24/G5)</f>
        <v>0.11478746247981014</v>
      </c>
      <c r="H25" s="105">
        <f t="shared" si="65"/>
        <v>8.9668000182720184E-2</v>
      </c>
      <c r="I25" s="105">
        <f t="shared" ref="I25:J25" si="66">SUM(I24/I5)</f>
        <v>7.7656929963215451E-2</v>
      </c>
      <c r="J25" s="105">
        <f t="shared" si="66"/>
        <v>7.1832951291833452E-2</v>
      </c>
      <c r="K25" s="105">
        <f t="shared" ref="K25:L25" si="67">SUM(K24/K5)</f>
        <v>8.9030989858054549E-2</v>
      </c>
      <c r="L25" s="105">
        <f t="shared" si="67"/>
        <v>9.3694967211632632E-2</v>
      </c>
      <c r="M25" s="105">
        <f t="shared" ref="M25" si="68">SUM(M24/M5)</f>
        <v>0.1381701195460924</v>
      </c>
      <c r="N25" s="105">
        <f t="shared" ref="N25:O25" si="69">SUM(N24/N5)</f>
        <v>0.13754133050108217</v>
      </c>
      <c r="O25" s="105">
        <f t="shared" si="69"/>
        <v>7.1998405282936259E-2</v>
      </c>
      <c r="P25" s="105">
        <f t="shared" si="64"/>
        <v>0.10657768864585249</v>
      </c>
      <c r="Q25" s="106">
        <v>0.14000000000000001</v>
      </c>
    </row>
    <row r="26" spans="1:17" x14ac:dyDescent="0.25">
      <c r="B26" s="99"/>
      <c r="C26" s="99"/>
    </row>
  </sheetData>
  <pageMargins left="0.7" right="0.7" top="0.75" bottom="0.75" header="0.3" footer="0.3"/>
  <pageSetup orientation="landscape" horizontalDpi="4294967292" r:id="rId1"/>
  <ignoredErrors>
    <ignoredError sqref="D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9" tint="0.39997558519241921"/>
  </sheetPr>
  <dimension ref="A1:Q81"/>
  <sheetViews>
    <sheetView workbookViewId="0">
      <pane xSplit="8" ySplit="2" topLeftCell="I48" activePane="bottomRight" state="frozenSplit"/>
      <selection pane="topRight" activeCell="I1" sqref="I1"/>
      <selection pane="bottomLeft" activeCell="A3" sqref="A3"/>
      <selection pane="bottomRight" activeCell="O8" sqref="O8"/>
    </sheetView>
  </sheetViews>
  <sheetFormatPr defaultRowHeight="15" x14ac:dyDescent="0.25"/>
  <cols>
    <col min="1" max="7" width="3" style="214" customWidth="1"/>
    <col min="8" max="8" width="36.7109375" style="214" customWidth="1"/>
    <col min="9" max="9" width="15" style="119" bestFit="1" customWidth="1"/>
    <col min="10" max="10" width="2.28515625" style="119" customWidth="1"/>
    <col min="12" max="12" width="11.85546875" bestFit="1" customWidth="1"/>
    <col min="14" max="14" width="26.85546875" customWidth="1"/>
    <col min="15" max="15" width="11.7109375" customWidth="1"/>
    <col min="17" max="17" width="26.42578125" customWidth="1"/>
  </cols>
  <sheetData>
    <row r="1" spans="1:17" ht="15.75" thickBot="1" x14ac:dyDescent="0.3">
      <c r="A1" s="205"/>
      <c r="B1" s="205"/>
      <c r="C1" s="205"/>
      <c r="D1" s="205"/>
      <c r="E1" s="205"/>
      <c r="F1" s="205"/>
      <c r="G1" s="205"/>
      <c r="H1" s="205"/>
      <c r="I1" s="206" t="s">
        <v>338</v>
      </c>
      <c r="J1" s="260"/>
      <c r="N1" s="215" t="s">
        <v>223</v>
      </c>
      <c r="O1" s="235">
        <v>35.257399999999997</v>
      </c>
      <c r="P1" s="215" t="s">
        <v>224</v>
      </c>
      <c r="Q1" s="79"/>
    </row>
    <row r="2" spans="1:17" s="79" customFormat="1" ht="15.75" thickTop="1" x14ac:dyDescent="0.25">
      <c r="A2" s="200"/>
      <c r="B2" s="200" t="s">
        <v>57</v>
      </c>
      <c r="C2" s="200"/>
      <c r="D2" s="200"/>
      <c r="E2" s="200"/>
      <c r="F2" s="200"/>
      <c r="G2" s="200"/>
      <c r="H2" s="200"/>
      <c r="I2" s="201"/>
      <c r="J2" s="261"/>
      <c r="N2"/>
      <c r="O2"/>
      <c r="P2"/>
      <c r="Q2"/>
    </row>
    <row r="3" spans="1:17" ht="30" x14ac:dyDescent="0.25">
      <c r="A3" s="200"/>
      <c r="B3" s="200"/>
      <c r="C3" s="200"/>
      <c r="D3" s="200" t="s">
        <v>58</v>
      </c>
      <c r="E3" s="200"/>
      <c r="F3" s="200"/>
      <c r="G3" s="200"/>
      <c r="H3" s="200"/>
      <c r="I3" s="201"/>
      <c r="J3" s="262"/>
      <c r="N3" s="216" t="s">
        <v>225</v>
      </c>
      <c r="O3" s="217" t="s">
        <v>224</v>
      </c>
      <c r="P3" s="218" t="s">
        <v>226</v>
      </c>
      <c r="Q3" s="217" t="s">
        <v>227</v>
      </c>
    </row>
    <row r="4" spans="1:17" x14ac:dyDescent="0.25">
      <c r="A4" s="200"/>
      <c r="B4" s="200"/>
      <c r="C4" s="200"/>
      <c r="D4" s="200"/>
      <c r="E4" s="200" t="s">
        <v>59</v>
      </c>
      <c r="F4" s="200"/>
      <c r="G4" s="200"/>
      <c r="H4" s="200"/>
      <c r="I4" s="201"/>
      <c r="J4" s="262"/>
      <c r="N4" s="219" t="s">
        <v>228</v>
      </c>
      <c r="O4" s="220">
        <f>I35</f>
        <v>111013.62</v>
      </c>
      <c r="P4" s="219"/>
      <c r="Q4" s="219" t="s">
        <v>229</v>
      </c>
    </row>
    <row r="5" spans="1:17" x14ac:dyDescent="0.25">
      <c r="A5" s="200"/>
      <c r="B5" s="200"/>
      <c r="C5" s="200"/>
      <c r="D5" s="200"/>
      <c r="E5" s="200"/>
      <c r="F5" s="200" t="s">
        <v>60</v>
      </c>
      <c r="G5" s="200"/>
      <c r="H5" s="200"/>
      <c r="I5" s="201">
        <v>2903253.92</v>
      </c>
      <c r="J5" s="262"/>
    </row>
    <row r="6" spans="1:17" ht="30" x14ac:dyDescent="0.25">
      <c r="A6" s="200"/>
      <c r="B6" s="200"/>
      <c r="C6" s="200"/>
      <c r="D6" s="200"/>
      <c r="E6" s="200"/>
      <c r="F6" s="200" t="s">
        <v>62</v>
      </c>
      <c r="G6" s="200"/>
      <c r="H6" s="200"/>
      <c r="I6" s="201">
        <v>78448.800000000003</v>
      </c>
      <c r="J6" s="262"/>
      <c r="N6" s="216" t="s">
        <v>230</v>
      </c>
      <c r="O6" s="217" t="s">
        <v>224</v>
      </c>
      <c r="P6" s="218" t="s">
        <v>226</v>
      </c>
      <c r="Q6" s="217" t="s">
        <v>227</v>
      </c>
    </row>
    <row r="7" spans="1:17" ht="15.75" thickBot="1" x14ac:dyDescent="0.3">
      <c r="A7" s="200"/>
      <c r="B7" s="200"/>
      <c r="C7" s="200"/>
      <c r="D7" s="200"/>
      <c r="E7" s="200"/>
      <c r="F7" s="200" t="s">
        <v>63</v>
      </c>
      <c r="G7" s="200"/>
      <c r="H7" s="200"/>
      <c r="I7" s="202">
        <v>16848</v>
      </c>
      <c r="J7" s="262"/>
      <c r="N7" s="221" t="s">
        <v>231</v>
      </c>
      <c r="O7" s="220">
        <f>I53-O4</f>
        <v>302243.21000000002</v>
      </c>
      <c r="P7" s="219"/>
      <c r="Q7" s="219" t="s">
        <v>229</v>
      </c>
    </row>
    <row r="8" spans="1:17" ht="15.75" thickBot="1" x14ac:dyDescent="0.3">
      <c r="A8" s="200"/>
      <c r="B8" s="200"/>
      <c r="C8" s="200"/>
      <c r="D8" s="200"/>
      <c r="E8" s="200" t="s">
        <v>67</v>
      </c>
      <c r="F8" s="200"/>
      <c r="G8" s="200"/>
      <c r="H8" s="200"/>
      <c r="I8" s="83">
        <f>ROUND(SUM(I4:I7),5)</f>
        <v>2998550.72</v>
      </c>
      <c r="J8" s="262"/>
    </row>
    <row r="9" spans="1:17" x14ac:dyDescent="0.25">
      <c r="A9" s="200"/>
      <c r="B9" s="200"/>
      <c r="C9" s="200"/>
      <c r="D9" s="200" t="s">
        <v>68</v>
      </c>
      <c r="E9" s="200"/>
      <c r="F9" s="200"/>
      <c r="G9" s="200"/>
      <c r="H9" s="200"/>
      <c r="I9" s="201">
        <f>ROUND(I3+I8,5)</f>
        <v>2998550.72</v>
      </c>
      <c r="J9" s="262"/>
    </row>
    <row r="10" spans="1:17" x14ac:dyDescent="0.25">
      <c r="A10" s="200"/>
      <c r="B10" s="200"/>
      <c r="C10" s="200"/>
      <c r="D10" s="200" t="s">
        <v>69</v>
      </c>
      <c r="E10" s="200"/>
      <c r="F10" s="200"/>
      <c r="G10" s="200"/>
      <c r="H10" s="200"/>
      <c r="I10" s="201"/>
      <c r="J10" s="262"/>
    </row>
    <row r="11" spans="1:17" x14ac:dyDescent="0.25">
      <c r="A11" s="200"/>
      <c r="B11" s="200"/>
      <c r="C11" s="200"/>
      <c r="D11" s="200"/>
      <c r="E11" s="200" t="s">
        <v>240</v>
      </c>
      <c r="F11" s="200"/>
      <c r="G11" s="200"/>
      <c r="H11" s="200"/>
      <c r="I11" s="201"/>
      <c r="J11" s="262"/>
    </row>
    <row r="12" spans="1:17" ht="30" customHeight="1" x14ac:dyDescent="0.25">
      <c r="A12" s="200"/>
      <c r="B12" s="200"/>
      <c r="C12" s="200"/>
      <c r="D12" s="200"/>
      <c r="E12" s="200"/>
      <c r="F12" s="200" t="s">
        <v>241</v>
      </c>
      <c r="G12" s="200"/>
      <c r="H12" s="200"/>
      <c r="I12" s="201"/>
      <c r="J12" s="262"/>
    </row>
    <row r="13" spans="1:17" ht="30" customHeight="1" x14ac:dyDescent="0.25">
      <c r="A13" s="200"/>
      <c r="B13" s="200"/>
      <c r="C13" s="200"/>
      <c r="D13" s="200"/>
      <c r="E13" s="200"/>
      <c r="F13" s="200"/>
      <c r="G13" s="200" t="s">
        <v>242</v>
      </c>
      <c r="H13" s="200"/>
      <c r="I13" s="201">
        <v>2344745.02</v>
      </c>
      <c r="J13" s="262"/>
    </row>
    <row r="14" spans="1:17" x14ac:dyDescent="0.25">
      <c r="A14" s="200"/>
      <c r="B14" s="200"/>
      <c r="C14" s="200"/>
      <c r="D14" s="200"/>
      <c r="E14" s="200"/>
      <c r="F14" s="200"/>
      <c r="G14" s="200" t="s">
        <v>243</v>
      </c>
      <c r="H14" s="200"/>
      <c r="I14" s="201"/>
      <c r="J14" s="262"/>
    </row>
    <row r="15" spans="1:17" x14ac:dyDescent="0.25">
      <c r="A15" s="200"/>
      <c r="B15" s="200"/>
      <c r="C15" s="200"/>
      <c r="D15" s="200"/>
      <c r="E15" s="200"/>
      <c r="F15" s="200"/>
      <c r="G15" s="200"/>
      <c r="H15" s="200" t="s">
        <v>244</v>
      </c>
      <c r="I15" s="201">
        <v>1560</v>
      </c>
      <c r="J15" s="262"/>
    </row>
    <row r="16" spans="1:17" ht="15.75" thickBot="1" x14ac:dyDescent="0.3">
      <c r="A16" s="200"/>
      <c r="B16" s="200"/>
      <c r="C16" s="200"/>
      <c r="D16" s="200"/>
      <c r="E16" s="200"/>
      <c r="F16" s="200"/>
      <c r="G16" s="200"/>
      <c r="H16" s="200" t="s">
        <v>311</v>
      </c>
      <c r="I16" s="204">
        <v>3500</v>
      </c>
      <c r="J16" s="262"/>
    </row>
    <row r="17" spans="1:10" x14ac:dyDescent="0.25">
      <c r="A17" s="200"/>
      <c r="B17" s="200"/>
      <c r="C17" s="200"/>
      <c r="D17" s="200"/>
      <c r="E17" s="200"/>
      <c r="F17" s="200"/>
      <c r="G17" s="200" t="s">
        <v>245</v>
      </c>
      <c r="H17" s="200"/>
      <c r="I17" s="201">
        <f>ROUND(SUM(I14:I16),5)</f>
        <v>5060</v>
      </c>
      <c r="J17" s="262"/>
    </row>
    <row r="18" spans="1:10" x14ac:dyDescent="0.25">
      <c r="A18" s="200"/>
      <c r="B18" s="200"/>
      <c r="C18" s="200"/>
      <c r="D18" s="200"/>
      <c r="E18" s="200"/>
      <c r="F18" s="200"/>
      <c r="G18" s="200" t="s">
        <v>248</v>
      </c>
      <c r="H18" s="200"/>
      <c r="I18" s="201">
        <v>8000</v>
      </c>
      <c r="J18" s="262"/>
    </row>
    <row r="19" spans="1:10" ht="15.75" thickBot="1" x14ac:dyDescent="0.3">
      <c r="A19" s="200"/>
      <c r="B19" s="200"/>
      <c r="C19" s="200"/>
      <c r="D19" s="200"/>
      <c r="E19" s="200"/>
      <c r="F19" s="200"/>
      <c r="G19" s="200" t="s">
        <v>249</v>
      </c>
      <c r="H19" s="200"/>
      <c r="I19" s="202">
        <v>11598</v>
      </c>
      <c r="J19" s="262"/>
    </row>
    <row r="20" spans="1:10" ht="15.75" thickBot="1" x14ac:dyDescent="0.3">
      <c r="A20" s="200"/>
      <c r="B20" s="200"/>
      <c r="C20" s="200"/>
      <c r="D20" s="200"/>
      <c r="E20" s="200"/>
      <c r="F20" s="200" t="s">
        <v>251</v>
      </c>
      <c r="G20" s="200"/>
      <c r="H20" s="200"/>
      <c r="I20" s="203">
        <f>ROUND(SUM(I12:I13)+SUM(I17:I19),5)</f>
        <v>2369403.02</v>
      </c>
      <c r="J20" s="262"/>
    </row>
    <row r="21" spans="1:10" ht="30" customHeight="1" thickBot="1" x14ac:dyDescent="0.3">
      <c r="A21" s="200"/>
      <c r="B21" s="200"/>
      <c r="C21" s="200"/>
      <c r="D21" s="200"/>
      <c r="E21" s="200" t="s">
        <v>252</v>
      </c>
      <c r="F21" s="200"/>
      <c r="G21" s="200"/>
      <c r="H21" s="200"/>
      <c r="I21" s="203">
        <f>ROUND(I11+I20,5)</f>
        <v>2369403.02</v>
      </c>
      <c r="J21" s="262"/>
    </row>
    <row r="22" spans="1:10" ht="15.75" thickBot="1" x14ac:dyDescent="0.3">
      <c r="A22" s="200"/>
      <c r="B22" s="200"/>
      <c r="C22" s="200"/>
      <c r="D22" s="200" t="s">
        <v>88</v>
      </c>
      <c r="E22" s="200"/>
      <c r="F22" s="200"/>
      <c r="G22" s="200"/>
      <c r="H22" s="200"/>
      <c r="I22" s="83">
        <f>ROUND(I10+I21,5)</f>
        <v>2369403.02</v>
      </c>
      <c r="J22" s="262"/>
    </row>
    <row r="23" spans="1:10" x14ac:dyDescent="0.25">
      <c r="A23" s="200"/>
      <c r="B23" s="200"/>
      <c r="C23" s="200" t="s">
        <v>89</v>
      </c>
      <c r="D23" s="200"/>
      <c r="E23" s="200"/>
      <c r="F23" s="200"/>
      <c r="G23" s="200"/>
      <c r="H23" s="200"/>
      <c r="I23" s="201">
        <f>ROUND(I9-I22,5)</f>
        <v>629147.69999999995</v>
      </c>
      <c r="J23" s="262"/>
    </row>
    <row r="24" spans="1:10" x14ac:dyDescent="0.25">
      <c r="A24" s="200"/>
      <c r="B24" s="200"/>
      <c r="C24" s="200"/>
      <c r="D24" s="200" t="s">
        <v>90</v>
      </c>
      <c r="E24" s="200"/>
      <c r="F24" s="200"/>
      <c r="G24" s="200"/>
      <c r="H24" s="200"/>
      <c r="I24" s="201"/>
      <c r="J24" s="262"/>
    </row>
    <row r="25" spans="1:10" x14ac:dyDescent="0.25">
      <c r="A25" s="200"/>
      <c r="B25" s="200"/>
      <c r="C25" s="200"/>
      <c r="D25" s="200"/>
      <c r="E25" s="200" t="s">
        <v>253</v>
      </c>
      <c r="F25" s="200"/>
      <c r="G25" s="200"/>
      <c r="H25" s="200"/>
      <c r="I25" s="201"/>
      <c r="J25" s="262"/>
    </row>
    <row r="26" spans="1:10" x14ac:dyDescent="0.25">
      <c r="A26" s="200"/>
      <c r="B26" s="200"/>
      <c r="C26" s="200"/>
      <c r="D26" s="200"/>
      <c r="E26" s="200"/>
      <c r="F26" s="200" t="s">
        <v>254</v>
      </c>
      <c r="G26" s="200"/>
      <c r="H26" s="200"/>
      <c r="I26" s="201"/>
      <c r="J26" s="262"/>
    </row>
    <row r="27" spans="1:10" ht="30" customHeight="1" x14ac:dyDescent="0.25">
      <c r="A27" s="200"/>
      <c r="B27" s="200"/>
      <c r="C27" s="200"/>
      <c r="D27" s="200"/>
      <c r="E27" s="200"/>
      <c r="F27" s="200"/>
      <c r="G27" s="200" t="s">
        <v>255</v>
      </c>
      <c r="H27" s="200"/>
      <c r="I27" s="201"/>
      <c r="J27" s="262"/>
    </row>
    <row r="28" spans="1:10" x14ac:dyDescent="0.25">
      <c r="A28" s="200"/>
      <c r="B28" s="200"/>
      <c r="C28" s="200"/>
      <c r="D28" s="200"/>
      <c r="E28" s="200"/>
      <c r="F28" s="200"/>
      <c r="G28" s="200"/>
      <c r="H28" s="200" t="s">
        <v>256</v>
      </c>
      <c r="I28" s="201">
        <v>224000</v>
      </c>
      <c r="J28" s="262"/>
    </row>
    <row r="29" spans="1:10" ht="30" customHeight="1" thickBot="1" x14ac:dyDescent="0.3">
      <c r="A29" s="200"/>
      <c r="B29" s="200"/>
      <c r="C29" s="200"/>
      <c r="D29" s="200"/>
      <c r="E29" s="200"/>
      <c r="F29" s="200"/>
      <c r="G29" s="200"/>
      <c r="H29" s="200" t="s">
        <v>292</v>
      </c>
      <c r="I29" s="204">
        <v>37000</v>
      </c>
      <c r="J29" s="262"/>
    </row>
    <row r="30" spans="1:10" ht="30" customHeight="1" x14ac:dyDescent="0.25">
      <c r="A30" s="200"/>
      <c r="B30" s="200"/>
      <c r="C30" s="200"/>
      <c r="D30" s="200"/>
      <c r="E30" s="200"/>
      <c r="F30" s="200"/>
      <c r="G30" s="200" t="s">
        <v>257</v>
      </c>
      <c r="H30" s="200"/>
      <c r="I30" s="201">
        <f>ROUND(SUM(I27:I29),5)</f>
        <v>261000</v>
      </c>
      <c r="J30" s="262"/>
    </row>
    <row r="31" spans="1:10" ht="30" customHeight="1" x14ac:dyDescent="0.25">
      <c r="A31" s="200"/>
      <c r="B31" s="200"/>
      <c r="C31" s="200"/>
      <c r="D31" s="200"/>
      <c r="E31" s="200"/>
      <c r="F31" s="200"/>
      <c r="G31" s="200" t="s">
        <v>262</v>
      </c>
      <c r="H31" s="200"/>
      <c r="I31" s="201"/>
      <c r="J31" s="262"/>
    </row>
    <row r="32" spans="1:10" x14ac:dyDescent="0.25">
      <c r="A32" s="200"/>
      <c r="B32" s="200"/>
      <c r="C32" s="200"/>
      <c r="D32" s="200"/>
      <c r="E32" s="200"/>
      <c r="F32" s="200"/>
      <c r="G32" s="200"/>
      <c r="H32" s="200" t="s">
        <v>263</v>
      </c>
      <c r="I32" s="201">
        <v>106925.89</v>
      </c>
      <c r="J32" s="262"/>
    </row>
    <row r="33" spans="1:10" x14ac:dyDescent="0.25">
      <c r="A33" s="200"/>
      <c r="B33" s="200"/>
      <c r="C33" s="200"/>
      <c r="D33" s="200"/>
      <c r="E33" s="200"/>
      <c r="F33" s="200"/>
      <c r="G33" s="200"/>
      <c r="H33" s="200" t="s">
        <v>264</v>
      </c>
      <c r="I33" s="201">
        <v>1993</v>
      </c>
      <c r="J33" s="262"/>
    </row>
    <row r="34" spans="1:10" ht="15.75" thickBot="1" x14ac:dyDescent="0.3">
      <c r="A34" s="200"/>
      <c r="B34" s="200"/>
      <c r="C34" s="200"/>
      <c r="D34" s="200"/>
      <c r="E34" s="200"/>
      <c r="F34" s="200"/>
      <c r="G34" s="200"/>
      <c r="H34" s="200" t="s">
        <v>265</v>
      </c>
      <c r="I34" s="204">
        <v>2094.73</v>
      </c>
      <c r="J34" s="262"/>
    </row>
    <row r="35" spans="1:10" x14ac:dyDescent="0.25">
      <c r="A35" s="200"/>
      <c r="B35" s="200"/>
      <c r="C35" s="200"/>
      <c r="D35" s="200"/>
      <c r="E35" s="200"/>
      <c r="F35" s="200"/>
      <c r="G35" s="200" t="s">
        <v>266</v>
      </c>
      <c r="H35" s="200"/>
      <c r="I35" s="201">
        <f>ROUND(SUM(I31:I34),5)</f>
        <v>111013.62</v>
      </c>
      <c r="J35" s="262"/>
    </row>
    <row r="36" spans="1:10" x14ac:dyDescent="0.25">
      <c r="A36" s="200"/>
      <c r="B36" s="200"/>
      <c r="C36" s="200"/>
      <c r="D36" s="200"/>
      <c r="E36" s="200"/>
      <c r="F36" s="200"/>
      <c r="G36" s="200" t="s">
        <v>267</v>
      </c>
      <c r="H36" s="200"/>
      <c r="I36" s="201"/>
      <c r="J36" s="262"/>
    </row>
    <row r="37" spans="1:10" x14ac:dyDescent="0.25">
      <c r="A37" s="200"/>
      <c r="B37" s="200"/>
      <c r="C37" s="200"/>
      <c r="D37" s="200"/>
      <c r="E37" s="200"/>
      <c r="F37" s="200"/>
      <c r="G37" s="200"/>
      <c r="H37" s="200" t="s">
        <v>268</v>
      </c>
      <c r="I37" s="201">
        <v>1673.07</v>
      </c>
      <c r="J37" s="262"/>
    </row>
    <row r="38" spans="1:10" ht="15.75" thickBot="1" x14ac:dyDescent="0.3">
      <c r="A38" s="200"/>
      <c r="B38" s="200"/>
      <c r="C38" s="200"/>
      <c r="D38" s="200"/>
      <c r="E38" s="200"/>
      <c r="F38" s="200"/>
      <c r="G38" s="200"/>
      <c r="H38" s="200" t="s">
        <v>271</v>
      </c>
      <c r="I38" s="204">
        <v>30000</v>
      </c>
      <c r="J38" s="262"/>
    </row>
    <row r="39" spans="1:10" x14ac:dyDescent="0.25">
      <c r="A39" s="200"/>
      <c r="B39" s="200"/>
      <c r="C39" s="200"/>
      <c r="D39" s="200"/>
      <c r="E39" s="200"/>
      <c r="F39" s="200"/>
      <c r="G39" s="200" t="s">
        <v>272</v>
      </c>
      <c r="H39" s="200"/>
      <c r="I39" s="201">
        <f>ROUND(SUM(I36:I38),5)</f>
        <v>31673.07</v>
      </c>
      <c r="J39" s="262"/>
    </row>
    <row r="40" spans="1:10" x14ac:dyDescent="0.25">
      <c r="A40" s="200"/>
      <c r="B40" s="200"/>
      <c r="C40" s="200"/>
      <c r="D40" s="200"/>
      <c r="E40" s="200"/>
      <c r="F40" s="200"/>
      <c r="G40" s="200" t="s">
        <v>273</v>
      </c>
      <c r="H40" s="200"/>
      <c r="I40" s="201"/>
      <c r="J40" s="262"/>
    </row>
    <row r="41" spans="1:10" ht="30" customHeight="1" thickBot="1" x14ac:dyDescent="0.3">
      <c r="A41" s="200"/>
      <c r="B41" s="200"/>
      <c r="C41" s="200"/>
      <c r="D41" s="200"/>
      <c r="E41" s="200"/>
      <c r="F41" s="200"/>
      <c r="G41" s="200"/>
      <c r="H41" s="200" t="s">
        <v>274</v>
      </c>
      <c r="I41" s="204">
        <v>560</v>
      </c>
      <c r="J41" s="262"/>
    </row>
    <row r="42" spans="1:10" x14ac:dyDescent="0.25">
      <c r="A42" s="200"/>
      <c r="B42" s="200"/>
      <c r="C42" s="200"/>
      <c r="D42" s="200"/>
      <c r="E42" s="200"/>
      <c r="F42" s="200"/>
      <c r="G42" s="200" t="s">
        <v>275</v>
      </c>
      <c r="H42" s="200"/>
      <c r="I42" s="201">
        <f>ROUND(SUM(I40:I41),5)</f>
        <v>560</v>
      </c>
      <c r="J42" s="262"/>
    </row>
    <row r="43" spans="1:10" x14ac:dyDescent="0.25">
      <c r="A43" s="200"/>
      <c r="B43" s="200"/>
      <c r="C43" s="200"/>
      <c r="D43" s="200"/>
      <c r="E43" s="200"/>
      <c r="F43" s="200"/>
      <c r="G43" s="200" t="s">
        <v>276</v>
      </c>
      <c r="H43" s="200"/>
      <c r="I43" s="201"/>
      <c r="J43" s="262"/>
    </row>
    <row r="44" spans="1:10" x14ac:dyDescent="0.25">
      <c r="A44" s="200"/>
      <c r="B44" s="200"/>
      <c r="C44" s="200"/>
      <c r="D44" s="200"/>
      <c r="E44" s="200"/>
      <c r="F44" s="200"/>
      <c r="G44" s="200"/>
      <c r="H44" s="200" t="s">
        <v>277</v>
      </c>
      <c r="I44" s="201">
        <v>476</v>
      </c>
      <c r="J44" s="262"/>
    </row>
    <row r="45" spans="1:10" ht="30" customHeight="1" x14ac:dyDescent="0.25">
      <c r="A45" s="200"/>
      <c r="B45" s="200"/>
      <c r="C45" s="200"/>
      <c r="D45" s="200"/>
      <c r="E45" s="200"/>
      <c r="F45" s="200"/>
      <c r="G45" s="200"/>
      <c r="H45" s="200" t="s">
        <v>278</v>
      </c>
      <c r="I45" s="201">
        <v>800</v>
      </c>
      <c r="J45" s="262"/>
    </row>
    <row r="46" spans="1:10" ht="15.75" thickBot="1" x14ac:dyDescent="0.3">
      <c r="A46" s="200"/>
      <c r="B46" s="200"/>
      <c r="C46" s="200"/>
      <c r="D46" s="200"/>
      <c r="E46" s="200"/>
      <c r="F46" s="200"/>
      <c r="G46" s="200"/>
      <c r="H46" s="200" t="s">
        <v>339</v>
      </c>
      <c r="I46" s="202">
        <v>5000</v>
      </c>
      <c r="J46" s="262"/>
    </row>
    <row r="47" spans="1:10" ht="15.75" thickBot="1" x14ac:dyDescent="0.3">
      <c r="A47" s="200"/>
      <c r="B47" s="200"/>
      <c r="C47" s="200"/>
      <c r="D47" s="200"/>
      <c r="E47" s="200"/>
      <c r="F47" s="200"/>
      <c r="G47" s="200" t="s">
        <v>279</v>
      </c>
      <c r="H47" s="200"/>
      <c r="I47" s="83">
        <f>ROUND(SUM(I43:I46),5)</f>
        <v>6276</v>
      </c>
      <c r="J47" s="262"/>
    </row>
    <row r="48" spans="1:10" x14ac:dyDescent="0.25">
      <c r="A48" s="200"/>
      <c r="B48" s="200"/>
      <c r="C48" s="200"/>
      <c r="D48" s="200"/>
      <c r="E48" s="200"/>
      <c r="F48" s="200" t="s">
        <v>280</v>
      </c>
      <c r="G48" s="200"/>
      <c r="H48" s="200"/>
      <c r="I48" s="201">
        <f>ROUND(I26+I30+I35+I39+I42+I47,5)</f>
        <v>410522.69</v>
      </c>
      <c r="J48" s="262"/>
    </row>
    <row r="49" spans="1:10" x14ac:dyDescent="0.25">
      <c r="A49" s="200"/>
      <c r="B49" s="200"/>
      <c r="C49" s="200"/>
      <c r="D49" s="200"/>
      <c r="E49" s="200"/>
      <c r="F49" s="200" t="s">
        <v>281</v>
      </c>
      <c r="G49" s="200"/>
      <c r="H49" s="200"/>
      <c r="I49" s="201"/>
      <c r="J49" s="262"/>
    </row>
    <row r="50" spans="1:10" ht="30" customHeight="1" thickBot="1" x14ac:dyDescent="0.3">
      <c r="A50" s="200"/>
      <c r="B50" s="200"/>
      <c r="C50" s="200"/>
      <c r="D50" s="200"/>
      <c r="E50" s="200"/>
      <c r="F50" s="200"/>
      <c r="G50" s="200" t="s">
        <v>282</v>
      </c>
      <c r="H50" s="200"/>
      <c r="I50" s="202">
        <v>2734.14</v>
      </c>
      <c r="J50" s="262"/>
    </row>
    <row r="51" spans="1:10" ht="15.75" thickBot="1" x14ac:dyDescent="0.3">
      <c r="A51" s="200"/>
      <c r="B51" s="200"/>
      <c r="C51" s="200"/>
      <c r="D51" s="200"/>
      <c r="E51" s="200"/>
      <c r="F51" s="200" t="s">
        <v>283</v>
      </c>
      <c r="G51" s="200"/>
      <c r="H51" s="200"/>
      <c r="I51" s="203">
        <f>ROUND(SUM(I49:I50),5)</f>
        <v>2734.14</v>
      </c>
      <c r="J51" s="262"/>
    </row>
    <row r="52" spans="1:10" ht="15.75" thickBot="1" x14ac:dyDescent="0.3">
      <c r="A52" s="200"/>
      <c r="B52" s="200"/>
      <c r="C52" s="200"/>
      <c r="D52" s="200"/>
      <c r="E52" s="200" t="s">
        <v>284</v>
      </c>
      <c r="F52" s="200"/>
      <c r="G52" s="200"/>
      <c r="H52" s="200"/>
      <c r="I52" s="203">
        <f>ROUND(I25+I48+I51,5)</f>
        <v>413256.83</v>
      </c>
      <c r="J52" s="262"/>
    </row>
    <row r="53" spans="1:10" ht="15.75" thickBot="1" x14ac:dyDescent="0.3">
      <c r="A53" s="200"/>
      <c r="B53" s="200"/>
      <c r="C53" s="200"/>
      <c r="D53" s="200" t="s">
        <v>142</v>
      </c>
      <c r="E53" s="200"/>
      <c r="F53" s="200"/>
      <c r="G53" s="200"/>
      <c r="H53" s="200"/>
      <c r="I53" s="203">
        <f>ROUND(I24+I52,5)</f>
        <v>413256.83</v>
      </c>
      <c r="J53" s="262"/>
    </row>
    <row r="54" spans="1:10" ht="30" customHeight="1" thickBot="1" x14ac:dyDescent="0.3">
      <c r="A54" s="200"/>
      <c r="B54" s="200" t="s">
        <v>143</v>
      </c>
      <c r="C54" s="200"/>
      <c r="D54" s="200"/>
      <c r="E54" s="200"/>
      <c r="F54" s="200"/>
      <c r="G54" s="200"/>
      <c r="H54" s="200"/>
      <c r="I54" s="203">
        <f>ROUND(I2+I23-I53,5)</f>
        <v>215890.87</v>
      </c>
      <c r="J54" s="262"/>
    </row>
    <row r="55" spans="1:10" ht="15.75" thickBot="1" x14ac:dyDescent="0.3">
      <c r="A55" s="200" t="s">
        <v>144</v>
      </c>
      <c r="B55" s="200"/>
      <c r="C55" s="200"/>
      <c r="D55" s="200"/>
      <c r="E55" s="200"/>
      <c r="F55" s="200"/>
      <c r="G55" s="200"/>
      <c r="H55" s="200"/>
      <c r="I55" s="86">
        <f>I54</f>
        <v>215890.87</v>
      </c>
      <c r="J55" s="262"/>
    </row>
    <row r="56" spans="1:10" ht="15.75" thickTop="1" x14ac:dyDescent="0.25">
      <c r="J56" s="262"/>
    </row>
    <row r="57" spans="1:10" x14ac:dyDescent="0.25">
      <c r="J57" s="262"/>
    </row>
    <row r="58" spans="1:10" x14ac:dyDescent="0.25">
      <c r="J58" s="262"/>
    </row>
    <row r="59" spans="1:10" x14ac:dyDescent="0.25">
      <c r="J59" s="262"/>
    </row>
    <row r="60" spans="1:10" ht="30" customHeight="1" x14ac:dyDescent="0.25">
      <c r="J60" s="262"/>
    </row>
    <row r="61" spans="1:10" x14ac:dyDescent="0.25">
      <c r="J61" s="262"/>
    </row>
    <row r="62" spans="1:10" x14ac:dyDescent="0.25">
      <c r="J62" s="262"/>
    </row>
    <row r="63" spans="1:10" x14ac:dyDescent="0.25">
      <c r="J63" s="262"/>
    </row>
    <row r="64" spans="1:10" x14ac:dyDescent="0.25">
      <c r="J64" s="262"/>
    </row>
    <row r="65" spans="10:10" ht="30" customHeight="1" x14ac:dyDescent="0.25">
      <c r="J65" s="262"/>
    </row>
    <row r="66" spans="10:10" x14ac:dyDescent="0.25">
      <c r="J66" s="262"/>
    </row>
    <row r="67" spans="10:10" x14ac:dyDescent="0.25">
      <c r="J67" s="262"/>
    </row>
    <row r="68" spans="10:10" x14ac:dyDescent="0.25">
      <c r="J68" s="262"/>
    </row>
    <row r="69" spans="10:10" x14ac:dyDescent="0.25">
      <c r="J69" s="262"/>
    </row>
    <row r="70" spans="10:10" ht="30" customHeight="1" x14ac:dyDescent="0.25">
      <c r="J70" s="262"/>
    </row>
    <row r="71" spans="10:10" ht="30" customHeight="1" x14ac:dyDescent="0.25">
      <c r="J71" s="262"/>
    </row>
    <row r="72" spans="10:10" x14ac:dyDescent="0.25">
      <c r="J72" s="262"/>
    </row>
    <row r="73" spans="10:10" x14ac:dyDescent="0.25">
      <c r="J73" s="262"/>
    </row>
    <row r="74" spans="10:10" ht="30" customHeight="1" x14ac:dyDescent="0.25">
      <c r="J74" s="262"/>
    </row>
    <row r="75" spans="10:10" x14ac:dyDescent="0.25">
      <c r="J75" s="262"/>
    </row>
    <row r="76" spans="10:10" x14ac:dyDescent="0.25">
      <c r="J76" s="262"/>
    </row>
    <row r="77" spans="10:10" x14ac:dyDescent="0.25">
      <c r="J77" s="262"/>
    </row>
    <row r="78" spans="10:10" ht="30" customHeight="1" x14ac:dyDescent="0.25">
      <c r="J78" s="262"/>
    </row>
    <row r="79" spans="10:10" ht="30" customHeight="1" x14ac:dyDescent="0.25">
      <c r="J79" s="262"/>
    </row>
    <row r="80" spans="10:10" ht="30" customHeight="1" x14ac:dyDescent="0.25">
      <c r="J80" s="262"/>
    </row>
    <row r="81" spans="1:10" s="87" customFormat="1" ht="30" customHeight="1" x14ac:dyDescent="0.25">
      <c r="A81" s="214"/>
      <c r="B81" s="214"/>
      <c r="C81" s="214"/>
      <c r="D81" s="214"/>
      <c r="E81" s="214"/>
      <c r="F81" s="214"/>
      <c r="G81" s="214"/>
      <c r="H81" s="214"/>
      <c r="I81" s="119"/>
      <c r="J81" s="200"/>
    </row>
  </sheetData>
  <pageMargins left="0.7" right="0.7" top="0.75" bottom="0.75" header="0.25" footer="0.3"/>
  <pageSetup orientation="portrait" r:id="rId1"/>
  <headerFooter>
    <oddHeader>&amp;L&amp;"Arial,Bold"&amp;8 10:07 PM
&amp;"Arial,Bold"&amp;8 10/05/16
&amp;"Arial,Bold"&amp;8 Accrual Basis&amp;C&amp;"Arial,Bold"&amp;12 Siam Tropical Fish Limited (STFTL)
&amp;"Arial,Bold"&amp;14 Profit &amp;&amp; Loss
&amp;"Arial,Bold"&amp;10 August 26 through September 29,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2289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0</xdr:colOff>
                <xdr:row>1</xdr:row>
                <xdr:rowOff>28575</xdr:rowOff>
              </to>
            </anchor>
          </controlPr>
        </control>
      </mc:Choice>
      <mc:Fallback>
        <control shapeId="12289" r:id="rId4" name="FILTER"/>
      </mc:Fallback>
    </mc:AlternateContent>
    <mc:AlternateContent xmlns:mc="http://schemas.openxmlformats.org/markup-compatibility/2006">
      <mc:Choice Requires="x14">
        <control shapeId="12290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0</xdr:colOff>
                <xdr:row>1</xdr:row>
                <xdr:rowOff>28575</xdr:rowOff>
              </to>
            </anchor>
          </controlPr>
        </control>
      </mc:Choice>
      <mc:Fallback>
        <control shapeId="12290" r:id="rId6" name="HEADER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6" tint="-0.499984740745262"/>
  </sheetPr>
  <dimension ref="A1:Q82"/>
  <sheetViews>
    <sheetView workbookViewId="0">
      <pane xSplit="8" ySplit="2" topLeftCell="I78" activePane="bottomRight" state="frozenSplit"/>
      <selection pane="topRight" activeCell="I1" sqref="I1"/>
      <selection pane="bottomLeft" activeCell="A3" sqref="A3"/>
      <selection pane="bottomRight" activeCell="L19" sqref="L19"/>
    </sheetView>
  </sheetViews>
  <sheetFormatPr defaultRowHeight="15" x14ac:dyDescent="0.25"/>
  <cols>
    <col min="1" max="7" width="3" style="214" customWidth="1"/>
    <col min="8" max="8" width="40.5703125" style="214" customWidth="1"/>
    <col min="9" max="9" width="15.5703125" style="119" bestFit="1" customWidth="1"/>
    <col min="10" max="10" width="2.28515625" style="119" customWidth="1"/>
    <col min="12" max="12" width="11.85546875" bestFit="1" customWidth="1"/>
    <col min="14" max="14" width="26.85546875" customWidth="1"/>
    <col min="15" max="15" width="11.7109375" customWidth="1"/>
    <col min="17" max="17" width="26.42578125" customWidth="1"/>
  </cols>
  <sheetData>
    <row r="1" spans="1:17" ht="15.75" thickBot="1" x14ac:dyDescent="0.3">
      <c r="A1" s="200"/>
      <c r="B1" s="200"/>
      <c r="C1" s="200"/>
      <c r="D1" s="200"/>
      <c r="E1" s="200"/>
      <c r="F1" s="200"/>
      <c r="G1" s="200"/>
      <c r="H1" s="200"/>
      <c r="I1" s="212"/>
      <c r="J1" s="260"/>
      <c r="N1" s="215" t="s">
        <v>223</v>
      </c>
      <c r="O1" s="235">
        <v>35.257399999999997</v>
      </c>
      <c r="P1" s="215" t="s">
        <v>224</v>
      </c>
      <c r="Q1" s="79"/>
    </row>
    <row r="2" spans="1:17" s="79" customFormat="1" ht="16.5" thickTop="1" thickBot="1" x14ac:dyDescent="0.3">
      <c r="A2" s="205"/>
      <c r="B2" s="205"/>
      <c r="C2" s="205"/>
      <c r="D2" s="205"/>
      <c r="E2" s="205"/>
      <c r="F2" s="205"/>
      <c r="G2" s="205"/>
      <c r="H2" s="205"/>
      <c r="I2" s="213" t="s">
        <v>331</v>
      </c>
      <c r="J2" s="261"/>
      <c r="N2"/>
      <c r="O2"/>
      <c r="P2"/>
      <c r="Q2"/>
    </row>
    <row r="3" spans="1:17" ht="30.75" thickTop="1" x14ac:dyDescent="0.25">
      <c r="A3" s="200"/>
      <c r="B3" s="200" t="s">
        <v>57</v>
      </c>
      <c r="C3" s="200"/>
      <c r="D3" s="200"/>
      <c r="E3" s="200"/>
      <c r="F3" s="200"/>
      <c r="G3" s="200"/>
      <c r="H3" s="200"/>
      <c r="I3" s="201"/>
      <c r="J3" s="262"/>
      <c r="N3" s="216" t="s">
        <v>225</v>
      </c>
      <c r="O3" s="217" t="s">
        <v>224</v>
      </c>
      <c r="P3" s="218" t="s">
        <v>226</v>
      </c>
      <c r="Q3" s="217" t="s">
        <v>227</v>
      </c>
    </row>
    <row r="4" spans="1:17" x14ac:dyDescent="0.25">
      <c r="A4" s="200"/>
      <c r="B4" s="200"/>
      <c r="C4" s="200"/>
      <c r="D4" s="200" t="s">
        <v>58</v>
      </c>
      <c r="E4" s="200"/>
      <c r="F4" s="200"/>
      <c r="G4" s="200"/>
      <c r="H4" s="200"/>
      <c r="I4" s="201"/>
      <c r="J4" s="262"/>
      <c r="N4" s="219" t="s">
        <v>228</v>
      </c>
      <c r="O4" s="220">
        <f>I49</f>
        <v>111751.77</v>
      </c>
      <c r="P4" s="219"/>
      <c r="Q4" s="219" t="s">
        <v>229</v>
      </c>
    </row>
    <row r="5" spans="1:17" x14ac:dyDescent="0.25">
      <c r="A5" s="200"/>
      <c r="B5" s="200"/>
      <c r="C5" s="200"/>
      <c r="D5" s="200"/>
      <c r="E5" s="200" t="s">
        <v>59</v>
      </c>
      <c r="F5" s="200"/>
      <c r="G5" s="200"/>
      <c r="H5" s="200"/>
      <c r="I5" s="201"/>
      <c r="J5" s="262"/>
    </row>
    <row r="6" spans="1:17" ht="30" x14ac:dyDescent="0.25">
      <c r="A6" s="200"/>
      <c r="B6" s="200"/>
      <c r="C6" s="200"/>
      <c r="D6" s="200"/>
      <c r="E6" s="200"/>
      <c r="F6" s="200" t="s">
        <v>60</v>
      </c>
      <c r="G6" s="200"/>
      <c r="H6" s="200"/>
      <c r="I6" s="201">
        <f>2490041.25+3616717.36</f>
        <v>6106758.6099999994</v>
      </c>
      <c r="J6" s="262"/>
      <c r="N6" s="216" t="s">
        <v>230</v>
      </c>
      <c r="O6" s="217" t="s">
        <v>224</v>
      </c>
      <c r="P6" s="218" t="s">
        <v>226</v>
      </c>
      <c r="Q6" s="217" t="s">
        <v>227</v>
      </c>
    </row>
    <row r="7" spans="1:17" x14ac:dyDescent="0.25">
      <c r="A7" s="200"/>
      <c r="B7" s="200"/>
      <c r="C7" s="200"/>
      <c r="D7" s="200"/>
      <c r="E7" s="200"/>
      <c r="F7" s="200" t="s">
        <v>218</v>
      </c>
      <c r="G7" s="200"/>
      <c r="H7" s="200"/>
      <c r="I7" s="201">
        <f>I6*0.2</f>
        <v>1221351.7219999998</v>
      </c>
      <c r="J7" s="262"/>
      <c r="N7" s="221" t="s">
        <v>231</v>
      </c>
      <c r="O7" s="220">
        <f>I79-O4</f>
        <v>319061</v>
      </c>
      <c r="P7" s="219"/>
      <c r="Q7" s="219" t="s">
        <v>229</v>
      </c>
    </row>
    <row r="8" spans="1:17" x14ac:dyDescent="0.25">
      <c r="A8" s="200"/>
      <c r="B8" s="200"/>
      <c r="C8" s="200"/>
      <c r="D8" s="200"/>
      <c r="E8" s="200"/>
      <c r="F8" s="200" t="s">
        <v>62</v>
      </c>
      <c r="G8" s="200"/>
      <c r="H8" s="200"/>
      <c r="I8" s="201">
        <f>I6*0.02</f>
        <v>122135.17219999999</v>
      </c>
      <c r="J8" s="262"/>
    </row>
    <row r="9" spans="1:17" x14ac:dyDescent="0.25">
      <c r="A9" s="200"/>
      <c r="B9" s="200"/>
      <c r="C9" s="200"/>
      <c r="D9" s="200"/>
      <c r="E9" s="200"/>
      <c r="F9" s="200" t="s">
        <v>63</v>
      </c>
      <c r="G9" s="200"/>
      <c r="H9" s="200"/>
      <c r="I9" s="201">
        <f>I6*0.006</f>
        <v>36640.551659999997</v>
      </c>
      <c r="J9" s="262"/>
    </row>
    <row r="10" spans="1:17" ht="15.75" thickBot="1" x14ac:dyDescent="0.3">
      <c r="A10" s="200"/>
      <c r="B10" s="200"/>
      <c r="C10" s="200"/>
      <c r="D10" s="200"/>
      <c r="E10" s="200"/>
      <c r="F10" s="200" t="s">
        <v>66</v>
      </c>
      <c r="G10" s="200"/>
      <c r="H10" s="200"/>
      <c r="I10" s="202">
        <v>14000</v>
      </c>
      <c r="J10" s="262"/>
    </row>
    <row r="11" spans="1:17" ht="15.75" thickBot="1" x14ac:dyDescent="0.3">
      <c r="A11" s="200"/>
      <c r="B11" s="200"/>
      <c r="C11" s="200"/>
      <c r="D11" s="200"/>
      <c r="E11" s="200" t="s">
        <v>67</v>
      </c>
      <c r="F11" s="200"/>
      <c r="G11" s="200"/>
      <c r="H11" s="200"/>
      <c r="I11" s="83">
        <f>ROUND(SUM(I5:I10),5)</f>
        <v>7500886.0558599997</v>
      </c>
      <c r="J11" s="262"/>
    </row>
    <row r="12" spans="1:17" ht="30" customHeight="1" x14ac:dyDescent="0.25">
      <c r="A12" s="200"/>
      <c r="B12" s="200"/>
      <c r="C12" s="200"/>
      <c r="D12" s="200" t="s">
        <v>68</v>
      </c>
      <c r="E12" s="200"/>
      <c r="F12" s="200"/>
      <c r="G12" s="200"/>
      <c r="H12" s="200"/>
      <c r="I12" s="201">
        <f>ROUND(I4+I11,5)</f>
        <v>7500886.0558599997</v>
      </c>
      <c r="J12" s="262"/>
    </row>
    <row r="13" spans="1:17" ht="30" customHeight="1" x14ac:dyDescent="0.25">
      <c r="A13" s="200"/>
      <c r="B13" s="200"/>
      <c r="C13" s="200"/>
      <c r="D13" s="200" t="s">
        <v>69</v>
      </c>
      <c r="E13" s="200"/>
      <c r="F13" s="200"/>
      <c r="G13" s="200"/>
      <c r="H13" s="200"/>
      <c r="I13" s="201"/>
      <c r="J13" s="262"/>
    </row>
    <row r="14" spans="1:17" x14ac:dyDescent="0.25">
      <c r="A14" s="200"/>
      <c r="B14" s="200"/>
      <c r="C14" s="200"/>
      <c r="D14" s="200"/>
      <c r="E14" s="200" t="s">
        <v>240</v>
      </c>
      <c r="F14" s="200"/>
      <c r="G14" s="200"/>
      <c r="H14" s="200"/>
      <c r="I14" s="201"/>
      <c r="J14" s="262"/>
    </row>
    <row r="15" spans="1:17" x14ac:dyDescent="0.25">
      <c r="A15" s="200"/>
      <c r="B15" s="200"/>
      <c r="C15" s="200"/>
      <c r="D15" s="200"/>
      <c r="E15" s="200"/>
      <c r="F15" s="200" t="s">
        <v>241</v>
      </c>
      <c r="G15" s="200"/>
      <c r="H15" s="200"/>
      <c r="I15" s="201"/>
      <c r="J15" s="262"/>
    </row>
    <row r="16" spans="1:17" x14ac:dyDescent="0.25">
      <c r="A16" s="200"/>
      <c r="B16" s="200"/>
      <c r="C16" s="200"/>
      <c r="D16" s="200"/>
      <c r="E16" s="200"/>
      <c r="F16" s="200"/>
      <c r="G16" s="200" t="s">
        <v>242</v>
      </c>
      <c r="H16" s="200"/>
      <c r="I16" s="201">
        <f>I6*0.8</f>
        <v>4885406.8879999993</v>
      </c>
      <c r="J16" s="262"/>
    </row>
    <row r="17" spans="1:10" x14ac:dyDescent="0.25">
      <c r="A17" s="200"/>
      <c r="B17" s="200"/>
      <c r="C17" s="200"/>
      <c r="D17" s="200"/>
      <c r="E17" s="200"/>
      <c r="F17" s="200"/>
      <c r="G17" s="200" t="s">
        <v>243</v>
      </c>
      <c r="H17" s="200"/>
      <c r="I17" s="201"/>
      <c r="J17" s="262"/>
    </row>
    <row r="18" spans="1:10" x14ac:dyDescent="0.25">
      <c r="A18" s="200"/>
      <c r="B18" s="200"/>
      <c r="C18" s="200"/>
      <c r="D18" s="200"/>
      <c r="E18" s="200"/>
      <c r="F18" s="200"/>
      <c r="G18" s="200"/>
      <c r="H18" s="200" t="s">
        <v>244</v>
      </c>
      <c r="I18" s="201">
        <v>2220</v>
      </c>
      <c r="J18" s="262"/>
    </row>
    <row r="19" spans="1:10" ht="15.75" thickBot="1" x14ac:dyDescent="0.3">
      <c r="A19" s="200"/>
      <c r="B19" s="200"/>
      <c r="C19" s="200"/>
      <c r="D19" s="200"/>
      <c r="E19" s="200"/>
      <c r="F19" s="200"/>
      <c r="G19" s="200"/>
      <c r="H19" s="200" t="s">
        <v>311</v>
      </c>
      <c r="I19" s="204">
        <v>10290</v>
      </c>
      <c r="J19" s="262"/>
    </row>
    <row r="20" spans="1:10" x14ac:dyDescent="0.25">
      <c r="A20" s="200"/>
      <c r="B20" s="200"/>
      <c r="C20" s="200"/>
      <c r="D20" s="200"/>
      <c r="E20" s="200"/>
      <c r="F20" s="200"/>
      <c r="G20" s="200" t="s">
        <v>245</v>
      </c>
      <c r="H20" s="200"/>
      <c r="I20" s="201">
        <f>ROUND(SUM(I17:I19),5)</f>
        <v>12510</v>
      </c>
      <c r="J20" s="262"/>
    </row>
    <row r="21" spans="1:10" ht="30" customHeight="1" x14ac:dyDescent="0.25">
      <c r="A21" s="200"/>
      <c r="B21" s="200"/>
      <c r="C21" s="200"/>
      <c r="D21" s="200"/>
      <c r="E21" s="200"/>
      <c r="F21" s="200"/>
      <c r="G21" s="200" t="s">
        <v>246</v>
      </c>
      <c r="H21" s="200"/>
      <c r="I21" s="201">
        <f>I6*0.18</f>
        <v>1099216.5497999999</v>
      </c>
      <c r="J21" s="262"/>
    </row>
    <row r="22" spans="1:10" x14ac:dyDescent="0.25">
      <c r="A22" s="200"/>
      <c r="B22" s="200"/>
      <c r="C22" s="200"/>
      <c r="D22" s="200"/>
      <c r="E22" s="200"/>
      <c r="F22" s="200"/>
      <c r="G22" s="200" t="s">
        <v>247</v>
      </c>
      <c r="H22" s="200"/>
      <c r="I22" s="201">
        <v>400</v>
      </c>
      <c r="J22" s="262"/>
    </row>
    <row r="23" spans="1:10" x14ac:dyDescent="0.25">
      <c r="A23" s="200"/>
      <c r="B23" s="200"/>
      <c r="C23" s="200"/>
      <c r="D23" s="200"/>
      <c r="E23" s="200"/>
      <c r="F23" s="200"/>
      <c r="G23" s="200" t="s">
        <v>248</v>
      </c>
      <c r="H23" s="200"/>
      <c r="I23" s="201">
        <v>8000</v>
      </c>
      <c r="J23" s="262"/>
    </row>
    <row r="24" spans="1:10" x14ac:dyDescent="0.25">
      <c r="A24" s="200"/>
      <c r="B24" s="200"/>
      <c r="C24" s="200"/>
      <c r="D24" s="200"/>
      <c r="E24" s="200"/>
      <c r="F24" s="200"/>
      <c r="G24" s="200" t="s">
        <v>249</v>
      </c>
      <c r="H24" s="200"/>
      <c r="I24" s="201">
        <v>14658</v>
      </c>
      <c r="J24" s="262"/>
    </row>
    <row r="25" spans="1:10" ht="15.75" thickBot="1" x14ac:dyDescent="0.3">
      <c r="A25" s="200"/>
      <c r="B25" s="200"/>
      <c r="C25" s="200"/>
      <c r="D25" s="200"/>
      <c r="E25" s="200"/>
      <c r="F25" s="200"/>
      <c r="G25" s="200" t="s">
        <v>250</v>
      </c>
      <c r="H25" s="200"/>
      <c r="I25" s="204">
        <v>8800</v>
      </c>
      <c r="J25" s="262"/>
    </row>
    <row r="26" spans="1:10" x14ac:dyDescent="0.25">
      <c r="A26" s="200"/>
      <c r="B26" s="200"/>
      <c r="C26" s="200"/>
      <c r="D26" s="200"/>
      <c r="E26" s="200"/>
      <c r="F26" s="200" t="s">
        <v>251</v>
      </c>
      <c r="G26" s="200"/>
      <c r="H26" s="200"/>
      <c r="I26" s="201">
        <f>ROUND(SUM(I15:I16)+SUM(I20:I25),5)</f>
        <v>6028991.4378000004</v>
      </c>
      <c r="J26" s="262"/>
    </row>
    <row r="27" spans="1:10" ht="30" customHeight="1" thickBot="1" x14ac:dyDescent="0.3">
      <c r="A27" s="200"/>
      <c r="B27" s="200"/>
      <c r="C27" s="200"/>
      <c r="D27" s="200"/>
      <c r="E27" s="200"/>
      <c r="F27" s="200" t="s">
        <v>332</v>
      </c>
      <c r="G27" s="200"/>
      <c r="H27" s="200"/>
      <c r="I27" s="202">
        <v>9400</v>
      </c>
      <c r="J27" s="262"/>
    </row>
    <row r="28" spans="1:10" ht="15.75" thickBot="1" x14ac:dyDescent="0.3">
      <c r="A28" s="200"/>
      <c r="B28" s="200"/>
      <c r="C28" s="200"/>
      <c r="D28" s="200"/>
      <c r="E28" s="200" t="s">
        <v>252</v>
      </c>
      <c r="F28" s="200"/>
      <c r="G28" s="200"/>
      <c r="H28" s="200"/>
      <c r="I28" s="203">
        <f>ROUND(I14+SUM(I26:I27),5)</f>
        <v>6038391.4378000004</v>
      </c>
      <c r="J28" s="262"/>
    </row>
    <row r="29" spans="1:10" ht="30" customHeight="1" thickBot="1" x14ac:dyDescent="0.3">
      <c r="A29" s="200"/>
      <c r="B29" s="200"/>
      <c r="C29" s="200"/>
      <c r="D29" s="200" t="s">
        <v>88</v>
      </c>
      <c r="E29" s="200"/>
      <c r="F29" s="200"/>
      <c r="G29" s="200"/>
      <c r="H29" s="200"/>
      <c r="I29" s="83">
        <f>ROUND(I13+I28,5)</f>
        <v>6038391.4378000004</v>
      </c>
      <c r="J29" s="262"/>
    </row>
    <row r="30" spans="1:10" ht="30" customHeight="1" x14ac:dyDescent="0.25">
      <c r="A30" s="200"/>
      <c r="B30" s="200"/>
      <c r="C30" s="200" t="s">
        <v>89</v>
      </c>
      <c r="D30" s="200"/>
      <c r="E30" s="200"/>
      <c r="F30" s="200"/>
      <c r="G30" s="200"/>
      <c r="H30" s="200"/>
      <c r="I30" s="201">
        <f>ROUND(I12-I29,5)</f>
        <v>1462494.61806</v>
      </c>
      <c r="J30" s="262"/>
    </row>
    <row r="31" spans="1:10" ht="30" customHeight="1" x14ac:dyDescent="0.25">
      <c r="A31" s="200"/>
      <c r="B31" s="200"/>
      <c r="C31" s="200"/>
      <c r="D31" s="200" t="s">
        <v>90</v>
      </c>
      <c r="E31" s="200"/>
      <c r="F31" s="200"/>
      <c r="G31" s="200"/>
      <c r="H31" s="200"/>
      <c r="I31" s="201"/>
      <c r="J31" s="262"/>
    </row>
    <row r="32" spans="1:10" x14ac:dyDescent="0.25">
      <c r="A32" s="200"/>
      <c r="B32" s="200"/>
      <c r="C32" s="200"/>
      <c r="D32" s="200"/>
      <c r="E32" s="200" t="s">
        <v>253</v>
      </c>
      <c r="F32" s="200"/>
      <c r="G32" s="200"/>
      <c r="H32" s="200"/>
      <c r="I32" s="201"/>
      <c r="J32" s="262"/>
    </row>
    <row r="33" spans="1:10" x14ac:dyDescent="0.25">
      <c r="A33" s="200"/>
      <c r="B33" s="200"/>
      <c r="C33" s="200"/>
      <c r="D33" s="200"/>
      <c r="E33" s="200"/>
      <c r="F33" s="200" t="s">
        <v>254</v>
      </c>
      <c r="G33" s="200"/>
      <c r="H33" s="200"/>
      <c r="I33" s="201"/>
      <c r="J33" s="262"/>
    </row>
    <row r="34" spans="1:10" x14ac:dyDescent="0.25">
      <c r="A34" s="200"/>
      <c r="B34" s="200"/>
      <c r="C34" s="200"/>
      <c r="D34" s="200"/>
      <c r="E34" s="200"/>
      <c r="F34" s="200"/>
      <c r="G34" s="200" t="s">
        <v>255</v>
      </c>
      <c r="H34" s="200"/>
      <c r="I34" s="201"/>
      <c r="J34" s="262"/>
    </row>
    <row r="35" spans="1:10" x14ac:dyDescent="0.25">
      <c r="A35" s="200"/>
      <c r="B35" s="200"/>
      <c r="C35" s="200"/>
      <c r="D35" s="200"/>
      <c r="E35" s="200"/>
      <c r="F35" s="200"/>
      <c r="G35" s="200"/>
      <c r="H35" s="200" t="s">
        <v>312</v>
      </c>
      <c r="I35" s="201">
        <v>0</v>
      </c>
      <c r="J35" s="262"/>
    </row>
    <row r="36" spans="1:10" x14ac:dyDescent="0.25">
      <c r="A36" s="200"/>
      <c r="B36" s="200"/>
      <c r="C36" s="200"/>
      <c r="D36" s="200"/>
      <c r="E36" s="200"/>
      <c r="F36" s="200"/>
      <c r="G36" s="200"/>
      <c r="H36" s="200" t="s">
        <v>256</v>
      </c>
      <c r="I36" s="201">
        <v>224000</v>
      </c>
      <c r="J36" s="262"/>
    </row>
    <row r="37" spans="1:10" x14ac:dyDescent="0.25">
      <c r="A37" s="200"/>
      <c r="B37" s="200"/>
      <c r="C37" s="200"/>
      <c r="D37" s="200"/>
      <c r="E37" s="200"/>
      <c r="F37" s="200"/>
      <c r="G37" s="200"/>
      <c r="H37" s="200" t="s">
        <v>292</v>
      </c>
      <c r="I37" s="201">
        <v>37000</v>
      </c>
      <c r="J37" s="262"/>
    </row>
    <row r="38" spans="1:10" x14ac:dyDescent="0.25">
      <c r="A38" s="200"/>
      <c r="B38" s="200"/>
      <c r="C38" s="200"/>
      <c r="D38" s="200"/>
      <c r="E38" s="200"/>
      <c r="F38" s="200"/>
      <c r="G38" s="200"/>
      <c r="H38" s="200" t="s">
        <v>321</v>
      </c>
      <c r="I38" s="201">
        <v>500</v>
      </c>
      <c r="J38" s="262"/>
    </row>
    <row r="39" spans="1:10" ht="15.75" thickBot="1" x14ac:dyDescent="0.3">
      <c r="A39" s="200"/>
      <c r="B39" s="200"/>
      <c r="C39" s="200"/>
      <c r="D39" s="200"/>
      <c r="E39" s="200"/>
      <c r="F39" s="200"/>
      <c r="G39" s="200"/>
      <c r="H39" s="200" t="s">
        <v>323</v>
      </c>
      <c r="I39" s="204">
        <v>2000</v>
      </c>
      <c r="J39" s="262"/>
    </row>
    <row r="40" spans="1:10" x14ac:dyDescent="0.25">
      <c r="A40" s="200"/>
      <c r="B40" s="200"/>
      <c r="C40" s="200"/>
      <c r="D40" s="200"/>
      <c r="E40" s="200"/>
      <c r="F40" s="200"/>
      <c r="G40" s="200" t="s">
        <v>257</v>
      </c>
      <c r="H40" s="200"/>
      <c r="I40" s="201">
        <f>ROUND(SUM(I34:I39),5)</f>
        <v>263500</v>
      </c>
      <c r="J40" s="262"/>
    </row>
    <row r="41" spans="1:10" ht="30" customHeight="1" x14ac:dyDescent="0.25">
      <c r="A41" s="200"/>
      <c r="B41" s="200"/>
      <c r="C41" s="200"/>
      <c r="D41" s="200"/>
      <c r="E41" s="200"/>
      <c r="F41" s="200"/>
      <c r="G41" s="200" t="s">
        <v>258</v>
      </c>
      <c r="H41" s="200"/>
      <c r="I41" s="201"/>
      <c r="J41" s="262"/>
    </row>
    <row r="42" spans="1:10" x14ac:dyDescent="0.25">
      <c r="A42" s="200"/>
      <c r="B42" s="200"/>
      <c r="C42" s="200"/>
      <c r="D42" s="200"/>
      <c r="E42" s="200"/>
      <c r="F42" s="200"/>
      <c r="G42" s="200"/>
      <c r="H42" s="200" t="s">
        <v>259</v>
      </c>
      <c r="I42" s="201">
        <v>475</v>
      </c>
      <c r="J42" s="262"/>
    </row>
    <row r="43" spans="1:10" ht="15.75" thickBot="1" x14ac:dyDescent="0.3">
      <c r="A43" s="200"/>
      <c r="B43" s="200"/>
      <c r="C43" s="200"/>
      <c r="D43" s="200"/>
      <c r="E43" s="200"/>
      <c r="F43" s="200"/>
      <c r="G43" s="200"/>
      <c r="H43" s="200" t="s">
        <v>260</v>
      </c>
      <c r="I43" s="204">
        <v>5000</v>
      </c>
      <c r="J43" s="262"/>
    </row>
    <row r="44" spans="1:10" x14ac:dyDescent="0.25">
      <c r="A44" s="200"/>
      <c r="B44" s="200"/>
      <c r="C44" s="200"/>
      <c r="D44" s="200"/>
      <c r="E44" s="200"/>
      <c r="F44" s="200"/>
      <c r="G44" s="200" t="s">
        <v>261</v>
      </c>
      <c r="H44" s="200"/>
      <c r="I44" s="201">
        <f>ROUND(SUM(I41:I43),5)</f>
        <v>5475</v>
      </c>
      <c r="J44" s="262"/>
    </row>
    <row r="45" spans="1:10" ht="30" customHeight="1" x14ac:dyDescent="0.25">
      <c r="A45" s="200"/>
      <c r="B45" s="200"/>
      <c r="C45" s="200"/>
      <c r="D45" s="200"/>
      <c r="E45" s="200"/>
      <c r="F45" s="200"/>
      <c r="G45" s="200" t="s">
        <v>262</v>
      </c>
      <c r="H45" s="200"/>
      <c r="I45" s="201"/>
      <c r="J45" s="262"/>
    </row>
    <row r="46" spans="1:10" x14ac:dyDescent="0.25">
      <c r="A46" s="200"/>
      <c r="B46" s="200"/>
      <c r="C46" s="200"/>
      <c r="D46" s="200"/>
      <c r="E46" s="200"/>
      <c r="F46" s="200"/>
      <c r="G46" s="200"/>
      <c r="H46" s="200" t="s">
        <v>263</v>
      </c>
      <c r="I46" s="201">
        <v>107840</v>
      </c>
      <c r="J46" s="262"/>
    </row>
    <row r="47" spans="1:10" x14ac:dyDescent="0.25">
      <c r="A47" s="200"/>
      <c r="B47" s="200"/>
      <c r="C47" s="200"/>
      <c r="D47" s="200"/>
      <c r="E47" s="200"/>
      <c r="F47" s="200"/>
      <c r="G47" s="200"/>
      <c r="H47" s="200" t="s">
        <v>264</v>
      </c>
      <c r="I47" s="201">
        <v>1993</v>
      </c>
      <c r="J47" s="262"/>
    </row>
    <row r="48" spans="1:10" ht="15.75" thickBot="1" x14ac:dyDescent="0.3">
      <c r="A48" s="200"/>
      <c r="B48" s="200"/>
      <c r="C48" s="200"/>
      <c r="D48" s="200"/>
      <c r="E48" s="200"/>
      <c r="F48" s="200"/>
      <c r="G48" s="200"/>
      <c r="H48" s="200" t="s">
        <v>265</v>
      </c>
      <c r="I48" s="204">
        <v>1918.77</v>
      </c>
      <c r="J48" s="262"/>
    </row>
    <row r="49" spans="1:10" x14ac:dyDescent="0.25">
      <c r="A49" s="200"/>
      <c r="B49" s="200"/>
      <c r="C49" s="200"/>
      <c r="D49" s="200"/>
      <c r="E49" s="200"/>
      <c r="F49" s="200"/>
      <c r="G49" s="200" t="s">
        <v>266</v>
      </c>
      <c r="H49" s="200"/>
      <c r="I49" s="201">
        <f>ROUND(SUM(I45:I48),5)</f>
        <v>111751.77</v>
      </c>
      <c r="J49" s="262"/>
    </row>
    <row r="50" spans="1:10" ht="30" customHeight="1" x14ac:dyDescent="0.25">
      <c r="A50" s="200"/>
      <c r="B50" s="200"/>
      <c r="C50" s="200"/>
      <c r="D50" s="200"/>
      <c r="E50" s="200"/>
      <c r="F50" s="200"/>
      <c r="G50" s="200" t="s">
        <v>298</v>
      </c>
      <c r="H50" s="200"/>
      <c r="I50" s="201"/>
      <c r="J50" s="262"/>
    </row>
    <row r="51" spans="1:10" x14ac:dyDescent="0.25">
      <c r="A51" s="200"/>
      <c r="B51" s="200"/>
      <c r="C51" s="200"/>
      <c r="D51" s="200"/>
      <c r="E51" s="200"/>
      <c r="F51" s="200"/>
      <c r="G51" s="200"/>
      <c r="H51" s="200" t="s">
        <v>299</v>
      </c>
      <c r="I51" s="201">
        <v>145</v>
      </c>
      <c r="J51" s="262"/>
    </row>
    <row r="52" spans="1:10" ht="15.75" thickBot="1" x14ac:dyDescent="0.3">
      <c r="A52" s="200"/>
      <c r="B52" s="200"/>
      <c r="C52" s="200"/>
      <c r="D52" s="200"/>
      <c r="E52" s="200"/>
      <c r="F52" s="200"/>
      <c r="G52" s="200"/>
      <c r="H52" s="200" t="s">
        <v>333</v>
      </c>
      <c r="I52" s="204">
        <v>2628</v>
      </c>
      <c r="J52" s="262"/>
    </row>
    <row r="53" spans="1:10" x14ac:dyDescent="0.25">
      <c r="A53" s="200"/>
      <c r="B53" s="200"/>
      <c r="C53" s="200"/>
      <c r="D53" s="200"/>
      <c r="E53" s="200"/>
      <c r="F53" s="200"/>
      <c r="G53" s="200" t="s">
        <v>300</v>
      </c>
      <c r="H53" s="200"/>
      <c r="I53" s="201">
        <f>ROUND(SUM(I50:I52),5)</f>
        <v>2773</v>
      </c>
      <c r="J53" s="262"/>
    </row>
    <row r="54" spans="1:10" ht="30" customHeight="1" x14ac:dyDescent="0.25">
      <c r="A54" s="200"/>
      <c r="B54" s="200"/>
      <c r="C54" s="200"/>
      <c r="D54" s="200"/>
      <c r="E54" s="200"/>
      <c r="F54" s="200"/>
      <c r="G54" s="200" t="s">
        <v>267</v>
      </c>
      <c r="H54" s="200"/>
      <c r="I54" s="201"/>
      <c r="J54" s="262"/>
    </row>
    <row r="55" spans="1:10" x14ac:dyDescent="0.25">
      <c r="A55" s="200"/>
      <c r="B55" s="200"/>
      <c r="C55" s="200"/>
      <c r="D55" s="200"/>
      <c r="E55" s="200"/>
      <c r="F55" s="200"/>
      <c r="G55" s="200"/>
      <c r="H55" s="200" t="s">
        <v>268</v>
      </c>
      <c r="I55" s="201">
        <v>1791</v>
      </c>
      <c r="J55" s="262"/>
    </row>
    <row r="56" spans="1:10" x14ac:dyDescent="0.25">
      <c r="A56" s="200"/>
      <c r="B56" s="200"/>
      <c r="C56" s="200"/>
      <c r="D56" s="200"/>
      <c r="E56" s="200"/>
      <c r="F56" s="200"/>
      <c r="G56" s="200"/>
      <c r="H56" s="200" t="s">
        <v>269</v>
      </c>
      <c r="I56" s="201">
        <v>4322</v>
      </c>
      <c r="J56" s="262"/>
    </row>
    <row r="57" spans="1:10" x14ac:dyDescent="0.25">
      <c r="A57" s="200"/>
      <c r="B57" s="200"/>
      <c r="C57" s="200"/>
      <c r="D57" s="200"/>
      <c r="E57" s="200"/>
      <c r="F57" s="200"/>
      <c r="G57" s="200"/>
      <c r="H57" s="200" t="s">
        <v>270</v>
      </c>
      <c r="I57" s="201">
        <v>1791</v>
      </c>
      <c r="J57" s="262"/>
    </row>
    <row r="58" spans="1:10" ht="15.75" thickBot="1" x14ac:dyDescent="0.3">
      <c r="A58" s="200"/>
      <c r="B58" s="200"/>
      <c r="C58" s="200"/>
      <c r="D58" s="200"/>
      <c r="E58" s="200"/>
      <c r="F58" s="200"/>
      <c r="G58" s="200"/>
      <c r="H58" s="200" t="s">
        <v>271</v>
      </c>
      <c r="I58" s="204">
        <v>30000</v>
      </c>
      <c r="J58" s="262"/>
    </row>
    <row r="59" spans="1:10" x14ac:dyDescent="0.25">
      <c r="A59" s="200"/>
      <c r="B59" s="200"/>
      <c r="C59" s="200"/>
      <c r="D59" s="200"/>
      <c r="E59" s="200"/>
      <c r="F59" s="200"/>
      <c r="G59" s="200" t="s">
        <v>272</v>
      </c>
      <c r="H59" s="200"/>
      <c r="I59" s="201">
        <f>ROUND(SUM(I54:I58),5)</f>
        <v>37904</v>
      </c>
      <c r="J59" s="262"/>
    </row>
    <row r="60" spans="1:10" ht="30" customHeight="1" x14ac:dyDescent="0.25">
      <c r="A60" s="200"/>
      <c r="B60" s="200"/>
      <c r="C60" s="200"/>
      <c r="D60" s="200"/>
      <c r="E60" s="200"/>
      <c r="F60" s="200"/>
      <c r="G60" s="200" t="s">
        <v>273</v>
      </c>
      <c r="H60" s="200"/>
      <c r="I60" s="201"/>
      <c r="J60" s="262"/>
    </row>
    <row r="61" spans="1:10" x14ac:dyDescent="0.25">
      <c r="A61" s="200"/>
      <c r="B61" s="200"/>
      <c r="C61" s="200"/>
      <c r="D61" s="200"/>
      <c r="E61" s="200"/>
      <c r="F61" s="200"/>
      <c r="G61" s="200"/>
      <c r="H61" s="200" t="s">
        <v>274</v>
      </c>
      <c r="I61" s="201">
        <v>830</v>
      </c>
      <c r="J61" s="262"/>
    </row>
    <row r="62" spans="1:10" x14ac:dyDescent="0.25">
      <c r="A62" s="200"/>
      <c r="B62" s="200"/>
      <c r="C62" s="200"/>
      <c r="D62" s="200"/>
      <c r="E62" s="200"/>
      <c r="F62" s="200"/>
      <c r="G62" s="200"/>
      <c r="H62" s="200" t="s">
        <v>324</v>
      </c>
      <c r="I62" s="201">
        <v>0</v>
      </c>
      <c r="J62" s="262"/>
    </row>
    <row r="63" spans="1:10" ht="15.75" thickBot="1" x14ac:dyDescent="0.3">
      <c r="A63" s="200"/>
      <c r="B63" s="200"/>
      <c r="C63" s="200"/>
      <c r="D63" s="200"/>
      <c r="E63" s="200"/>
      <c r="F63" s="200"/>
      <c r="G63" s="200"/>
      <c r="H63" s="200" t="s">
        <v>334</v>
      </c>
      <c r="I63" s="204">
        <v>280</v>
      </c>
      <c r="J63" s="262"/>
    </row>
    <row r="64" spans="1:10" x14ac:dyDescent="0.25">
      <c r="A64" s="200"/>
      <c r="B64" s="200"/>
      <c r="C64" s="200"/>
      <c r="D64" s="200"/>
      <c r="E64" s="200"/>
      <c r="F64" s="200"/>
      <c r="G64" s="200" t="s">
        <v>275</v>
      </c>
      <c r="H64" s="200"/>
      <c r="I64" s="201">
        <f>ROUND(SUM(I60:I63),5)</f>
        <v>1110</v>
      </c>
      <c r="J64" s="262"/>
    </row>
    <row r="65" spans="1:10" ht="30" customHeight="1" x14ac:dyDescent="0.25">
      <c r="A65" s="200"/>
      <c r="B65" s="200"/>
      <c r="C65" s="200"/>
      <c r="D65" s="200"/>
      <c r="E65" s="200"/>
      <c r="F65" s="200"/>
      <c r="G65" s="200" t="s">
        <v>276</v>
      </c>
      <c r="H65" s="200"/>
      <c r="I65" s="201"/>
      <c r="J65" s="262"/>
    </row>
    <row r="66" spans="1:10" x14ac:dyDescent="0.25">
      <c r="A66" s="200"/>
      <c r="B66" s="200"/>
      <c r="C66" s="200"/>
      <c r="D66" s="200"/>
      <c r="E66" s="200"/>
      <c r="F66" s="200"/>
      <c r="G66" s="200"/>
      <c r="H66" s="200" t="s">
        <v>302</v>
      </c>
      <c r="I66" s="201">
        <v>250</v>
      </c>
      <c r="J66" s="262"/>
    </row>
    <row r="67" spans="1:10" x14ac:dyDescent="0.25">
      <c r="A67" s="200"/>
      <c r="B67" s="200"/>
      <c r="C67" s="200"/>
      <c r="D67" s="200"/>
      <c r="E67" s="200"/>
      <c r="F67" s="200"/>
      <c r="G67" s="200"/>
      <c r="H67" s="200" t="s">
        <v>277</v>
      </c>
      <c r="I67" s="201">
        <v>2049</v>
      </c>
      <c r="J67" s="262"/>
    </row>
    <row r="68" spans="1:10" ht="15.75" thickBot="1" x14ac:dyDescent="0.3">
      <c r="A68" s="200"/>
      <c r="B68" s="200"/>
      <c r="C68" s="200"/>
      <c r="D68" s="200"/>
      <c r="E68" s="200"/>
      <c r="F68" s="200"/>
      <c r="G68" s="200"/>
      <c r="H68" s="200" t="s">
        <v>278</v>
      </c>
      <c r="I68" s="202">
        <v>800</v>
      </c>
      <c r="J68" s="262"/>
    </row>
    <row r="69" spans="1:10" ht="15.75" thickBot="1" x14ac:dyDescent="0.3">
      <c r="A69" s="200"/>
      <c r="B69" s="200"/>
      <c r="C69" s="200"/>
      <c r="D69" s="200"/>
      <c r="E69" s="200"/>
      <c r="F69" s="200"/>
      <c r="G69" s="200" t="s">
        <v>279</v>
      </c>
      <c r="H69" s="200"/>
      <c r="I69" s="83">
        <f>ROUND(SUM(I65:I68),5)</f>
        <v>3099</v>
      </c>
      <c r="J69" s="262"/>
    </row>
    <row r="70" spans="1:10" ht="30" customHeight="1" x14ac:dyDescent="0.25">
      <c r="A70" s="200"/>
      <c r="B70" s="200"/>
      <c r="C70" s="200"/>
      <c r="D70" s="200"/>
      <c r="E70" s="200"/>
      <c r="F70" s="200" t="s">
        <v>280</v>
      </c>
      <c r="G70" s="200"/>
      <c r="H70" s="200"/>
      <c r="I70" s="201">
        <f>ROUND(I33+I40+I44+I49+I53+I59+I64+I69,5)</f>
        <v>425612.77</v>
      </c>
      <c r="J70" s="262"/>
    </row>
    <row r="71" spans="1:10" ht="30" customHeight="1" x14ac:dyDescent="0.25">
      <c r="A71" s="200"/>
      <c r="B71" s="200"/>
      <c r="C71" s="200"/>
      <c r="D71" s="200"/>
      <c r="E71" s="200"/>
      <c r="F71" s="200" t="s">
        <v>325</v>
      </c>
      <c r="G71" s="200"/>
      <c r="H71" s="200"/>
      <c r="I71" s="201"/>
      <c r="J71" s="262"/>
    </row>
    <row r="72" spans="1:10" ht="15.75" thickBot="1" x14ac:dyDescent="0.3">
      <c r="A72" s="200"/>
      <c r="B72" s="200"/>
      <c r="C72" s="200"/>
      <c r="D72" s="200"/>
      <c r="E72" s="200"/>
      <c r="F72" s="200"/>
      <c r="G72" s="200" t="s">
        <v>326</v>
      </c>
      <c r="H72" s="200"/>
      <c r="I72" s="204">
        <v>0</v>
      </c>
      <c r="J72" s="262"/>
    </row>
    <row r="73" spans="1:10" x14ac:dyDescent="0.25">
      <c r="A73" s="200"/>
      <c r="B73" s="200"/>
      <c r="C73" s="200"/>
      <c r="D73" s="200"/>
      <c r="E73" s="200"/>
      <c r="F73" s="200" t="s">
        <v>327</v>
      </c>
      <c r="G73" s="200"/>
      <c r="H73" s="200"/>
      <c r="I73" s="201">
        <f>ROUND(SUM(I71:I72),5)</f>
        <v>0</v>
      </c>
      <c r="J73" s="262"/>
    </row>
    <row r="74" spans="1:10" ht="30" customHeight="1" x14ac:dyDescent="0.25">
      <c r="A74" s="200"/>
      <c r="B74" s="200"/>
      <c r="C74" s="200"/>
      <c r="D74" s="200"/>
      <c r="E74" s="200"/>
      <c r="F74" s="200" t="s">
        <v>281</v>
      </c>
      <c r="G74" s="200"/>
      <c r="H74" s="200"/>
      <c r="I74" s="201"/>
      <c r="J74" s="262"/>
    </row>
    <row r="75" spans="1:10" x14ac:dyDescent="0.25">
      <c r="A75" s="200"/>
      <c r="B75" s="200"/>
      <c r="C75" s="200"/>
      <c r="D75" s="200"/>
      <c r="E75" s="200"/>
      <c r="F75" s="200"/>
      <c r="G75" s="200" t="s">
        <v>282</v>
      </c>
      <c r="H75" s="200"/>
      <c r="I75" s="201">
        <v>1200</v>
      </c>
      <c r="J75" s="262"/>
    </row>
    <row r="76" spans="1:10" ht="15.75" thickBot="1" x14ac:dyDescent="0.3">
      <c r="A76" s="200"/>
      <c r="B76" s="200"/>
      <c r="C76" s="200"/>
      <c r="D76" s="200"/>
      <c r="E76" s="200"/>
      <c r="F76" s="200"/>
      <c r="G76" s="200" t="s">
        <v>335</v>
      </c>
      <c r="H76" s="200"/>
      <c r="I76" s="202">
        <v>4000</v>
      </c>
      <c r="J76" s="262"/>
    </row>
    <row r="77" spans="1:10" ht="15.75" thickBot="1" x14ac:dyDescent="0.3">
      <c r="A77" s="200"/>
      <c r="B77" s="200"/>
      <c r="C77" s="200"/>
      <c r="D77" s="200"/>
      <c r="E77" s="200"/>
      <c r="F77" s="200" t="s">
        <v>283</v>
      </c>
      <c r="G77" s="200"/>
      <c r="H77" s="200"/>
      <c r="I77" s="203">
        <f>ROUND(SUM(I74:I76),5)</f>
        <v>5200</v>
      </c>
      <c r="J77" s="262"/>
    </row>
    <row r="78" spans="1:10" ht="30" customHeight="1" thickBot="1" x14ac:dyDescent="0.3">
      <c r="A78" s="200"/>
      <c r="B78" s="200"/>
      <c r="C78" s="200"/>
      <c r="D78" s="200"/>
      <c r="E78" s="200" t="s">
        <v>284</v>
      </c>
      <c r="F78" s="200"/>
      <c r="G78" s="200"/>
      <c r="H78" s="200"/>
      <c r="I78" s="203">
        <f>ROUND(I32+I70+I73+I77,5)</f>
        <v>430812.77</v>
      </c>
      <c r="J78" s="262"/>
    </row>
    <row r="79" spans="1:10" ht="30" customHeight="1" thickBot="1" x14ac:dyDescent="0.3">
      <c r="A79" s="200"/>
      <c r="B79" s="200"/>
      <c r="C79" s="200"/>
      <c r="D79" s="200" t="s">
        <v>142</v>
      </c>
      <c r="E79" s="200"/>
      <c r="F79" s="200"/>
      <c r="G79" s="200"/>
      <c r="H79" s="200"/>
      <c r="I79" s="203">
        <f>ROUND(I31+I78,5)</f>
        <v>430812.77</v>
      </c>
      <c r="J79" s="262"/>
    </row>
    <row r="80" spans="1:10" ht="30" customHeight="1" thickBot="1" x14ac:dyDescent="0.3">
      <c r="A80" s="200"/>
      <c r="B80" s="200" t="s">
        <v>143</v>
      </c>
      <c r="C80" s="200"/>
      <c r="D80" s="200"/>
      <c r="E80" s="200"/>
      <c r="F80" s="200"/>
      <c r="G80" s="200"/>
      <c r="H80" s="200"/>
      <c r="I80" s="203">
        <f>ROUND(I3+I30-I79,5)</f>
        <v>1031681.84806</v>
      </c>
      <c r="J80" s="262"/>
    </row>
    <row r="81" spans="1:10" s="87" customFormat="1" ht="30" customHeight="1" thickBot="1" x14ac:dyDescent="0.25">
      <c r="A81" s="200" t="s">
        <v>144</v>
      </c>
      <c r="B81" s="200"/>
      <c r="C81" s="200"/>
      <c r="D81" s="200"/>
      <c r="E81" s="200"/>
      <c r="F81" s="200"/>
      <c r="G81" s="200"/>
      <c r="H81" s="200"/>
      <c r="I81" s="86">
        <f>I80</f>
        <v>1031681.84806</v>
      </c>
      <c r="J81" s="200"/>
    </row>
    <row r="82" spans="1:10" ht="15.75" thickTop="1" x14ac:dyDescent="0.25"/>
  </sheetData>
  <pageMargins left="0.7" right="0.7" top="0.75" bottom="0.75" header="0.25" footer="0.3"/>
  <pageSetup orientation="portrait" r:id="rId1"/>
  <headerFooter>
    <oddHeader>&amp;L&amp;"Arial,Bold"&amp;8 10:07 PM
&amp;"Arial,Bold"&amp;8 10/05/16
&amp;"Arial,Bold"&amp;8 Accrual Basis&amp;C&amp;"Arial,Bold"&amp;12 Siam Tropical Fish Limited (STFTL)
&amp;"Arial,Bold"&amp;14 Profit &amp;&amp; Loss
&amp;"Arial,Bold"&amp;10 August 26 through September 29,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7170" r:id="rId4" name="HEADER">
          <controlPr defaultSize="0" autoLin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0</xdr:colOff>
                <xdr:row>1</xdr:row>
                <xdr:rowOff>28575</xdr:rowOff>
              </to>
            </anchor>
          </controlPr>
        </control>
      </mc:Choice>
      <mc:Fallback>
        <control shapeId="7170" r:id="rId4" name="HEADER"/>
      </mc:Fallback>
    </mc:AlternateContent>
    <mc:AlternateContent xmlns:mc="http://schemas.openxmlformats.org/markup-compatibility/2006">
      <mc:Choice Requires="x14">
        <control shapeId="7169" r:id="rId6" name="FILTER">
          <controlPr defaultSize="0" autoLin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0</xdr:colOff>
                <xdr:row>1</xdr:row>
                <xdr:rowOff>28575</xdr:rowOff>
              </to>
            </anchor>
          </controlPr>
        </control>
      </mc:Choice>
      <mc:Fallback>
        <control shapeId="7169" r:id="rId6" name="FILTER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7" tint="0.39997558519241921"/>
  </sheetPr>
  <dimension ref="A1:Q71"/>
  <sheetViews>
    <sheetView workbookViewId="0">
      <pane xSplit="8" ySplit="1" topLeftCell="I8" activePane="bottomRight" state="frozenSplit"/>
      <selection pane="topRight" activeCell="I1" sqref="I1"/>
      <selection pane="bottomLeft" activeCell="A2" sqref="A2"/>
      <selection pane="bottomRight" activeCell="L20" sqref="L20"/>
    </sheetView>
  </sheetViews>
  <sheetFormatPr defaultRowHeight="15" x14ac:dyDescent="0.25"/>
  <cols>
    <col min="1" max="7" width="3" style="214" customWidth="1"/>
    <col min="8" max="8" width="36.7109375" style="214" customWidth="1"/>
    <col min="9" max="9" width="14.85546875" style="119" bestFit="1" customWidth="1"/>
    <col min="13" max="13" width="9.28515625" customWidth="1"/>
    <col min="14" max="14" width="23.42578125" bestFit="1" customWidth="1"/>
    <col min="15" max="15" width="10" bestFit="1" customWidth="1"/>
    <col min="16" max="16" width="9.42578125" bestFit="1" customWidth="1"/>
    <col min="17" max="17" width="17.42578125" bestFit="1" customWidth="1"/>
  </cols>
  <sheetData>
    <row r="1" spans="1:17" s="79" customFormat="1" ht="15.75" thickBot="1" x14ac:dyDescent="0.3">
      <c r="A1" s="205"/>
      <c r="B1" s="205"/>
      <c r="C1" s="205"/>
      <c r="D1" s="205"/>
      <c r="E1" s="205"/>
      <c r="F1" s="205"/>
      <c r="G1" s="205"/>
      <c r="H1" s="205"/>
      <c r="I1" s="206" t="s">
        <v>322</v>
      </c>
      <c r="N1" s="215" t="s">
        <v>223</v>
      </c>
      <c r="O1" s="235">
        <v>35.257399999999997</v>
      </c>
      <c r="P1" s="215" t="s">
        <v>224</v>
      </c>
    </row>
    <row r="2" spans="1:17" ht="15.75" thickTop="1" x14ac:dyDescent="0.25">
      <c r="A2" s="200"/>
      <c r="B2" s="200" t="s">
        <v>57</v>
      </c>
      <c r="C2" s="200"/>
      <c r="D2" s="200"/>
      <c r="E2" s="200"/>
      <c r="F2" s="200"/>
      <c r="G2" s="200"/>
      <c r="H2" s="200"/>
      <c r="I2" s="201"/>
    </row>
    <row r="3" spans="1:17" ht="30" x14ac:dyDescent="0.25">
      <c r="A3" s="200"/>
      <c r="B3" s="200"/>
      <c r="C3" s="200"/>
      <c r="D3" s="200" t="s">
        <v>58</v>
      </c>
      <c r="E3" s="200"/>
      <c r="F3" s="200"/>
      <c r="G3" s="200"/>
      <c r="H3" s="200"/>
      <c r="I3" s="201"/>
      <c r="N3" s="216" t="s">
        <v>225</v>
      </c>
      <c r="O3" s="217" t="s">
        <v>224</v>
      </c>
      <c r="P3" s="218" t="s">
        <v>226</v>
      </c>
      <c r="Q3" s="217" t="s">
        <v>227</v>
      </c>
    </row>
    <row r="4" spans="1:17" x14ac:dyDescent="0.25">
      <c r="A4" s="200"/>
      <c r="B4" s="200"/>
      <c r="C4" s="200"/>
      <c r="D4" s="200"/>
      <c r="E4" s="200" t="s">
        <v>59</v>
      </c>
      <c r="F4" s="200"/>
      <c r="G4" s="200"/>
      <c r="H4" s="200"/>
      <c r="I4" s="201"/>
      <c r="N4" s="219" t="s">
        <v>228</v>
      </c>
      <c r="O4" s="220">
        <f>I46</f>
        <v>111751.77</v>
      </c>
      <c r="P4" s="219"/>
      <c r="Q4" s="219" t="s">
        <v>229</v>
      </c>
    </row>
    <row r="5" spans="1:17" x14ac:dyDescent="0.25">
      <c r="A5" s="200"/>
      <c r="B5" s="200"/>
      <c r="C5" s="200"/>
      <c r="D5" s="200"/>
      <c r="E5" s="200"/>
      <c r="F5" s="200" t="s">
        <v>60</v>
      </c>
      <c r="G5" s="200"/>
      <c r="H5" s="200"/>
      <c r="I5" s="201">
        <v>5847529</v>
      </c>
    </row>
    <row r="6" spans="1:17" ht="30" x14ac:dyDescent="0.25">
      <c r="A6" s="200"/>
      <c r="B6" s="200"/>
      <c r="C6" s="200"/>
      <c r="D6" s="200"/>
      <c r="E6" s="200"/>
      <c r="F6" s="200" t="s">
        <v>218</v>
      </c>
      <c r="G6" s="200"/>
      <c r="H6" s="200"/>
      <c r="I6" s="201">
        <v>1095605</v>
      </c>
      <c r="N6" s="216" t="s">
        <v>230</v>
      </c>
      <c r="O6" s="217" t="s">
        <v>224</v>
      </c>
      <c r="P6" s="218" t="s">
        <v>226</v>
      </c>
      <c r="Q6" s="217" t="s">
        <v>227</v>
      </c>
    </row>
    <row r="7" spans="1:17" x14ac:dyDescent="0.25">
      <c r="A7" s="200"/>
      <c r="B7" s="200"/>
      <c r="C7" s="200"/>
      <c r="D7" s="200"/>
      <c r="E7" s="200"/>
      <c r="F7" s="200" t="s">
        <v>62</v>
      </c>
      <c r="G7" s="200"/>
      <c r="H7" s="200"/>
      <c r="I7" s="201">
        <v>114240</v>
      </c>
      <c r="N7" s="221" t="s">
        <v>231</v>
      </c>
      <c r="O7" s="220">
        <f>I68-O4</f>
        <v>330082.27999999997</v>
      </c>
      <c r="P7" s="219"/>
      <c r="Q7" s="219" t="s">
        <v>229</v>
      </c>
    </row>
    <row r="8" spans="1:17" x14ac:dyDescent="0.25">
      <c r="A8" s="200"/>
      <c r="B8" s="200"/>
      <c r="C8" s="200"/>
      <c r="D8" s="200"/>
      <c r="E8" s="200"/>
      <c r="F8" s="200" t="s">
        <v>63</v>
      </c>
      <c r="G8" s="200"/>
      <c r="H8" s="200"/>
      <c r="I8" s="201">
        <v>43050</v>
      </c>
    </row>
    <row r="9" spans="1:17" ht="15.75" thickBot="1" x14ac:dyDescent="0.3">
      <c r="A9" s="200"/>
      <c r="B9" s="200"/>
      <c r="C9" s="200"/>
      <c r="D9" s="200"/>
      <c r="E9" s="200"/>
      <c r="F9" s="200" t="s">
        <v>66</v>
      </c>
      <c r="G9" s="200"/>
      <c r="H9" s="200"/>
      <c r="I9" s="202">
        <v>17500</v>
      </c>
    </row>
    <row r="10" spans="1:17" ht="15.75" thickBot="1" x14ac:dyDescent="0.3">
      <c r="A10" s="200"/>
      <c r="B10" s="200"/>
      <c r="C10" s="200"/>
      <c r="D10" s="200"/>
      <c r="E10" s="200" t="s">
        <v>67</v>
      </c>
      <c r="F10" s="200"/>
      <c r="G10" s="200"/>
      <c r="H10" s="200"/>
      <c r="I10" s="83">
        <f>ROUND(SUM(I4:I9),5)</f>
        <v>7117924</v>
      </c>
    </row>
    <row r="11" spans="1:17" ht="30" customHeight="1" x14ac:dyDescent="0.25">
      <c r="A11" s="200"/>
      <c r="B11" s="200"/>
      <c r="C11" s="200"/>
      <c r="D11" s="200" t="s">
        <v>68</v>
      </c>
      <c r="E11" s="200"/>
      <c r="F11" s="200"/>
      <c r="G11" s="200"/>
      <c r="H11" s="200"/>
      <c r="I11" s="201">
        <f>ROUND(I3+I10,5)</f>
        <v>7117924</v>
      </c>
    </row>
    <row r="12" spans="1:17" ht="30" customHeight="1" x14ac:dyDescent="0.25">
      <c r="A12" s="200"/>
      <c r="B12" s="200"/>
      <c r="C12" s="200"/>
      <c r="D12" s="200" t="s">
        <v>69</v>
      </c>
      <c r="E12" s="200"/>
      <c r="F12" s="200"/>
      <c r="G12" s="200"/>
      <c r="H12" s="200"/>
      <c r="I12" s="201"/>
    </row>
    <row r="13" spans="1:17" x14ac:dyDescent="0.25">
      <c r="A13" s="200"/>
      <c r="B13" s="200"/>
      <c r="C13" s="200"/>
      <c r="D13" s="200"/>
      <c r="E13" s="200" t="s">
        <v>240</v>
      </c>
      <c r="F13" s="200"/>
      <c r="G13" s="200"/>
      <c r="H13" s="200"/>
      <c r="I13" s="201"/>
    </row>
    <row r="14" spans="1:17" x14ac:dyDescent="0.25">
      <c r="A14" s="200"/>
      <c r="B14" s="200"/>
      <c r="C14" s="200"/>
      <c r="D14" s="200"/>
      <c r="E14" s="200"/>
      <c r="F14" s="200" t="s">
        <v>241</v>
      </c>
      <c r="G14" s="200"/>
      <c r="H14" s="200"/>
      <c r="I14" s="201"/>
    </row>
    <row r="15" spans="1:17" x14ac:dyDescent="0.25">
      <c r="A15" s="200"/>
      <c r="B15" s="200"/>
      <c r="C15" s="200"/>
      <c r="D15" s="200"/>
      <c r="E15" s="200"/>
      <c r="F15" s="200"/>
      <c r="G15" s="200" t="s">
        <v>242</v>
      </c>
      <c r="H15" s="200"/>
      <c r="I15" s="201">
        <v>4547327.3600000003</v>
      </c>
    </row>
    <row r="16" spans="1:17" x14ac:dyDescent="0.25">
      <c r="A16" s="200"/>
      <c r="B16" s="200"/>
      <c r="C16" s="200"/>
      <c r="D16" s="200"/>
      <c r="E16" s="200"/>
      <c r="F16" s="200"/>
      <c r="G16" s="200" t="s">
        <v>243</v>
      </c>
      <c r="H16" s="200"/>
      <c r="I16" s="201"/>
    </row>
    <row r="17" spans="1:9" x14ac:dyDescent="0.25">
      <c r="A17" s="200"/>
      <c r="B17" s="200"/>
      <c r="C17" s="200"/>
      <c r="D17" s="200"/>
      <c r="E17" s="200"/>
      <c r="F17" s="200"/>
      <c r="G17" s="200"/>
      <c r="H17" s="200" t="s">
        <v>244</v>
      </c>
      <c r="I17" s="201">
        <v>1872</v>
      </c>
    </row>
    <row r="18" spans="1:9" ht="15.75" thickBot="1" x14ac:dyDescent="0.3">
      <c r="A18" s="200"/>
      <c r="B18" s="200"/>
      <c r="C18" s="200"/>
      <c r="D18" s="200"/>
      <c r="E18" s="200"/>
      <c r="F18" s="200"/>
      <c r="G18" s="200"/>
      <c r="H18" s="200" t="s">
        <v>311</v>
      </c>
      <c r="I18" s="204">
        <v>5940</v>
      </c>
    </row>
    <row r="19" spans="1:9" x14ac:dyDescent="0.25">
      <c r="A19" s="200"/>
      <c r="B19" s="200"/>
      <c r="C19" s="200"/>
      <c r="D19" s="200"/>
      <c r="E19" s="200"/>
      <c r="F19" s="200"/>
      <c r="G19" s="200" t="s">
        <v>245</v>
      </c>
      <c r="H19" s="200"/>
      <c r="I19" s="201">
        <f>ROUND(SUM(I16:I18),5)</f>
        <v>7812</v>
      </c>
    </row>
    <row r="20" spans="1:9" ht="30" customHeight="1" x14ac:dyDescent="0.25">
      <c r="A20" s="200"/>
      <c r="B20" s="200"/>
      <c r="C20" s="200"/>
      <c r="D20" s="200"/>
      <c r="E20" s="200"/>
      <c r="F20" s="200"/>
      <c r="G20" s="200" t="s">
        <v>246</v>
      </c>
      <c r="H20" s="200"/>
      <c r="I20" s="201">
        <v>1001038.18</v>
      </c>
    </row>
    <row r="21" spans="1:9" x14ac:dyDescent="0.25">
      <c r="A21" s="200"/>
      <c r="B21" s="200"/>
      <c r="C21" s="200"/>
      <c r="D21" s="200"/>
      <c r="E21" s="200"/>
      <c r="F21" s="200"/>
      <c r="G21" s="200" t="s">
        <v>247</v>
      </c>
      <c r="H21" s="200"/>
      <c r="I21" s="201">
        <v>400</v>
      </c>
    </row>
    <row r="22" spans="1:9" x14ac:dyDescent="0.25">
      <c r="A22" s="200"/>
      <c r="B22" s="200"/>
      <c r="C22" s="200"/>
      <c r="D22" s="200"/>
      <c r="E22" s="200"/>
      <c r="F22" s="200"/>
      <c r="G22" s="200" t="s">
        <v>248</v>
      </c>
      <c r="H22" s="200"/>
      <c r="I22" s="201">
        <v>8000</v>
      </c>
    </row>
    <row r="23" spans="1:9" x14ac:dyDescent="0.25">
      <c r="A23" s="200"/>
      <c r="B23" s="200"/>
      <c r="C23" s="200"/>
      <c r="D23" s="200"/>
      <c r="E23" s="200"/>
      <c r="F23" s="200"/>
      <c r="G23" s="200" t="s">
        <v>249</v>
      </c>
      <c r="H23" s="200"/>
      <c r="I23" s="201">
        <v>93128</v>
      </c>
    </row>
    <row r="24" spans="1:9" ht="15.75" thickBot="1" x14ac:dyDescent="0.3">
      <c r="A24" s="200"/>
      <c r="B24" s="200"/>
      <c r="C24" s="200"/>
      <c r="D24" s="200"/>
      <c r="E24" s="200"/>
      <c r="F24" s="200"/>
      <c r="G24" s="200" t="s">
        <v>250</v>
      </c>
      <c r="H24" s="200"/>
      <c r="I24" s="202">
        <v>34900</v>
      </c>
    </row>
    <row r="25" spans="1:9" ht="15.75" thickBot="1" x14ac:dyDescent="0.3">
      <c r="A25" s="200"/>
      <c r="B25" s="200"/>
      <c r="C25" s="200"/>
      <c r="D25" s="200"/>
      <c r="E25" s="200"/>
      <c r="F25" s="200" t="s">
        <v>251</v>
      </c>
      <c r="G25" s="200"/>
      <c r="H25" s="200"/>
      <c r="I25" s="203">
        <f>ROUND(SUM(I14:I15)+SUM(I19:I24),5)</f>
        <v>5692605.54</v>
      </c>
    </row>
    <row r="26" spans="1:9" ht="30" customHeight="1" thickBot="1" x14ac:dyDescent="0.3">
      <c r="A26" s="200"/>
      <c r="B26" s="200"/>
      <c r="C26" s="200"/>
      <c r="D26" s="200"/>
      <c r="E26" s="200" t="s">
        <v>252</v>
      </c>
      <c r="F26" s="200"/>
      <c r="G26" s="200"/>
      <c r="H26" s="200"/>
      <c r="I26" s="203">
        <f>ROUND(I13+I25,5)</f>
        <v>5692605.54</v>
      </c>
    </row>
    <row r="27" spans="1:9" ht="30" customHeight="1" thickBot="1" x14ac:dyDescent="0.3">
      <c r="A27" s="200"/>
      <c r="B27" s="200"/>
      <c r="C27" s="200"/>
      <c r="D27" s="200" t="s">
        <v>88</v>
      </c>
      <c r="E27" s="200"/>
      <c r="F27" s="200"/>
      <c r="G27" s="200"/>
      <c r="H27" s="200"/>
      <c r="I27" s="83">
        <f>ROUND(I12+I26,5)</f>
        <v>5692605.54</v>
      </c>
    </row>
    <row r="28" spans="1:9" ht="30" customHeight="1" x14ac:dyDescent="0.25">
      <c r="A28" s="200"/>
      <c r="B28" s="200"/>
      <c r="C28" s="200" t="s">
        <v>89</v>
      </c>
      <c r="D28" s="200"/>
      <c r="E28" s="200"/>
      <c r="F28" s="200"/>
      <c r="G28" s="200"/>
      <c r="H28" s="200"/>
      <c r="I28" s="201">
        <f>ROUND(I11-I27,5)</f>
        <v>1425318.46</v>
      </c>
    </row>
    <row r="29" spans="1:9" ht="30" customHeight="1" x14ac:dyDescent="0.25">
      <c r="A29" s="200"/>
      <c r="B29" s="200"/>
      <c r="C29" s="200"/>
      <c r="D29" s="200" t="s">
        <v>90</v>
      </c>
      <c r="E29" s="200"/>
      <c r="F29" s="200"/>
      <c r="G29" s="200"/>
      <c r="H29" s="200"/>
      <c r="I29" s="201"/>
    </row>
    <row r="30" spans="1:9" x14ac:dyDescent="0.25">
      <c r="A30" s="200"/>
      <c r="B30" s="200"/>
      <c r="C30" s="200"/>
      <c r="D30" s="200"/>
      <c r="E30" s="200" t="s">
        <v>253</v>
      </c>
      <c r="F30" s="200"/>
      <c r="G30" s="200"/>
      <c r="H30" s="200"/>
      <c r="I30" s="201"/>
    </row>
    <row r="31" spans="1:9" x14ac:dyDescent="0.25">
      <c r="A31" s="200"/>
      <c r="B31" s="200"/>
      <c r="C31" s="200"/>
      <c r="D31" s="200"/>
      <c r="E31" s="200"/>
      <c r="F31" s="200" t="s">
        <v>254</v>
      </c>
      <c r="G31" s="200"/>
      <c r="H31" s="200"/>
      <c r="I31" s="201"/>
    </row>
    <row r="32" spans="1:9" x14ac:dyDescent="0.25">
      <c r="A32" s="200"/>
      <c r="B32" s="200"/>
      <c r="C32" s="200"/>
      <c r="D32" s="200"/>
      <c r="E32" s="200"/>
      <c r="F32" s="200"/>
      <c r="G32" s="200" t="s">
        <v>255</v>
      </c>
      <c r="H32" s="200"/>
      <c r="I32" s="201"/>
    </row>
    <row r="33" spans="1:9" x14ac:dyDescent="0.25">
      <c r="A33" s="200"/>
      <c r="B33" s="200"/>
      <c r="C33" s="200"/>
      <c r="D33" s="200"/>
      <c r="E33" s="200"/>
      <c r="F33" s="200"/>
      <c r="G33" s="200"/>
      <c r="H33" s="200" t="s">
        <v>312</v>
      </c>
      <c r="I33" s="201">
        <v>1123.92</v>
      </c>
    </row>
    <row r="34" spans="1:9" x14ac:dyDescent="0.25">
      <c r="A34" s="200"/>
      <c r="B34" s="200"/>
      <c r="C34" s="200"/>
      <c r="D34" s="200"/>
      <c r="E34" s="200"/>
      <c r="F34" s="200"/>
      <c r="G34" s="200"/>
      <c r="H34" s="200" t="s">
        <v>256</v>
      </c>
      <c r="I34" s="201">
        <v>224000</v>
      </c>
    </row>
    <row r="35" spans="1:9" x14ac:dyDescent="0.25">
      <c r="A35" s="200"/>
      <c r="B35" s="200"/>
      <c r="C35" s="200"/>
      <c r="D35" s="200"/>
      <c r="E35" s="200"/>
      <c r="F35" s="200"/>
      <c r="G35" s="200"/>
      <c r="H35" s="200" t="s">
        <v>292</v>
      </c>
      <c r="I35" s="201">
        <v>37000</v>
      </c>
    </row>
    <row r="36" spans="1:9" ht="15.75" thickBot="1" x14ac:dyDescent="0.3">
      <c r="A36" s="200"/>
      <c r="B36" s="200"/>
      <c r="C36" s="200"/>
      <c r="D36" s="200"/>
      <c r="E36" s="200"/>
      <c r="F36" s="200"/>
      <c r="G36" s="200"/>
      <c r="H36" s="200" t="s">
        <v>323</v>
      </c>
      <c r="I36" s="204">
        <v>4173</v>
      </c>
    </row>
    <row r="37" spans="1:9" x14ac:dyDescent="0.25">
      <c r="A37" s="200"/>
      <c r="B37" s="200"/>
      <c r="C37" s="200"/>
      <c r="D37" s="200"/>
      <c r="E37" s="200"/>
      <c r="F37" s="200"/>
      <c r="G37" s="200" t="s">
        <v>257</v>
      </c>
      <c r="H37" s="200"/>
      <c r="I37" s="201">
        <f>ROUND(SUM(I32:I36),5)</f>
        <v>266296.92</v>
      </c>
    </row>
    <row r="38" spans="1:9" ht="30" customHeight="1" x14ac:dyDescent="0.25">
      <c r="A38" s="200"/>
      <c r="B38" s="200"/>
      <c r="C38" s="200"/>
      <c r="D38" s="200"/>
      <c r="E38" s="200"/>
      <c r="F38" s="200"/>
      <c r="G38" s="200" t="s">
        <v>258</v>
      </c>
      <c r="H38" s="200"/>
      <c r="I38" s="201"/>
    </row>
    <row r="39" spans="1:9" x14ac:dyDescent="0.25">
      <c r="A39" s="200"/>
      <c r="B39" s="200"/>
      <c r="C39" s="200"/>
      <c r="D39" s="200"/>
      <c r="E39" s="200"/>
      <c r="F39" s="200"/>
      <c r="G39" s="200"/>
      <c r="H39" s="200" t="s">
        <v>259</v>
      </c>
      <c r="I39" s="201">
        <v>472</v>
      </c>
    </row>
    <row r="40" spans="1:9" ht="15.75" thickBot="1" x14ac:dyDescent="0.3">
      <c r="A40" s="200"/>
      <c r="B40" s="200"/>
      <c r="C40" s="200"/>
      <c r="D40" s="200"/>
      <c r="E40" s="200"/>
      <c r="F40" s="200"/>
      <c r="G40" s="200"/>
      <c r="H40" s="200" t="s">
        <v>260</v>
      </c>
      <c r="I40" s="204">
        <v>5000</v>
      </c>
    </row>
    <row r="41" spans="1:9" x14ac:dyDescent="0.25">
      <c r="A41" s="200"/>
      <c r="B41" s="200"/>
      <c r="C41" s="200"/>
      <c r="D41" s="200"/>
      <c r="E41" s="200"/>
      <c r="F41" s="200"/>
      <c r="G41" s="200" t="s">
        <v>261</v>
      </c>
      <c r="H41" s="200"/>
      <c r="I41" s="201">
        <f>ROUND(SUM(I38:I40),5)</f>
        <v>5472</v>
      </c>
    </row>
    <row r="42" spans="1:9" ht="30" customHeight="1" x14ac:dyDescent="0.25">
      <c r="A42" s="200"/>
      <c r="B42" s="200"/>
      <c r="C42" s="200"/>
      <c r="D42" s="200"/>
      <c r="E42" s="200"/>
      <c r="F42" s="200"/>
      <c r="G42" s="200" t="s">
        <v>262</v>
      </c>
      <c r="H42" s="200"/>
      <c r="I42" s="201"/>
    </row>
    <row r="43" spans="1:9" x14ac:dyDescent="0.25">
      <c r="A43" s="200"/>
      <c r="B43" s="200"/>
      <c r="C43" s="200"/>
      <c r="D43" s="200"/>
      <c r="E43" s="200"/>
      <c r="F43" s="200"/>
      <c r="G43" s="200"/>
      <c r="H43" s="200" t="s">
        <v>263</v>
      </c>
      <c r="I43" s="201">
        <v>107840</v>
      </c>
    </row>
    <row r="44" spans="1:9" x14ac:dyDescent="0.25">
      <c r="A44" s="200"/>
      <c r="B44" s="200"/>
      <c r="C44" s="200"/>
      <c r="D44" s="200"/>
      <c r="E44" s="200"/>
      <c r="F44" s="200"/>
      <c r="G44" s="200"/>
      <c r="H44" s="200" t="s">
        <v>264</v>
      </c>
      <c r="I44" s="201">
        <v>1993</v>
      </c>
    </row>
    <row r="45" spans="1:9" ht="15.75" thickBot="1" x14ac:dyDescent="0.3">
      <c r="A45" s="200"/>
      <c r="B45" s="200"/>
      <c r="C45" s="200"/>
      <c r="D45" s="200"/>
      <c r="E45" s="200"/>
      <c r="F45" s="200"/>
      <c r="G45" s="200"/>
      <c r="H45" s="200" t="s">
        <v>265</v>
      </c>
      <c r="I45" s="204">
        <v>1918.77</v>
      </c>
    </row>
    <row r="46" spans="1:9" x14ac:dyDescent="0.25">
      <c r="A46" s="200"/>
      <c r="B46" s="200"/>
      <c r="C46" s="200"/>
      <c r="D46" s="200"/>
      <c r="E46" s="200"/>
      <c r="F46" s="200"/>
      <c r="G46" s="200" t="s">
        <v>266</v>
      </c>
      <c r="H46" s="200"/>
      <c r="I46" s="201">
        <f>ROUND(SUM(I42:I45),5)</f>
        <v>111751.77</v>
      </c>
    </row>
    <row r="47" spans="1:9" ht="30" customHeight="1" x14ac:dyDescent="0.25">
      <c r="A47" s="200"/>
      <c r="B47" s="200"/>
      <c r="C47" s="200"/>
      <c r="D47" s="200"/>
      <c r="E47" s="200"/>
      <c r="F47" s="200"/>
      <c r="G47" s="200" t="s">
        <v>267</v>
      </c>
      <c r="H47" s="200"/>
      <c r="I47" s="201"/>
    </row>
    <row r="48" spans="1:9" x14ac:dyDescent="0.25">
      <c r="A48" s="200"/>
      <c r="B48" s="200"/>
      <c r="C48" s="200"/>
      <c r="D48" s="200"/>
      <c r="E48" s="200"/>
      <c r="F48" s="200"/>
      <c r="G48" s="200"/>
      <c r="H48" s="200" t="s">
        <v>268</v>
      </c>
      <c r="I48" s="201">
        <v>1672.75</v>
      </c>
    </row>
    <row r="49" spans="1:9" x14ac:dyDescent="0.25">
      <c r="A49" s="200"/>
      <c r="B49" s="200"/>
      <c r="C49" s="200"/>
      <c r="D49" s="200"/>
      <c r="E49" s="200"/>
      <c r="F49" s="200"/>
      <c r="G49" s="200"/>
      <c r="H49" s="200" t="s">
        <v>269</v>
      </c>
      <c r="I49" s="201">
        <v>4039.83</v>
      </c>
    </row>
    <row r="50" spans="1:9" ht="15.75" thickBot="1" x14ac:dyDescent="0.3">
      <c r="A50" s="200"/>
      <c r="B50" s="200"/>
      <c r="C50" s="200"/>
      <c r="D50" s="200"/>
      <c r="E50" s="200"/>
      <c r="F50" s="200"/>
      <c r="G50" s="200"/>
      <c r="H50" s="200" t="s">
        <v>271</v>
      </c>
      <c r="I50" s="204">
        <v>30000</v>
      </c>
    </row>
    <row r="51" spans="1:9" x14ac:dyDescent="0.25">
      <c r="A51" s="200"/>
      <c r="B51" s="200"/>
      <c r="C51" s="200"/>
      <c r="D51" s="200"/>
      <c r="E51" s="200"/>
      <c r="F51" s="200"/>
      <c r="G51" s="200" t="s">
        <v>272</v>
      </c>
      <c r="H51" s="200"/>
      <c r="I51" s="201">
        <f>ROUND(SUM(I47:I50),5)</f>
        <v>35712.58</v>
      </c>
    </row>
    <row r="52" spans="1:9" ht="30" customHeight="1" x14ac:dyDescent="0.25">
      <c r="A52" s="200"/>
      <c r="B52" s="200"/>
      <c r="C52" s="200"/>
      <c r="D52" s="200"/>
      <c r="E52" s="200"/>
      <c r="F52" s="200"/>
      <c r="G52" s="200" t="s">
        <v>273</v>
      </c>
      <c r="H52" s="200"/>
      <c r="I52" s="201"/>
    </row>
    <row r="53" spans="1:9" x14ac:dyDescent="0.25">
      <c r="A53" s="200"/>
      <c r="B53" s="200"/>
      <c r="C53" s="200"/>
      <c r="D53" s="200"/>
      <c r="E53" s="200"/>
      <c r="F53" s="200"/>
      <c r="G53" s="200"/>
      <c r="H53" s="200" t="s">
        <v>274</v>
      </c>
      <c r="I53" s="201">
        <v>820</v>
      </c>
    </row>
    <row r="54" spans="1:9" ht="15.75" thickBot="1" x14ac:dyDescent="0.3">
      <c r="A54" s="200"/>
      <c r="B54" s="200"/>
      <c r="C54" s="200"/>
      <c r="D54" s="200"/>
      <c r="E54" s="200"/>
      <c r="F54" s="200"/>
      <c r="G54" s="200"/>
      <c r="H54" s="200" t="s">
        <v>324</v>
      </c>
      <c r="I54" s="204">
        <v>850</v>
      </c>
    </row>
    <row r="55" spans="1:9" x14ac:dyDescent="0.25">
      <c r="A55" s="200"/>
      <c r="B55" s="200"/>
      <c r="C55" s="200"/>
      <c r="D55" s="200"/>
      <c r="E55" s="200"/>
      <c r="F55" s="200"/>
      <c r="G55" s="200" t="s">
        <v>275</v>
      </c>
      <c r="H55" s="200"/>
      <c r="I55" s="201">
        <f>ROUND(SUM(I52:I54),5)</f>
        <v>1670</v>
      </c>
    </row>
    <row r="56" spans="1:9" ht="30" customHeight="1" x14ac:dyDescent="0.25">
      <c r="A56" s="200"/>
      <c r="B56" s="200"/>
      <c r="C56" s="200"/>
      <c r="D56" s="200"/>
      <c r="E56" s="200"/>
      <c r="F56" s="200"/>
      <c r="G56" s="200" t="s">
        <v>276</v>
      </c>
      <c r="H56" s="200"/>
      <c r="I56" s="201"/>
    </row>
    <row r="57" spans="1:9" x14ac:dyDescent="0.25">
      <c r="A57" s="200"/>
      <c r="B57" s="200"/>
      <c r="C57" s="200"/>
      <c r="D57" s="200"/>
      <c r="E57" s="200"/>
      <c r="F57" s="200"/>
      <c r="G57" s="200"/>
      <c r="H57" s="200" t="s">
        <v>277</v>
      </c>
      <c r="I57" s="201">
        <v>1048</v>
      </c>
    </row>
    <row r="58" spans="1:9" ht="15.75" thickBot="1" x14ac:dyDescent="0.3">
      <c r="A58" s="200"/>
      <c r="B58" s="200"/>
      <c r="C58" s="200"/>
      <c r="D58" s="200"/>
      <c r="E58" s="200"/>
      <c r="F58" s="200"/>
      <c r="G58" s="200"/>
      <c r="H58" s="200" t="s">
        <v>278</v>
      </c>
      <c r="I58" s="202">
        <v>800</v>
      </c>
    </row>
    <row r="59" spans="1:9" ht="15.75" thickBot="1" x14ac:dyDescent="0.3">
      <c r="A59" s="200"/>
      <c r="B59" s="200"/>
      <c r="C59" s="200"/>
      <c r="D59" s="200"/>
      <c r="E59" s="200"/>
      <c r="F59" s="200"/>
      <c r="G59" s="200" t="s">
        <v>279</v>
      </c>
      <c r="H59" s="200"/>
      <c r="I59" s="83">
        <f>ROUND(SUM(I56:I58),5)</f>
        <v>1848</v>
      </c>
    </row>
    <row r="60" spans="1:9" ht="30" customHeight="1" x14ac:dyDescent="0.25">
      <c r="A60" s="200"/>
      <c r="B60" s="200"/>
      <c r="C60" s="200"/>
      <c r="D60" s="200"/>
      <c r="E60" s="200"/>
      <c r="F60" s="200" t="s">
        <v>280</v>
      </c>
      <c r="G60" s="200"/>
      <c r="H60" s="200"/>
      <c r="I60" s="201">
        <f>ROUND(I31+I37+I41+I46+I51+I55+I59,5)</f>
        <v>422751.27</v>
      </c>
    </row>
    <row r="61" spans="1:9" ht="30" customHeight="1" x14ac:dyDescent="0.25">
      <c r="A61" s="200"/>
      <c r="B61" s="200"/>
      <c r="C61" s="200"/>
      <c r="D61" s="200"/>
      <c r="E61" s="200"/>
      <c r="F61" s="200" t="s">
        <v>325</v>
      </c>
      <c r="G61" s="200"/>
      <c r="H61" s="200"/>
      <c r="I61" s="201"/>
    </row>
    <row r="62" spans="1:9" ht="15.75" thickBot="1" x14ac:dyDescent="0.3">
      <c r="A62" s="200"/>
      <c r="B62" s="200"/>
      <c r="C62" s="200"/>
      <c r="D62" s="200"/>
      <c r="E62" s="200"/>
      <c r="F62" s="200"/>
      <c r="G62" s="200" t="s">
        <v>326</v>
      </c>
      <c r="H62" s="200"/>
      <c r="I62" s="204">
        <v>16711.5</v>
      </c>
    </row>
    <row r="63" spans="1:9" x14ac:dyDescent="0.25">
      <c r="A63" s="200"/>
      <c r="B63" s="200"/>
      <c r="C63" s="200"/>
      <c r="D63" s="200"/>
      <c r="E63" s="200"/>
      <c r="F63" s="200" t="s">
        <v>327</v>
      </c>
      <c r="G63" s="200"/>
      <c r="H63" s="200"/>
      <c r="I63" s="201">
        <f>ROUND(SUM(I61:I62),5)</f>
        <v>16711.5</v>
      </c>
    </row>
    <row r="64" spans="1:9" ht="30" customHeight="1" x14ac:dyDescent="0.25">
      <c r="A64" s="200"/>
      <c r="B64" s="200"/>
      <c r="C64" s="200"/>
      <c r="D64" s="200"/>
      <c r="E64" s="200"/>
      <c r="F64" s="200" t="s">
        <v>281</v>
      </c>
      <c r="G64" s="200"/>
      <c r="H64" s="200"/>
      <c r="I64" s="201"/>
    </row>
    <row r="65" spans="1:9" ht="15.75" thickBot="1" x14ac:dyDescent="0.3">
      <c r="A65" s="200"/>
      <c r="B65" s="200"/>
      <c r="C65" s="200"/>
      <c r="D65" s="200"/>
      <c r="E65" s="200"/>
      <c r="F65" s="200"/>
      <c r="G65" s="200" t="s">
        <v>282</v>
      </c>
      <c r="H65" s="200"/>
      <c r="I65" s="202">
        <v>2371.2800000000002</v>
      </c>
    </row>
    <row r="66" spans="1:9" ht="15.75" thickBot="1" x14ac:dyDescent="0.3">
      <c r="A66" s="200"/>
      <c r="B66" s="200"/>
      <c r="C66" s="200"/>
      <c r="D66" s="200"/>
      <c r="E66" s="200"/>
      <c r="F66" s="200" t="s">
        <v>283</v>
      </c>
      <c r="G66" s="200"/>
      <c r="H66" s="200"/>
      <c r="I66" s="203">
        <f>ROUND(SUM(I64:I65),5)</f>
        <v>2371.2800000000002</v>
      </c>
    </row>
    <row r="67" spans="1:9" ht="30" customHeight="1" thickBot="1" x14ac:dyDescent="0.3">
      <c r="A67" s="200"/>
      <c r="B67" s="200"/>
      <c r="C67" s="200"/>
      <c r="D67" s="200"/>
      <c r="E67" s="200" t="s">
        <v>284</v>
      </c>
      <c r="F67" s="200"/>
      <c r="G67" s="200"/>
      <c r="H67" s="200"/>
      <c r="I67" s="203">
        <f>ROUND(I30+I60+I63+I66,5)</f>
        <v>441834.05</v>
      </c>
    </row>
    <row r="68" spans="1:9" ht="30" customHeight="1" thickBot="1" x14ac:dyDescent="0.3">
      <c r="A68" s="200"/>
      <c r="B68" s="200"/>
      <c r="C68" s="200"/>
      <c r="D68" s="200" t="s">
        <v>142</v>
      </c>
      <c r="E68" s="200"/>
      <c r="F68" s="200"/>
      <c r="G68" s="200"/>
      <c r="H68" s="200"/>
      <c r="I68" s="203">
        <f>ROUND(I29+I67,5)</f>
        <v>441834.05</v>
      </c>
    </row>
    <row r="69" spans="1:9" ht="30" customHeight="1" thickBot="1" x14ac:dyDescent="0.3">
      <c r="A69" s="200"/>
      <c r="B69" s="200" t="s">
        <v>143</v>
      </c>
      <c r="C69" s="200"/>
      <c r="D69" s="200"/>
      <c r="E69" s="200"/>
      <c r="F69" s="200"/>
      <c r="G69" s="200"/>
      <c r="H69" s="200"/>
      <c r="I69" s="203">
        <f>ROUND(I2+I28-I68,5)</f>
        <v>983484.41</v>
      </c>
    </row>
    <row r="70" spans="1:9" s="87" customFormat="1" ht="30" customHeight="1" thickBot="1" x14ac:dyDescent="0.25">
      <c r="A70" s="200" t="s">
        <v>144</v>
      </c>
      <c r="B70" s="200"/>
      <c r="C70" s="200"/>
      <c r="D70" s="200"/>
      <c r="E70" s="200"/>
      <c r="F70" s="200"/>
      <c r="G70" s="200"/>
      <c r="H70" s="200"/>
      <c r="I70" s="86">
        <f>I69</f>
        <v>983484.41</v>
      </c>
    </row>
    <row r="71" spans="1:9" ht="15.75" thickTop="1" x14ac:dyDescent="0.25"/>
  </sheetData>
  <pageMargins left="0.7" right="0.7" top="0.75" bottom="0.75" header="0.25" footer="0.3"/>
  <pageSetup orientation="portrait" r:id="rId1"/>
  <headerFooter>
    <oddHeader>&amp;L&amp;"Arial,Bold"&amp;8 12:07 AM
&amp;"Arial,Bold"&amp;8 09/05/16
&amp;"Arial,Bold"&amp;8 Accrual Basis&amp;C&amp;"Arial,Bold"&amp;12 Siam Tropical Fish Limited (STFTL)
&amp;"Arial,Bold"&amp;14 Profit &amp;&amp; Loss
&amp;"Arial,Bold"&amp;10 July 29 through August 25,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4098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4098" r:id="rId4" name="HEADER"/>
      </mc:Fallback>
    </mc:AlternateContent>
    <mc:AlternateContent xmlns:mc="http://schemas.openxmlformats.org/markup-compatibility/2006">
      <mc:Choice Requires="x14">
        <control shapeId="4097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4097" r:id="rId6" name="FILTER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Q70"/>
  <sheetViews>
    <sheetView workbookViewId="0">
      <pane xSplit="8" ySplit="1" topLeftCell="I14" activePane="bottomRight" state="frozenSplit"/>
      <selection pane="topRight" activeCell="I1" sqref="I1"/>
      <selection pane="bottomLeft" activeCell="A2" sqref="A2"/>
      <selection pane="bottomRight" activeCell="I23" sqref="I23"/>
    </sheetView>
  </sheetViews>
  <sheetFormatPr defaultRowHeight="15" x14ac:dyDescent="0.25"/>
  <cols>
    <col min="1" max="7" width="3" style="214" customWidth="1"/>
    <col min="8" max="8" width="36.7109375" style="214" customWidth="1"/>
    <col min="9" max="9" width="10.28515625" style="119" bestFit="1" customWidth="1"/>
    <col min="14" max="14" width="34.85546875" customWidth="1"/>
    <col min="15" max="15" width="13.28515625" customWidth="1"/>
    <col min="16" max="16" width="12.5703125" customWidth="1"/>
    <col min="17" max="17" width="18.140625" customWidth="1"/>
  </cols>
  <sheetData>
    <row r="1" spans="1:17" s="79" customFormat="1" ht="15.75" thickBot="1" x14ac:dyDescent="0.3">
      <c r="A1" s="205"/>
      <c r="B1" s="205"/>
      <c r="C1" s="205"/>
      <c r="D1" s="205"/>
      <c r="E1" s="205"/>
      <c r="F1" s="205"/>
      <c r="G1" s="205"/>
      <c r="H1" s="205"/>
      <c r="I1" s="206" t="s">
        <v>318</v>
      </c>
      <c r="N1" s="215" t="s">
        <v>223</v>
      </c>
      <c r="O1" s="235">
        <v>35.257399999999997</v>
      </c>
      <c r="P1" s="215" t="s">
        <v>224</v>
      </c>
    </row>
    <row r="2" spans="1:17" ht="15.75" thickTop="1" x14ac:dyDescent="0.25">
      <c r="A2" s="200"/>
      <c r="B2" s="200" t="s">
        <v>57</v>
      </c>
      <c r="C2" s="200"/>
      <c r="D2" s="200"/>
      <c r="E2" s="200"/>
      <c r="F2" s="200"/>
      <c r="G2" s="200"/>
      <c r="H2" s="200"/>
      <c r="I2" s="201"/>
    </row>
    <row r="3" spans="1:17" ht="30" x14ac:dyDescent="0.25">
      <c r="A3" s="200"/>
      <c r="B3" s="200"/>
      <c r="C3" s="200"/>
      <c r="D3" s="200" t="s">
        <v>58</v>
      </c>
      <c r="E3" s="200"/>
      <c r="F3" s="200"/>
      <c r="G3" s="200"/>
      <c r="H3" s="200"/>
      <c r="I3" s="201"/>
      <c r="N3" s="216" t="s">
        <v>225</v>
      </c>
      <c r="O3" s="217" t="s">
        <v>224</v>
      </c>
      <c r="P3" s="218" t="s">
        <v>226</v>
      </c>
      <c r="Q3" s="217" t="s">
        <v>227</v>
      </c>
    </row>
    <row r="4" spans="1:17" x14ac:dyDescent="0.25">
      <c r="A4" s="200"/>
      <c r="B4" s="200"/>
      <c r="C4" s="200"/>
      <c r="D4" s="200"/>
      <c r="E4" s="200" t="s">
        <v>59</v>
      </c>
      <c r="F4" s="200"/>
      <c r="G4" s="200"/>
      <c r="H4" s="200"/>
      <c r="I4" s="201"/>
      <c r="N4" s="219" t="s">
        <v>228</v>
      </c>
      <c r="O4" s="220">
        <f>I45</f>
        <v>111035.12</v>
      </c>
      <c r="P4" s="219"/>
      <c r="Q4" s="219" t="s">
        <v>229</v>
      </c>
    </row>
    <row r="5" spans="1:17" x14ac:dyDescent="0.25">
      <c r="A5" s="200"/>
      <c r="B5" s="200"/>
      <c r="C5" s="200"/>
      <c r="D5" s="200"/>
      <c r="E5" s="200"/>
      <c r="F5" s="200" t="s">
        <v>60</v>
      </c>
      <c r="G5" s="200"/>
      <c r="H5" s="200"/>
      <c r="I5" s="201">
        <v>3838241</v>
      </c>
    </row>
    <row r="6" spans="1:17" ht="30" x14ac:dyDescent="0.25">
      <c r="A6" s="200"/>
      <c r="B6" s="200"/>
      <c r="C6" s="200"/>
      <c r="D6" s="200"/>
      <c r="E6" s="200"/>
      <c r="F6" s="200" t="s">
        <v>218</v>
      </c>
      <c r="G6" s="200"/>
      <c r="H6" s="200"/>
      <c r="I6" s="201">
        <v>806855</v>
      </c>
      <c r="N6" s="216" t="s">
        <v>230</v>
      </c>
      <c r="O6" s="217" t="s">
        <v>224</v>
      </c>
      <c r="P6" s="218" t="s">
        <v>226</v>
      </c>
      <c r="Q6" s="217" t="s">
        <v>227</v>
      </c>
    </row>
    <row r="7" spans="1:17" x14ac:dyDescent="0.25">
      <c r="A7" s="200"/>
      <c r="B7" s="200"/>
      <c r="C7" s="200"/>
      <c r="D7" s="200"/>
      <c r="E7" s="200"/>
      <c r="F7" s="200" t="s">
        <v>62</v>
      </c>
      <c r="G7" s="200"/>
      <c r="H7" s="200"/>
      <c r="I7" s="201">
        <v>72100</v>
      </c>
      <c r="N7" s="221" t="s">
        <v>231</v>
      </c>
      <c r="O7" s="220">
        <f>I66-O4</f>
        <v>309712.68</v>
      </c>
      <c r="P7" s="219"/>
      <c r="Q7" s="219" t="s">
        <v>229</v>
      </c>
    </row>
    <row r="8" spans="1:17" ht="15.75" thickBot="1" x14ac:dyDescent="0.3">
      <c r="A8" s="200"/>
      <c r="B8" s="200"/>
      <c r="C8" s="200"/>
      <c r="D8" s="200"/>
      <c r="E8" s="200"/>
      <c r="F8" s="200" t="s">
        <v>63</v>
      </c>
      <c r="G8" s="200"/>
      <c r="H8" s="200"/>
      <c r="I8" s="202">
        <v>16800</v>
      </c>
    </row>
    <row r="9" spans="1:17" ht="15.75" thickBot="1" x14ac:dyDescent="0.3">
      <c r="A9" s="200"/>
      <c r="B9" s="200"/>
      <c r="C9" s="200"/>
      <c r="D9" s="200"/>
      <c r="E9" s="200" t="s">
        <v>67</v>
      </c>
      <c r="F9" s="200"/>
      <c r="G9" s="200"/>
      <c r="H9" s="200"/>
      <c r="I9" s="83">
        <f>ROUND(SUM(I4:I8),5)</f>
        <v>4733996</v>
      </c>
    </row>
    <row r="10" spans="1:17" ht="30" customHeight="1" x14ac:dyDescent="0.25">
      <c r="A10" s="200"/>
      <c r="B10" s="200"/>
      <c r="C10" s="200"/>
      <c r="D10" s="200" t="s">
        <v>68</v>
      </c>
      <c r="E10" s="200"/>
      <c r="F10" s="200"/>
      <c r="G10" s="200"/>
      <c r="H10" s="200"/>
      <c r="I10" s="201">
        <f>ROUND(I3+I9,5)</f>
        <v>4733996</v>
      </c>
    </row>
    <row r="11" spans="1:17" ht="30" customHeight="1" x14ac:dyDescent="0.25">
      <c r="A11" s="200"/>
      <c r="B11" s="200"/>
      <c r="C11" s="200"/>
      <c r="D11" s="200" t="s">
        <v>69</v>
      </c>
      <c r="E11" s="200"/>
      <c r="F11" s="200"/>
      <c r="G11" s="200"/>
      <c r="H11" s="200"/>
      <c r="I11" s="201"/>
    </row>
    <row r="12" spans="1:17" x14ac:dyDescent="0.25">
      <c r="A12" s="200"/>
      <c r="B12" s="200"/>
      <c r="C12" s="200"/>
      <c r="D12" s="200"/>
      <c r="E12" s="200" t="s">
        <v>240</v>
      </c>
      <c r="F12" s="200"/>
      <c r="G12" s="200"/>
      <c r="H12" s="200"/>
      <c r="I12" s="201"/>
    </row>
    <row r="13" spans="1:17" x14ac:dyDescent="0.25">
      <c r="A13" s="200"/>
      <c r="B13" s="200"/>
      <c r="C13" s="200"/>
      <c r="D13" s="200"/>
      <c r="E13" s="200"/>
      <c r="F13" s="200" t="s">
        <v>241</v>
      </c>
      <c r="G13" s="200"/>
      <c r="H13" s="200"/>
      <c r="I13" s="201"/>
    </row>
    <row r="14" spans="1:17" x14ac:dyDescent="0.25">
      <c r="A14" s="200"/>
      <c r="B14" s="200"/>
      <c r="C14" s="200"/>
      <c r="D14" s="200"/>
      <c r="E14" s="200"/>
      <c r="F14" s="200"/>
      <c r="G14" s="200" t="s">
        <v>242</v>
      </c>
      <c r="H14" s="200"/>
      <c r="I14" s="201">
        <v>3070061.6</v>
      </c>
    </row>
    <row r="15" spans="1:17" x14ac:dyDescent="0.25">
      <c r="A15" s="200"/>
      <c r="B15" s="200"/>
      <c r="C15" s="200"/>
      <c r="D15" s="200"/>
      <c r="E15" s="200"/>
      <c r="F15" s="200"/>
      <c r="G15" s="200" t="s">
        <v>243</v>
      </c>
      <c r="H15" s="200"/>
      <c r="I15" s="201"/>
    </row>
    <row r="16" spans="1:17" x14ac:dyDescent="0.25">
      <c r="A16" s="200"/>
      <c r="B16" s="200"/>
      <c r="C16" s="200"/>
      <c r="D16" s="200"/>
      <c r="E16" s="200"/>
      <c r="F16" s="200"/>
      <c r="G16" s="200"/>
      <c r="H16" s="200" t="s">
        <v>244</v>
      </c>
      <c r="I16" s="201">
        <v>1464</v>
      </c>
    </row>
    <row r="17" spans="1:9" x14ac:dyDescent="0.25">
      <c r="A17" s="200"/>
      <c r="B17" s="200"/>
      <c r="C17" s="200"/>
      <c r="D17" s="200"/>
      <c r="E17" s="200"/>
      <c r="F17" s="200"/>
      <c r="G17" s="200"/>
      <c r="H17" s="200" t="s">
        <v>319</v>
      </c>
      <c r="I17" s="201">
        <v>240</v>
      </c>
    </row>
    <row r="18" spans="1:9" ht="15.75" thickBot="1" x14ac:dyDescent="0.3">
      <c r="A18" s="200"/>
      <c r="B18" s="200"/>
      <c r="C18" s="200"/>
      <c r="D18" s="200"/>
      <c r="E18" s="200"/>
      <c r="F18" s="200"/>
      <c r="G18" s="200"/>
      <c r="H18" s="200" t="s">
        <v>311</v>
      </c>
      <c r="I18" s="204">
        <v>3400</v>
      </c>
    </row>
    <row r="19" spans="1:9" x14ac:dyDescent="0.25">
      <c r="A19" s="200"/>
      <c r="B19" s="200"/>
      <c r="C19" s="200"/>
      <c r="D19" s="200"/>
      <c r="E19" s="200"/>
      <c r="F19" s="200"/>
      <c r="G19" s="200" t="s">
        <v>245</v>
      </c>
      <c r="H19" s="200"/>
      <c r="I19" s="201">
        <f>ROUND(SUM(I15:I18),5)</f>
        <v>5104</v>
      </c>
    </row>
    <row r="20" spans="1:9" ht="30" customHeight="1" x14ac:dyDescent="0.25">
      <c r="A20" s="200"/>
      <c r="B20" s="200"/>
      <c r="C20" s="200"/>
      <c r="D20" s="200"/>
      <c r="E20" s="200"/>
      <c r="F20" s="200"/>
      <c r="G20" s="200" t="s">
        <v>246</v>
      </c>
      <c r="H20" s="200"/>
      <c r="I20" s="201">
        <v>735263</v>
      </c>
    </row>
    <row r="21" spans="1:9" x14ac:dyDescent="0.25">
      <c r="A21" s="200"/>
      <c r="B21" s="200"/>
      <c r="C21" s="200"/>
      <c r="D21" s="200"/>
      <c r="E21" s="200"/>
      <c r="F21" s="200"/>
      <c r="G21" s="200" t="s">
        <v>248</v>
      </c>
      <c r="H21" s="200"/>
      <c r="I21" s="201">
        <v>8000</v>
      </c>
    </row>
    <row r="22" spans="1:9" x14ac:dyDescent="0.25">
      <c r="A22" s="200"/>
      <c r="B22" s="200"/>
      <c r="C22" s="200"/>
      <c r="D22" s="200"/>
      <c r="E22" s="200"/>
      <c r="F22" s="200"/>
      <c r="G22" s="200" t="s">
        <v>249</v>
      </c>
      <c r="H22" s="200"/>
      <c r="I22" s="201">
        <v>20268</v>
      </c>
    </row>
    <row r="23" spans="1:9" ht="15.75" thickBot="1" x14ac:dyDescent="0.3">
      <c r="A23" s="200"/>
      <c r="B23" s="200"/>
      <c r="C23" s="200"/>
      <c r="D23" s="200"/>
      <c r="E23" s="200"/>
      <c r="F23" s="200"/>
      <c r="G23" s="200" t="s">
        <v>250</v>
      </c>
      <c r="H23" s="200"/>
      <c r="I23" s="202">
        <v>31000</v>
      </c>
    </row>
    <row r="24" spans="1:9" ht="15.75" thickBot="1" x14ac:dyDescent="0.3">
      <c r="A24" s="200"/>
      <c r="B24" s="200"/>
      <c r="C24" s="200"/>
      <c r="D24" s="200"/>
      <c r="E24" s="200"/>
      <c r="F24" s="200" t="s">
        <v>251</v>
      </c>
      <c r="G24" s="200"/>
      <c r="H24" s="200"/>
      <c r="I24" s="203">
        <f>ROUND(SUM(I13:I14)+SUM(I19:I23),5)</f>
        <v>3869696.6</v>
      </c>
    </row>
    <row r="25" spans="1:9" ht="30" customHeight="1" thickBot="1" x14ac:dyDescent="0.3">
      <c r="A25" s="200"/>
      <c r="B25" s="200"/>
      <c r="C25" s="200"/>
      <c r="D25" s="200"/>
      <c r="E25" s="200" t="s">
        <v>252</v>
      </c>
      <c r="F25" s="200"/>
      <c r="G25" s="200"/>
      <c r="H25" s="200"/>
      <c r="I25" s="203">
        <f>ROUND(I12+I24,5)</f>
        <v>3869696.6</v>
      </c>
    </row>
    <row r="26" spans="1:9" ht="30" customHeight="1" thickBot="1" x14ac:dyDescent="0.3">
      <c r="A26" s="200"/>
      <c r="B26" s="200"/>
      <c r="C26" s="200"/>
      <c r="D26" s="200" t="s">
        <v>88</v>
      </c>
      <c r="E26" s="200"/>
      <c r="F26" s="200"/>
      <c r="G26" s="200"/>
      <c r="H26" s="200"/>
      <c r="I26" s="83">
        <f>ROUND(I11+I25,5)</f>
        <v>3869696.6</v>
      </c>
    </row>
    <row r="27" spans="1:9" ht="30" customHeight="1" x14ac:dyDescent="0.25">
      <c r="A27" s="200"/>
      <c r="B27" s="200"/>
      <c r="C27" s="200" t="s">
        <v>89</v>
      </c>
      <c r="D27" s="200"/>
      <c r="E27" s="200"/>
      <c r="F27" s="200"/>
      <c r="G27" s="200"/>
      <c r="H27" s="200"/>
      <c r="I27" s="201">
        <f>ROUND(I10-I26,5)</f>
        <v>864299.4</v>
      </c>
    </row>
    <row r="28" spans="1:9" ht="30" customHeight="1" x14ac:dyDescent="0.25">
      <c r="A28" s="200"/>
      <c r="B28" s="200"/>
      <c r="C28" s="200"/>
      <c r="D28" s="200" t="s">
        <v>90</v>
      </c>
      <c r="E28" s="200"/>
      <c r="F28" s="200"/>
      <c r="G28" s="200"/>
      <c r="H28" s="200"/>
      <c r="I28" s="201"/>
    </row>
    <row r="29" spans="1:9" x14ac:dyDescent="0.25">
      <c r="A29" s="200"/>
      <c r="B29" s="200"/>
      <c r="C29" s="200"/>
      <c r="D29" s="200"/>
      <c r="E29" s="200" t="s">
        <v>253</v>
      </c>
      <c r="F29" s="200"/>
      <c r="G29" s="200"/>
      <c r="H29" s="200"/>
      <c r="I29" s="201"/>
    </row>
    <row r="30" spans="1:9" x14ac:dyDescent="0.25">
      <c r="A30" s="200"/>
      <c r="B30" s="200"/>
      <c r="C30" s="200"/>
      <c r="D30" s="200"/>
      <c r="E30" s="200"/>
      <c r="F30" s="200" t="s">
        <v>254</v>
      </c>
      <c r="G30" s="200"/>
      <c r="H30" s="200"/>
      <c r="I30" s="201"/>
    </row>
    <row r="31" spans="1:9" x14ac:dyDescent="0.25">
      <c r="A31" s="200"/>
      <c r="B31" s="200"/>
      <c r="C31" s="200"/>
      <c r="D31" s="200"/>
      <c r="E31" s="200"/>
      <c r="F31" s="200"/>
      <c r="G31" s="200" t="s">
        <v>255</v>
      </c>
      <c r="H31" s="200"/>
      <c r="I31" s="201"/>
    </row>
    <row r="32" spans="1:9" x14ac:dyDescent="0.25">
      <c r="A32" s="200"/>
      <c r="B32" s="200"/>
      <c r="C32" s="200"/>
      <c r="D32" s="200"/>
      <c r="E32" s="200"/>
      <c r="F32" s="200"/>
      <c r="G32" s="200"/>
      <c r="H32" s="200" t="s">
        <v>256</v>
      </c>
      <c r="I32" s="201">
        <v>224000</v>
      </c>
    </row>
    <row r="33" spans="1:9" x14ac:dyDescent="0.25">
      <c r="A33" s="200"/>
      <c r="B33" s="200"/>
      <c r="C33" s="200"/>
      <c r="D33" s="200"/>
      <c r="E33" s="200"/>
      <c r="F33" s="200"/>
      <c r="G33" s="200"/>
      <c r="H33" s="200" t="s">
        <v>292</v>
      </c>
      <c r="I33" s="201">
        <v>37000</v>
      </c>
    </row>
    <row r="34" spans="1:9" x14ac:dyDescent="0.25">
      <c r="A34" s="200"/>
      <c r="B34" s="200"/>
      <c r="C34" s="200"/>
      <c r="D34" s="200"/>
      <c r="E34" s="200"/>
      <c r="F34" s="200"/>
      <c r="G34" s="200"/>
      <c r="H34" s="200" t="s">
        <v>320</v>
      </c>
      <c r="I34" s="201">
        <v>220</v>
      </c>
    </row>
    <row r="35" spans="1:9" ht="15.75" thickBot="1" x14ac:dyDescent="0.3">
      <c r="A35" s="200"/>
      <c r="B35" s="200"/>
      <c r="C35" s="200"/>
      <c r="D35" s="200"/>
      <c r="E35" s="200"/>
      <c r="F35" s="200"/>
      <c r="G35" s="200"/>
      <c r="H35" s="200" t="s">
        <v>321</v>
      </c>
      <c r="I35" s="204">
        <v>500</v>
      </c>
    </row>
    <row r="36" spans="1:9" x14ac:dyDescent="0.25">
      <c r="A36" s="200"/>
      <c r="B36" s="200"/>
      <c r="C36" s="200"/>
      <c r="D36" s="200"/>
      <c r="E36" s="200"/>
      <c r="F36" s="200"/>
      <c r="G36" s="200" t="s">
        <v>257</v>
      </c>
      <c r="H36" s="200"/>
      <c r="I36" s="201">
        <f>ROUND(SUM(I31:I35),5)</f>
        <v>261720</v>
      </c>
    </row>
    <row r="37" spans="1:9" ht="30" customHeight="1" x14ac:dyDescent="0.25">
      <c r="A37" s="200"/>
      <c r="B37" s="200"/>
      <c r="C37" s="200"/>
      <c r="D37" s="200"/>
      <c r="E37" s="200"/>
      <c r="F37" s="200"/>
      <c r="G37" s="200" t="s">
        <v>258</v>
      </c>
      <c r="H37" s="200"/>
      <c r="I37" s="201"/>
    </row>
    <row r="38" spans="1:9" x14ac:dyDescent="0.25">
      <c r="A38" s="200"/>
      <c r="B38" s="200"/>
      <c r="C38" s="200"/>
      <c r="D38" s="200"/>
      <c r="E38" s="200"/>
      <c r="F38" s="200"/>
      <c r="G38" s="200"/>
      <c r="H38" s="200" t="s">
        <v>259</v>
      </c>
      <c r="I38" s="201">
        <v>466</v>
      </c>
    </row>
    <row r="39" spans="1:9" ht="15.75" thickBot="1" x14ac:dyDescent="0.3">
      <c r="A39" s="200"/>
      <c r="B39" s="200"/>
      <c r="C39" s="200"/>
      <c r="D39" s="200"/>
      <c r="E39" s="200"/>
      <c r="F39" s="200"/>
      <c r="G39" s="200"/>
      <c r="H39" s="200" t="s">
        <v>260</v>
      </c>
      <c r="I39" s="204">
        <v>5000</v>
      </c>
    </row>
    <row r="40" spans="1:9" x14ac:dyDescent="0.25">
      <c r="A40" s="200"/>
      <c r="B40" s="200"/>
      <c r="C40" s="200"/>
      <c r="D40" s="200"/>
      <c r="E40" s="200"/>
      <c r="F40" s="200"/>
      <c r="G40" s="200" t="s">
        <v>261</v>
      </c>
      <c r="H40" s="200"/>
      <c r="I40" s="201">
        <f>ROUND(SUM(I37:I39),5)</f>
        <v>5466</v>
      </c>
    </row>
    <row r="41" spans="1:9" ht="30" customHeight="1" x14ac:dyDescent="0.25">
      <c r="A41" s="200"/>
      <c r="B41" s="200"/>
      <c r="C41" s="200"/>
      <c r="D41" s="200"/>
      <c r="E41" s="200"/>
      <c r="F41" s="200"/>
      <c r="G41" s="200" t="s">
        <v>262</v>
      </c>
      <c r="H41" s="200"/>
      <c r="I41" s="201"/>
    </row>
    <row r="42" spans="1:9" x14ac:dyDescent="0.25">
      <c r="A42" s="200"/>
      <c r="B42" s="200"/>
      <c r="C42" s="200"/>
      <c r="D42" s="200"/>
      <c r="E42" s="200"/>
      <c r="F42" s="200"/>
      <c r="G42" s="200"/>
      <c r="H42" s="200" t="s">
        <v>263</v>
      </c>
      <c r="I42" s="201">
        <v>107840</v>
      </c>
    </row>
    <row r="43" spans="1:9" x14ac:dyDescent="0.25">
      <c r="A43" s="200"/>
      <c r="B43" s="200"/>
      <c r="C43" s="200"/>
      <c r="D43" s="200"/>
      <c r="E43" s="200"/>
      <c r="F43" s="200"/>
      <c r="G43" s="200"/>
      <c r="H43" s="200" t="s">
        <v>264</v>
      </c>
      <c r="I43" s="201">
        <v>1993</v>
      </c>
    </row>
    <row r="44" spans="1:9" ht="15.75" thickBot="1" x14ac:dyDescent="0.3">
      <c r="A44" s="200"/>
      <c r="B44" s="200"/>
      <c r="C44" s="200"/>
      <c r="D44" s="200"/>
      <c r="E44" s="200"/>
      <c r="F44" s="200"/>
      <c r="G44" s="200"/>
      <c r="H44" s="200" t="s">
        <v>265</v>
      </c>
      <c r="I44" s="204">
        <v>1202.1199999999999</v>
      </c>
    </row>
    <row r="45" spans="1:9" x14ac:dyDescent="0.25">
      <c r="A45" s="200"/>
      <c r="B45" s="200"/>
      <c r="C45" s="200"/>
      <c r="D45" s="200"/>
      <c r="E45" s="200"/>
      <c r="F45" s="200"/>
      <c r="G45" s="200" t="s">
        <v>266</v>
      </c>
      <c r="H45" s="200"/>
      <c r="I45" s="201">
        <f>ROUND(SUM(I41:I44),5)</f>
        <v>111035.12</v>
      </c>
    </row>
    <row r="46" spans="1:9" ht="30" customHeight="1" x14ac:dyDescent="0.25">
      <c r="A46" s="200"/>
      <c r="B46" s="200"/>
      <c r="C46" s="200"/>
      <c r="D46" s="200"/>
      <c r="E46" s="200"/>
      <c r="F46" s="200"/>
      <c r="G46" s="200" t="s">
        <v>298</v>
      </c>
      <c r="H46" s="200"/>
      <c r="I46" s="201"/>
    </row>
    <row r="47" spans="1:9" ht="15.75" thickBot="1" x14ac:dyDescent="0.3">
      <c r="A47" s="200"/>
      <c r="B47" s="200"/>
      <c r="C47" s="200"/>
      <c r="D47" s="200"/>
      <c r="E47" s="200"/>
      <c r="F47" s="200"/>
      <c r="G47" s="200"/>
      <c r="H47" s="200" t="s">
        <v>299</v>
      </c>
      <c r="I47" s="204">
        <v>280</v>
      </c>
    </row>
    <row r="48" spans="1:9" x14ac:dyDescent="0.25">
      <c r="A48" s="200"/>
      <c r="B48" s="200"/>
      <c r="C48" s="200"/>
      <c r="D48" s="200"/>
      <c r="E48" s="200"/>
      <c r="F48" s="200"/>
      <c r="G48" s="200" t="s">
        <v>300</v>
      </c>
      <c r="H48" s="200"/>
      <c r="I48" s="201">
        <f>ROUND(SUM(I46:I47),5)</f>
        <v>280</v>
      </c>
    </row>
    <row r="49" spans="1:9" ht="30" customHeight="1" x14ac:dyDescent="0.25">
      <c r="A49" s="200"/>
      <c r="B49" s="200"/>
      <c r="C49" s="200"/>
      <c r="D49" s="200"/>
      <c r="E49" s="200"/>
      <c r="F49" s="200"/>
      <c r="G49" s="200" t="s">
        <v>267</v>
      </c>
      <c r="H49" s="200"/>
      <c r="I49" s="201"/>
    </row>
    <row r="50" spans="1:9" x14ac:dyDescent="0.25">
      <c r="A50" s="200"/>
      <c r="B50" s="200"/>
      <c r="C50" s="200"/>
      <c r="D50" s="200"/>
      <c r="E50" s="200"/>
      <c r="F50" s="200"/>
      <c r="G50" s="200"/>
      <c r="H50" s="200" t="s">
        <v>268</v>
      </c>
      <c r="I50" s="201">
        <v>1672</v>
      </c>
    </row>
    <row r="51" spans="1:9" x14ac:dyDescent="0.25">
      <c r="A51" s="200"/>
      <c r="B51" s="200"/>
      <c r="C51" s="200"/>
      <c r="D51" s="200"/>
      <c r="E51" s="200"/>
      <c r="F51" s="200"/>
      <c r="G51" s="200"/>
      <c r="H51" s="200" t="s">
        <v>269</v>
      </c>
      <c r="I51" s="201">
        <v>4003.03</v>
      </c>
    </row>
    <row r="52" spans="1:9" ht="15.75" thickBot="1" x14ac:dyDescent="0.3">
      <c r="A52" s="200"/>
      <c r="B52" s="200"/>
      <c r="C52" s="200"/>
      <c r="D52" s="200"/>
      <c r="E52" s="200"/>
      <c r="F52" s="200"/>
      <c r="G52" s="200"/>
      <c r="H52" s="200" t="s">
        <v>271</v>
      </c>
      <c r="I52" s="204">
        <v>30000</v>
      </c>
    </row>
    <row r="53" spans="1:9" x14ac:dyDescent="0.25">
      <c r="A53" s="200"/>
      <c r="B53" s="200"/>
      <c r="C53" s="200"/>
      <c r="D53" s="200"/>
      <c r="E53" s="200"/>
      <c r="F53" s="200"/>
      <c r="G53" s="200" t="s">
        <v>272</v>
      </c>
      <c r="H53" s="200"/>
      <c r="I53" s="201">
        <f>ROUND(SUM(I49:I52),5)</f>
        <v>35675.03</v>
      </c>
    </row>
    <row r="54" spans="1:9" ht="30" customHeight="1" x14ac:dyDescent="0.25">
      <c r="A54" s="200"/>
      <c r="B54" s="200"/>
      <c r="C54" s="200"/>
      <c r="D54" s="200"/>
      <c r="E54" s="200"/>
      <c r="F54" s="200"/>
      <c r="G54" s="200" t="s">
        <v>273</v>
      </c>
      <c r="H54" s="200"/>
      <c r="I54" s="201"/>
    </row>
    <row r="55" spans="1:9" ht="15.75" thickBot="1" x14ac:dyDescent="0.3">
      <c r="A55" s="200"/>
      <c r="B55" s="200"/>
      <c r="C55" s="200"/>
      <c r="D55" s="200"/>
      <c r="E55" s="200"/>
      <c r="F55" s="200"/>
      <c r="G55" s="200"/>
      <c r="H55" s="200" t="s">
        <v>274</v>
      </c>
      <c r="I55" s="204">
        <v>780</v>
      </c>
    </row>
    <row r="56" spans="1:9" x14ac:dyDescent="0.25">
      <c r="A56" s="200"/>
      <c r="B56" s="200"/>
      <c r="C56" s="200"/>
      <c r="D56" s="200"/>
      <c r="E56" s="200"/>
      <c r="F56" s="200"/>
      <c r="G56" s="200" t="s">
        <v>275</v>
      </c>
      <c r="H56" s="200"/>
      <c r="I56" s="201">
        <f>ROUND(SUM(I54:I55),5)</f>
        <v>780</v>
      </c>
    </row>
    <row r="57" spans="1:9" ht="30" customHeight="1" x14ac:dyDescent="0.25">
      <c r="A57" s="200"/>
      <c r="B57" s="200"/>
      <c r="C57" s="200"/>
      <c r="D57" s="200"/>
      <c r="E57" s="200"/>
      <c r="F57" s="200"/>
      <c r="G57" s="200" t="s">
        <v>276</v>
      </c>
      <c r="H57" s="200"/>
      <c r="I57" s="201"/>
    </row>
    <row r="58" spans="1:9" x14ac:dyDescent="0.25">
      <c r="A58" s="200"/>
      <c r="B58" s="200"/>
      <c r="C58" s="200"/>
      <c r="D58" s="200"/>
      <c r="E58" s="200"/>
      <c r="F58" s="200"/>
      <c r="G58" s="200"/>
      <c r="H58" s="200" t="s">
        <v>302</v>
      </c>
      <c r="I58" s="201">
        <v>207</v>
      </c>
    </row>
    <row r="59" spans="1:9" x14ac:dyDescent="0.25">
      <c r="A59" s="200"/>
      <c r="B59" s="200"/>
      <c r="C59" s="200"/>
      <c r="D59" s="200"/>
      <c r="E59" s="200"/>
      <c r="F59" s="200"/>
      <c r="G59" s="200"/>
      <c r="H59" s="200" t="s">
        <v>277</v>
      </c>
      <c r="I59" s="201">
        <v>2780</v>
      </c>
    </row>
    <row r="60" spans="1:9" ht="15.75" thickBot="1" x14ac:dyDescent="0.3">
      <c r="A60" s="200"/>
      <c r="B60" s="200"/>
      <c r="C60" s="200"/>
      <c r="D60" s="200"/>
      <c r="E60" s="200"/>
      <c r="F60" s="200"/>
      <c r="G60" s="200"/>
      <c r="H60" s="200" t="s">
        <v>278</v>
      </c>
      <c r="I60" s="202">
        <v>800</v>
      </c>
    </row>
    <row r="61" spans="1:9" ht="15.75" thickBot="1" x14ac:dyDescent="0.3">
      <c r="A61" s="200"/>
      <c r="B61" s="200"/>
      <c r="C61" s="200"/>
      <c r="D61" s="200"/>
      <c r="E61" s="200"/>
      <c r="F61" s="200"/>
      <c r="G61" s="200" t="s">
        <v>279</v>
      </c>
      <c r="H61" s="200"/>
      <c r="I61" s="83">
        <f>ROUND(SUM(I57:I60),5)</f>
        <v>3787</v>
      </c>
    </row>
    <row r="62" spans="1:9" ht="30" customHeight="1" x14ac:dyDescent="0.25">
      <c r="A62" s="200"/>
      <c r="B62" s="200"/>
      <c r="C62" s="200"/>
      <c r="D62" s="200"/>
      <c r="E62" s="200"/>
      <c r="F62" s="200" t="s">
        <v>280</v>
      </c>
      <c r="G62" s="200"/>
      <c r="H62" s="200"/>
      <c r="I62" s="201">
        <f>ROUND(I30+I36+I40+I45+I48+I53+I56+I61,5)</f>
        <v>418743.15</v>
      </c>
    </row>
    <row r="63" spans="1:9" ht="30" customHeight="1" x14ac:dyDescent="0.25">
      <c r="A63" s="200"/>
      <c r="B63" s="200"/>
      <c r="C63" s="200"/>
      <c r="D63" s="200"/>
      <c r="E63" s="200"/>
      <c r="F63" s="200" t="s">
        <v>281</v>
      </c>
      <c r="G63" s="200"/>
      <c r="H63" s="200"/>
      <c r="I63" s="201"/>
    </row>
    <row r="64" spans="1:9" ht="15.75" thickBot="1" x14ac:dyDescent="0.3">
      <c r="A64" s="200"/>
      <c r="B64" s="200"/>
      <c r="C64" s="200"/>
      <c r="D64" s="200"/>
      <c r="E64" s="200"/>
      <c r="F64" s="200"/>
      <c r="G64" s="200" t="s">
        <v>282</v>
      </c>
      <c r="H64" s="200"/>
      <c r="I64" s="202">
        <v>2004.65</v>
      </c>
    </row>
    <row r="65" spans="1:9" ht="15.75" thickBot="1" x14ac:dyDescent="0.3">
      <c r="A65" s="200"/>
      <c r="B65" s="200"/>
      <c r="C65" s="200"/>
      <c r="D65" s="200"/>
      <c r="E65" s="200"/>
      <c r="F65" s="200" t="s">
        <v>283</v>
      </c>
      <c r="G65" s="200"/>
      <c r="H65" s="200"/>
      <c r="I65" s="203">
        <f>ROUND(SUM(I63:I64),5)</f>
        <v>2004.65</v>
      </c>
    </row>
    <row r="66" spans="1:9" ht="30" customHeight="1" thickBot="1" x14ac:dyDescent="0.3">
      <c r="A66" s="200"/>
      <c r="B66" s="200"/>
      <c r="C66" s="200"/>
      <c r="D66" s="200"/>
      <c r="E66" s="200" t="s">
        <v>284</v>
      </c>
      <c r="F66" s="200"/>
      <c r="G66" s="200"/>
      <c r="H66" s="200"/>
      <c r="I66" s="203">
        <f>ROUND(I29+I62+I65,5)</f>
        <v>420747.8</v>
      </c>
    </row>
    <row r="67" spans="1:9" ht="30" customHeight="1" thickBot="1" x14ac:dyDescent="0.3">
      <c r="A67" s="200"/>
      <c r="B67" s="200"/>
      <c r="C67" s="200"/>
      <c r="D67" s="200" t="s">
        <v>142</v>
      </c>
      <c r="E67" s="200"/>
      <c r="F67" s="200"/>
      <c r="G67" s="200"/>
      <c r="H67" s="200"/>
      <c r="I67" s="203">
        <f>ROUND(I28+I66,5)</f>
        <v>420747.8</v>
      </c>
    </row>
    <row r="68" spans="1:9" ht="30" customHeight="1" thickBot="1" x14ac:dyDescent="0.3">
      <c r="A68" s="200"/>
      <c r="B68" s="200" t="s">
        <v>143</v>
      </c>
      <c r="C68" s="200"/>
      <c r="D68" s="200"/>
      <c r="E68" s="200"/>
      <c r="F68" s="200"/>
      <c r="G68" s="200"/>
      <c r="H68" s="200"/>
      <c r="I68" s="203">
        <f>ROUND(I2+I27-I67,5)</f>
        <v>443551.6</v>
      </c>
    </row>
    <row r="69" spans="1:9" s="87" customFormat="1" ht="30" customHeight="1" thickBot="1" x14ac:dyDescent="0.25">
      <c r="A69" s="200" t="s">
        <v>144</v>
      </c>
      <c r="B69" s="200"/>
      <c r="C69" s="200"/>
      <c r="D69" s="200"/>
      <c r="E69" s="200"/>
      <c r="F69" s="200"/>
      <c r="G69" s="200"/>
      <c r="H69" s="200"/>
      <c r="I69" s="86">
        <f>I68</f>
        <v>443551.6</v>
      </c>
    </row>
    <row r="70" spans="1:9" ht="15.75" thickTop="1" x14ac:dyDescent="0.25"/>
  </sheetData>
  <pageMargins left="0.7" right="0.7" top="0.75" bottom="0.75" header="0.25" footer="0.3"/>
  <pageSetup orientation="portrait" r:id="rId1"/>
  <headerFooter>
    <oddHeader>&amp;L&amp;"Arial,Bold"&amp;8 9:41 AM
&amp;"Arial,Bold"&amp;8 08/03/16
&amp;"Arial,Bold"&amp;8 Accrual Basis&amp;C&amp;"Arial,Bold"&amp;12 Siam Tropical Fish Limited (STFTL)
&amp;"Arial,Bold"&amp;14 Profit &amp;&amp; Loss
&amp;"Arial,Bold"&amp;10 July 1 - 28,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050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2050" r:id="rId4" name="HEADER"/>
      </mc:Fallback>
    </mc:AlternateContent>
    <mc:AlternateContent xmlns:mc="http://schemas.openxmlformats.org/markup-compatibility/2006">
      <mc:Choice Requires="x14">
        <control shapeId="2049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2049" r:id="rId6" name="FILTER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5" tint="-0.249977111117893"/>
  </sheetPr>
  <dimension ref="A1:P69"/>
  <sheetViews>
    <sheetView workbookViewId="0">
      <pane xSplit="8" ySplit="1" topLeftCell="I11" activePane="bottomRight" state="frozenSplit"/>
      <selection pane="topRight" activeCell="I1" sqref="I1"/>
      <selection pane="bottomLeft" activeCell="A2" sqref="A2"/>
      <selection pane="bottomRight" activeCell="I22" sqref="I22"/>
    </sheetView>
  </sheetViews>
  <sheetFormatPr defaultRowHeight="15" x14ac:dyDescent="0.25"/>
  <cols>
    <col min="1" max="7" width="3" style="214" customWidth="1"/>
    <col min="8" max="8" width="36.7109375" style="214" customWidth="1"/>
    <col min="9" max="9" width="10.85546875" style="119" bestFit="1" customWidth="1"/>
    <col min="11" max="11" width="10.85546875" bestFit="1" customWidth="1"/>
    <col min="13" max="13" width="21.5703125" customWidth="1"/>
    <col min="14" max="14" width="19.28515625" customWidth="1"/>
    <col min="15" max="15" width="15.140625" customWidth="1"/>
    <col min="16" max="16" width="27.42578125" customWidth="1"/>
  </cols>
  <sheetData>
    <row r="1" spans="1:16" s="79" customFormat="1" ht="15.75" thickBot="1" x14ac:dyDescent="0.3">
      <c r="A1" s="205"/>
      <c r="B1" s="205"/>
      <c r="C1" s="205"/>
      <c r="D1" s="205"/>
      <c r="E1" s="205"/>
      <c r="F1" s="205"/>
      <c r="G1" s="205"/>
      <c r="H1" s="205"/>
      <c r="I1" s="206" t="s">
        <v>310</v>
      </c>
      <c r="M1" s="215" t="s">
        <v>223</v>
      </c>
      <c r="N1" s="235">
        <f>'STF P5'!M1</f>
        <v>35.257399999999997</v>
      </c>
      <c r="O1" s="215" t="s">
        <v>224</v>
      </c>
    </row>
    <row r="2" spans="1:16" ht="15.75" thickTop="1" x14ac:dyDescent="0.25">
      <c r="A2" s="200"/>
      <c r="B2" s="200" t="s">
        <v>57</v>
      </c>
      <c r="C2" s="200"/>
      <c r="D2" s="200"/>
      <c r="E2" s="200"/>
      <c r="F2" s="200"/>
      <c r="G2" s="200"/>
      <c r="H2" s="200"/>
      <c r="I2" s="201"/>
    </row>
    <row r="3" spans="1:16" ht="30" x14ac:dyDescent="0.25">
      <c r="A3" s="200"/>
      <c r="B3" s="200"/>
      <c r="C3" s="200"/>
      <c r="D3" s="200" t="s">
        <v>58</v>
      </c>
      <c r="E3" s="200"/>
      <c r="F3" s="200"/>
      <c r="G3" s="200"/>
      <c r="H3" s="200"/>
      <c r="I3" s="201"/>
      <c r="M3" s="216" t="s">
        <v>225</v>
      </c>
      <c r="N3" s="217" t="s">
        <v>224</v>
      </c>
      <c r="O3" s="218" t="s">
        <v>226</v>
      </c>
      <c r="P3" s="217" t="s">
        <v>227</v>
      </c>
    </row>
    <row r="4" spans="1:16" x14ac:dyDescent="0.25">
      <c r="A4" s="200"/>
      <c r="B4" s="200"/>
      <c r="C4" s="200"/>
      <c r="D4" s="200"/>
      <c r="E4" s="200" t="s">
        <v>59</v>
      </c>
      <c r="F4" s="200"/>
      <c r="G4" s="200"/>
      <c r="H4" s="200"/>
      <c r="I4" s="201"/>
      <c r="M4" s="219" t="s">
        <v>228</v>
      </c>
      <c r="N4" s="220">
        <f>I42</f>
        <v>111927.73</v>
      </c>
      <c r="O4" s="219"/>
      <c r="P4" s="219" t="s">
        <v>229</v>
      </c>
    </row>
    <row r="5" spans="1:16" x14ac:dyDescent="0.25">
      <c r="A5" s="200"/>
      <c r="B5" s="200"/>
      <c r="C5" s="200"/>
      <c r="D5" s="200"/>
      <c r="E5" s="200"/>
      <c r="F5" s="200" t="s">
        <v>60</v>
      </c>
      <c r="G5" s="200"/>
      <c r="H5" s="200"/>
      <c r="I5" s="201">
        <v>3511570</v>
      </c>
    </row>
    <row r="6" spans="1:16" ht="30" x14ac:dyDescent="0.25">
      <c r="A6" s="200"/>
      <c r="B6" s="200"/>
      <c r="C6" s="200"/>
      <c r="D6" s="200"/>
      <c r="E6" s="200"/>
      <c r="F6" s="200" t="s">
        <v>218</v>
      </c>
      <c r="G6" s="200"/>
      <c r="H6" s="200"/>
      <c r="I6" s="201">
        <v>702975</v>
      </c>
      <c r="M6" s="216" t="s">
        <v>230</v>
      </c>
      <c r="N6" s="217" t="s">
        <v>224</v>
      </c>
      <c r="O6" s="218" t="s">
        <v>226</v>
      </c>
      <c r="P6" s="217" t="s">
        <v>227</v>
      </c>
    </row>
    <row r="7" spans="1:16" x14ac:dyDescent="0.25">
      <c r="A7" s="200"/>
      <c r="B7" s="200"/>
      <c r="C7" s="200"/>
      <c r="D7" s="200"/>
      <c r="E7" s="200"/>
      <c r="F7" s="200" t="s">
        <v>62</v>
      </c>
      <c r="G7" s="200"/>
      <c r="H7" s="200"/>
      <c r="I7" s="201">
        <v>66500</v>
      </c>
      <c r="M7" s="221" t="s">
        <v>231</v>
      </c>
      <c r="N7" s="220">
        <f>'STF P6'!I59-'STF P6'!N4</f>
        <v>302802.34000000003</v>
      </c>
      <c r="O7" s="219"/>
      <c r="P7" s="219" t="s">
        <v>229</v>
      </c>
    </row>
    <row r="8" spans="1:16" ht="15.75" thickBot="1" x14ac:dyDescent="0.3">
      <c r="A8" s="200"/>
      <c r="B8" s="200"/>
      <c r="C8" s="200"/>
      <c r="D8" s="200"/>
      <c r="E8" s="200"/>
      <c r="F8" s="200" t="s">
        <v>63</v>
      </c>
      <c r="G8" s="200"/>
      <c r="H8" s="200"/>
      <c r="I8" s="202">
        <v>27300</v>
      </c>
    </row>
    <row r="9" spans="1:16" ht="15.75" thickBot="1" x14ac:dyDescent="0.3">
      <c r="A9" s="200"/>
      <c r="B9" s="200"/>
      <c r="C9" s="200"/>
      <c r="D9" s="200"/>
      <c r="E9" s="200" t="s">
        <v>67</v>
      </c>
      <c r="F9" s="200"/>
      <c r="G9" s="200"/>
      <c r="H9" s="200"/>
      <c r="I9" s="83">
        <f>ROUND(SUM(I4:I8),5)</f>
        <v>4308345</v>
      </c>
    </row>
    <row r="10" spans="1:16" ht="30" customHeight="1" x14ac:dyDescent="0.25">
      <c r="A10" s="200"/>
      <c r="B10" s="200"/>
      <c r="C10" s="200"/>
      <c r="D10" s="200" t="s">
        <v>68</v>
      </c>
      <c r="E10" s="200"/>
      <c r="F10" s="200"/>
      <c r="G10" s="200"/>
      <c r="H10" s="200"/>
      <c r="I10" s="201">
        <f>ROUND(I3+I9,5)</f>
        <v>4308345</v>
      </c>
      <c r="K10" s="236">
        <f>'STF P5'!I10-'STF P6'!I10</f>
        <v>869103</v>
      </c>
    </row>
    <row r="11" spans="1:16" ht="30" customHeight="1" x14ac:dyDescent="0.25">
      <c r="A11" s="200"/>
      <c r="B11" s="200"/>
      <c r="C11" s="200"/>
      <c r="D11" s="200" t="s">
        <v>69</v>
      </c>
      <c r="E11" s="200"/>
      <c r="F11" s="200"/>
      <c r="G11" s="200"/>
      <c r="H11" s="200"/>
      <c r="I11" s="201"/>
    </row>
    <row r="12" spans="1:16" x14ac:dyDescent="0.25">
      <c r="A12" s="200"/>
      <c r="B12" s="200"/>
      <c r="C12" s="200"/>
      <c r="D12" s="200"/>
      <c r="E12" s="200" t="s">
        <v>240</v>
      </c>
      <c r="F12" s="200"/>
      <c r="G12" s="200"/>
      <c r="H12" s="200"/>
      <c r="I12" s="201"/>
    </row>
    <row r="13" spans="1:16" x14ac:dyDescent="0.25">
      <c r="A13" s="200"/>
      <c r="B13" s="200"/>
      <c r="C13" s="200"/>
      <c r="D13" s="200"/>
      <c r="E13" s="200"/>
      <c r="F13" s="200" t="s">
        <v>241</v>
      </c>
      <c r="G13" s="200"/>
      <c r="H13" s="200"/>
      <c r="I13" s="201"/>
      <c r="N13" s="248"/>
    </row>
    <row r="14" spans="1:16" x14ac:dyDescent="0.25">
      <c r="A14" s="200"/>
      <c r="B14" s="200"/>
      <c r="C14" s="200"/>
      <c r="D14" s="200"/>
      <c r="E14" s="200"/>
      <c r="F14" s="200"/>
      <c r="G14" s="200" t="s">
        <v>242</v>
      </c>
      <c r="H14" s="200"/>
      <c r="I14" s="201">
        <v>2799948.71</v>
      </c>
    </row>
    <row r="15" spans="1:16" x14ac:dyDescent="0.25">
      <c r="A15" s="200"/>
      <c r="B15" s="200"/>
      <c r="C15" s="200"/>
      <c r="D15" s="200"/>
      <c r="E15" s="200"/>
      <c r="F15" s="200"/>
      <c r="G15" s="200" t="s">
        <v>243</v>
      </c>
      <c r="H15" s="200"/>
      <c r="I15" s="201"/>
    </row>
    <row r="16" spans="1:16" x14ac:dyDescent="0.25">
      <c r="A16" s="200"/>
      <c r="B16" s="200"/>
      <c r="C16" s="200"/>
      <c r="D16" s="200"/>
      <c r="E16" s="200"/>
      <c r="F16" s="200"/>
      <c r="G16" s="200"/>
      <c r="H16" s="200" t="s">
        <v>244</v>
      </c>
      <c r="I16" s="201">
        <v>1464</v>
      </c>
    </row>
    <row r="17" spans="1:11" ht="15.75" thickBot="1" x14ac:dyDescent="0.3">
      <c r="A17" s="200"/>
      <c r="B17" s="200"/>
      <c r="C17" s="200"/>
      <c r="D17" s="200"/>
      <c r="E17" s="200"/>
      <c r="F17" s="200"/>
      <c r="G17" s="200"/>
      <c r="H17" s="200" t="s">
        <v>311</v>
      </c>
      <c r="I17" s="204">
        <v>4750</v>
      </c>
    </row>
    <row r="18" spans="1:11" x14ac:dyDescent="0.25">
      <c r="A18" s="200"/>
      <c r="B18" s="200"/>
      <c r="C18" s="200"/>
      <c r="D18" s="200"/>
      <c r="E18" s="200"/>
      <c r="F18" s="200"/>
      <c r="G18" s="200" t="s">
        <v>245</v>
      </c>
      <c r="H18" s="200"/>
      <c r="I18" s="201">
        <f>ROUND(SUM(I15:I17),5)</f>
        <v>6214</v>
      </c>
    </row>
    <row r="19" spans="1:11" ht="30" customHeight="1" x14ac:dyDescent="0.25">
      <c r="A19" s="200"/>
      <c r="B19" s="200"/>
      <c r="C19" s="200"/>
      <c r="D19" s="200"/>
      <c r="E19" s="200"/>
      <c r="F19" s="200"/>
      <c r="G19" s="200" t="s">
        <v>246</v>
      </c>
      <c r="H19" s="200"/>
      <c r="I19" s="246">
        <v>640234</v>
      </c>
      <c r="K19" t="s">
        <v>315</v>
      </c>
    </row>
    <row r="20" spans="1:11" x14ac:dyDescent="0.25">
      <c r="A20" s="200"/>
      <c r="B20" s="200"/>
      <c r="C20" s="200"/>
      <c r="D20" s="200"/>
      <c r="E20" s="200"/>
      <c r="F20" s="200"/>
      <c r="G20" s="200" t="s">
        <v>248</v>
      </c>
      <c r="H20" s="200"/>
      <c r="I20" s="201">
        <v>9775</v>
      </c>
    </row>
    <row r="21" spans="1:11" x14ac:dyDescent="0.25">
      <c r="A21" s="200"/>
      <c r="B21" s="200"/>
      <c r="C21" s="200"/>
      <c r="D21" s="200"/>
      <c r="E21" s="200"/>
      <c r="F21" s="200"/>
      <c r="G21" s="200" t="s">
        <v>249</v>
      </c>
      <c r="H21" s="200"/>
      <c r="I21" s="201">
        <v>25267</v>
      </c>
    </row>
    <row r="22" spans="1:11" ht="15.75" thickBot="1" x14ac:dyDescent="0.3">
      <c r="A22" s="200"/>
      <c r="B22" s="200"/>
      <c r="C22" s="200"/>
      <c r="D22" s="200"/>
      <c r="E22" s="200"/>
      <c r="F22" s="200"/>
      <c r="G22" s="200" t="s">
        <v>250</v>
      </c>
      <c r="H22" s="200"/>
      <c r="I22" s="245">
        <v>28600</v>
      </c>
    </row>
    <row r="23" spans="1:11" ht="15.75" thickBot="1" x14ac:dyDescent="0.3">
      <c r="A23" s="200"/>
      <c r="B23" s="200"/>
      <c r="C23" s="200"/>
      <c r="D23" s="200"/>
      <c r="E23" s="200"/>
      <c r="F23" s="200" t="s">
        <v>251</v>
      </c>
      <c r="G23" s="200"/>
      <c r="H23" s="200"/>
      <c r="I23" s="203">
        <f>ROUND(SUM(I13:I14)+SUM(I18:I22),5)</f>
        <v>3510038.71</v>
      </c>
    </row>
    <row r="24" spans="1:11" ht="30" customHeight="1" thickBot="1" x14ac:dyDescent="0.3">
      <c r="A24" s="200"/>
      <c r="B24" s="200"/>
      <c r="C24" s="200"/>
      <c r="D24" s="200"/>
      <c r="E24" s="200" t="s">
        <v>252</v>
      </c>
      <c r="F24" s="200"/>
      <c r="G24" s="200"/>
      <c r="H24" s="200"/>
      <c r="I24" s="203">
        <f>ROUND(I12+I23,5)</f>
        <v>3510038.71</v>
      </c>
    </row>
    <row r="25" spans="1:11" ht="30" customHeight="1" thickBot="1" x14ac:dyDescent="0.3">
      <c r="A25" s="200"/>
      <c r="B25" s="200"/>
      <c r="C25" s="200"/>
      <c r="D25" s="200" t="s">
        <v>88</v>
      </c>
      <c r="E25" s="200"/>
      <c r="F25" s="200"/>
      <c r="G25" s="200"/>
      <c r="H25" s="200"/>
      <c r="I25" s="256">
        <f>ROUND(I11+I24,5)</f>
        <v>3510038.71</v>
      </c>
    </row>
    <row r="26" spans="1:11" ht="30" customHeight="1" x14ac:dyDescent="0.25">
      <c r="A26" s="200"/>
      <c r="B26" s="200"/>
      <c r="C26" s="200" t="s">
        <v>89</v>
      </c>
      <c r="D26" s="200"/>
      <c r="E26" s="200"/>
      <c r="F26" s="200"/>
      <c r="G26" s="200"/>
      <c r="H26" s="200"/>
      <c r="I26" s="201">
        <f>ROUND(I10-I25,5)</f>
        <v>798306.29</v>
      </c>
    </row>
    <row r="27" spans="1:11" ht="30" customHeight="1" x14ac:dyDescent="0.25">
      <c r="A27" s="200"/>
      <c r="B27" s="200"/>
      <c r="C27" s="200"/>
      <c r="D27" s="200" t="s">
        <v>90</v>
      </c>
      <c r="E27" s="200"/>
      <c r="F27" s="200"/>
      <c r="G27" s="200"/>
      <c r="H27" s="200"/>
      <c r="I27" s="201"/>
    </row>
    <row r="28" spans="1:11" x14ac:dyDescent="0.25">
      <c r="A28" s="200"/>
      <c r="B28" s="200"/>
      <c r="C28" s="200"/>
      <c r="D28" s="200"/>
      <c r="E28" s="200" t="s">
        <v>253</v>
      </c>
      <c r="F28" s="200"/>
      <c r="G28" s="200"/>
      <c r="H28" s="200"/>
      <c r="I28" s="201"/>
    </row>
    <row r="29" spans="1:11" x14ac:dyDescent="0.25">
      <c r="A29" s="200"/>
      <c r="B29" s="200"/>
      <c r="C29" s="200"/>
      <c r="D29" s="200"/>
      <c r="E29" s="200"/>
      <c r="F29" s="200" t="s">
        <v>254</v>
      </c>
      <c r="G29" s="200"/>
      <c r="H29" s="200"/>
      <c r="I29" s="201"/>
    </row>
    <row r="30" spans="1:11" x14ac:dyDescent="0.25">
      <c r="A30" s="200"/>
      <c r="B30" s="200"/>
      <c r="C30" s="200"/>
      <c r="D30" s="200"/>
      <c r="E30" s="200"/>
      <c r="F30" s="200"/>
      <c r="G30" s="200" t="s">
        <v>255</v>
      </c>
      <c r="H30" s="200"/>
      <c r="I30" s="201"/>
    </row>
    <row r="31" spans="1:11" x14ac:dyDescent="0.25">
      <c r="A31" s="200"/>
      <c r="B31" s="200"/>
      <c r="C31" s="200"/>
      <c r="D31" s="200"/>
      <c r="E31" s="200"/>
      <c r="F31" s="200"/>
      <c r="G31" s="200"/>
      <c r="H31" s="200" t="s">
        <v>312</v>
      </c>
      <c r="I31" s="201">
        <v>1010</v>
      </c>
    </row>
    <row r="32" spans="1:11" x14ac:dyDescent="0.25">
      <c r="A32" s="200"/>
      <c r="B32" s="200"/>
      <c r="C32" s="200"/>
      <c r="D32" s="200"/>
      <c r="E32" s="200"/>
      <c r="F32" s="200"/>
      <c r="G32" s="200"/>
      <c r="H32" s="200" t="s">
        <v>256</v>
      </c>
      <c r="I32" s="201">
        <v>224000</v>
      </c>
    </row>
    <row r="33" spans="1:15" ht="15.75" thickBot="1" x14ac:dyDescent="0.3">
      <c r="A33" s="200"/>
      <c r="B33" s="200"/>
      <c r="C33" s="200"/>
      <c r="D33" s="200"/>
      <c r="E33" s="200"/>
      <c r="F33" s="200"/>
      <c r="G33" s="200"/>
      <c r="H33" s="200" t="s">
        <v>292</v>
      </c>
      <c r="I33" s="204">
        <v>37000</v>
      </c>
    </row>
    <row r="34" spans="1:15" x14ac:dyDescent="0.25">
      <c r="A34" s="200"/>
      <c r="B34" s="200"/>
      <c r="C34" s="200"/>
      <c r="D34" s="200"/>
      <c r="E34" s="200"/>
      <c r="F34" s="200"/>
      <c r="G34" s="200" t="s">
        <v>257</v>
      </c>
      <c r="H34" s="200"/>
      <c r="I34" s="201">
        <f>ROUND(SUM(I30:I33),5)</f>
        <v>262010</v>
      </c>
    </row>
    <row r="35" spans="1:15" ht="30" customHeight="1" x14ac:dyDescent="0.25">
      <c r="A35" s="200"/>
      <c r="B35" s="200"/>
      <c r="C35" s="200"/>
      <c r="D35" s="200"/>
      <c r="E35" s="200"/>
      <c r="F35" s="200"/>
      <c r="G35" s="200" t="s">
        <v>258</v>
      </c>
      <c r="H35" s="200"/>
      <c r="I35" s="201"/>
    </row>
    <row r="36" spans="1:15" ht="15.75" thickBot="1" x14ac:dyDescent="0.3">
      <c r="A36" s="200"/>
      <c r="B36" s="200"/>
      <c r="C36" s="200"/>
      <c r="D36" s="200"/>
      <c r="E36" s="200"/>
      <c r="F36" s="200"/>
      <c r="G36" s="200"/>
      <c r="H36" s="200" t="s">
        <v>259</v>
      </c>
      <c r="I36" s="204">
        <v>484</v>
      </c>
    </row>
    <row r="37" spans="1:15" x14ac:dyDescent="0.25">
      <c r="A37" s="200"/>
      <c r="B37" s="200"/>
      <c r="C37" s="200"/>
      <c r="D37" s="200"/>
      <c r="E37" s="200"/>
      <c r="F37" s="200"/>
      <c r="G37" s="200" t="s">
        <v>261</v>
      </c>
      <c r="H37" s="200"/>
      <c r="I37" s="201">
        <f>ROUND(SUM(I35:I36),5)</f>
        <v>484</v>
      </c>
    </row>
    <row r="38" spans="1:15" ht="30" customHeight="1" x14ac:dyDescent="0.25">
      <c r="A38" s="200"/>
      <c r="B38" s="200"/>
      <c r="C38" s="200"/>
      <c r="D38" s="200"/>
      <c r="E38" s="200"/>
      <c r="F38" s="200"/>
      <c r="G38" s="200" t="s">
        <v>262</v>
      </c>
      <c r="H38" s="200"/>
      <c r="I38" s="201"/>
    </row>
    <row r="39" spans="1:15" x14ac:dyDescent="0.25">
      <c r="A39" s="200"/>
      <c r="B39" s="200"/>
      <c r="C39" s="200"/>
      <c r="D39" s="200"/>
      <c r="E39" s="200"/>
      <c r="F39" s="200"/>
      <c r="G39" s="200"/>
      <c r="H39" s="200" t="s">
        <v>263</v>
      </c>
      <c r="I39" s="201">
        <v>107840</v>
      </c>
    </row>
    <row r="40" spans="1:15" x14ac:dyDescent="0.25">
      <c r="A40" s="200"/>
      <c r="B40" s="200"/>
      <c r="C40" s="200"/>
      <c r="D40" s="200"/>
      <c r="E40" s="200"/>
      <c r="F40" s="200"/>
      <c r="G40" s="200"/>
      <c r="H40" s="200" t="s">
        <v>264</v>
      </c>
      <c r="I40" s="201">
        <v>1993</v>
      </c>
    </row>
    <row r="41" spans="1:15" ht="15.75" thickBot="1" x14ac:dyDescent="0.3">
      <c r="A41" s="200"/>
      <c r="B41" s="200"/>
      <c r="C41" s="200"/>
      <c r="D41" s="200"/>
      <c r="E41" s="200"/>
      <c r="F41" s="200"/>
      <c r="G41" s="200"/>
      <c r="H41" s="200" t="s">
        <v>265</v>
      </c>
      <c r="I41" s="204">
        <v>2094.73</v>
      </c>
    </row>
    <row r="42" spans="1:15" x14ac:dyDescent="0.25">
      <c r="A42" s="200"/>
      <c r="B42" s="200"/>
      <c r="C42" s="200"/>
      <c r="D42" s="200"/>
      <c r="E42" s="200"/>
      <c r="F42" s="200"/>
      <c r="G42" s="200" t="s">
        <v>266</v>
      </c>
      <c r="H42" s="200"/>
      <c r="I42" s="201">
        <f>ROUND(SUM(I38:I41),5)</f>
        <v>111927.73</v>
      </c>
    </row>
    <row r="43" spans="1:15" ht="30" customHeight="1" x14ac:dyDescent="0.25">
      <c r="A43" s="200"/>
      <c r="B43" s="200"/>
      <c r="C43" s="200"/>
      <c r="D43" s="200"/>
      <c r="E43" s="200"/>
      <c r="F43" s="200"/>
      <c r="G43" s="200" t="s">
        <v>267</v>
      </c>
      <c r="H43" s="200"/>
      <c r="I43" s="201"/>
    </row>
    <row r="44" spans="1:15" ht="15.75" thickBot="1" x14ac:dyDescent="0.3">
      <c r="A44" s="200"/>
      <c r="B44" s="200"/>
      <c r="C44" s="200"/>
      <c r="D44" s="200"/>
      <c r="E44" s="200"/>
      <c r="F44" s="200"/>
      <c r="G44" s="200"/>
      <c r="H44" s="200" t="s">
        <v>269</v>
      </c>
      <c r="I44" s="201">
        <v>4967.99</v>
      </c>
    </row>
    <row r="45" spans="1:15" ht="15.75" thickBot="1" x14ac:dyDescent="0.3">
      <c r="A45" s="200"/>
      <c r="B45" s="200"/>
      <c r="C45" s="200"/>
      <c r="D45" s="200"/>
      <c r="E45" s="200"/>
      <c r="F45" s="200"/>
      <c r="G45" s="200"/>
      <c r="H45" s="200" t="s">
        <v>271</v>
      </c>
      <c r="I45" s="240">
        <v>31578.95</v>
      </c>
      <c r="M45" s="249" t="s">
        <v>308</v>
      </c>
      <c r="N45" s="250">
        <f>I45</f>
        <v>31578.95</v>
      </c>
      <c r="O45" s="251"/>
    </row>
    <row r="46" spans="1:15" x14ac:dyDescent="0.25">
      <c r="A46" s="200"/>
      <c r="B46" s="200"/>
      <c r="C46" s="200"/>
      <c r="D46" s="200"/>
      <c r="E46" s="200"/>
      <c r="F46" s="200"/>
      <c r="G46" s="200" t="s">
        <v>272</v>
      </c>
      <c r="H46" s="200"/>
      <c r="I46" s="201">
        <f>ROUND(SUM(I43:I45),5)</f>
        <v>36546.94</v>
      </c>
      <c r="K46" s="236">
        <f>I46-'STF P5'!I47</f>
        <v>28402.640000000003</v>
      </c>
    </row>
    <row r="47" spans="1:15" ht="30" customHeight="1" x14ac:dyDescent="0.25">
      <c r="A47" s="200"/>
      <c r="B47" s="200"/>
      <c r="C47" s="200"/>
      <c r="D47" s="200"/>
      <c r="E47" s="200"/>
      <c r="F47" s="200"/>
      <c r="G47" s="200" t="s">
        <v>273</v>
      </c>
      <c r="H47" s="200"/>
      <c r="I47" s="201"/>
      <c r="K47" s="236"/>
    </row>
    <row r="48" spans="1:15" ht="15.75" thickBot="1" x14ac:dyDescent="0.3">
      <c r="A48" s="200"/>
      <c r="B48" s="200"/>
      <c r="C48" s="200"/>
      <c r="D48" s="200"/>
      <c r="E48" s="200"/>
      <c r="F48" s="200"/>
      <c r="G48" s="200"/>
      <c r="H48" s="200" t="s">
        <v>274</v>
      </c>
      <c r="I48" s="204">
        <v>520</v>
      </c>
    </row>
    <row r="49" spans="1:9" x14ac:dyDescent="0.25">
      <c r="A49" s="200"/>
      <c r="B49" s="200"/>
      <c r="C49" s="200"/>
      <c r="D49" s="200"/>
      <c r="E49" s="200"/>
      <c r="F49" s="200"/>
      <c r="G49" s="200" t="s">
        <v>275</v>
      </c>
      <c r="H49" s="200"/>
      <c r="I49" s="201">
        <f>ROUND(SUM(I47:I48),5)</f>
        <v>520</v>
      </c>
    </row>
    <row r="50" spans="1:9" ht="30" customHeight="1" x14ac:dyDescent="0.25">
      <c r="A50" s="200"/>
      <c r="B50" s="200"/>
      <c r="C50" s="200"/>
      <c r="D50" s="200"/>
      <c r="E50" s="200"/>
      <c r="F50" s="200"/>
      <c r="G50" s="200" t="s">
        <v>276</v>
      </c>
      <c r="H50" s="200"/>
      <c r="I50" s="201"/>
    </row>
    <row r="51" spans="1:9" x14ac:dyDescent="0.25">
      <c r="A51" s="200"/>
      <c r="B51" s="200"/>
      <c r="C51" s="200"/>
      <c r="D51" s="200"/>
      <c r="E51" s="200"/>
      <c r="F51" s="200"/>
      <c r="G51" s="200"/>
      <c r="H51" s="200" t="s">
        <v>277</v>
      </c>
      <c r="I51" s="201">
        <v>396</v>
      </c>
    </row>
    <row r="52" spans="1:9" ht="15.75" thickBot="1" x14ac:dyDescent="0.3">
      <c r="A52" s="200"/>
      <c r="B52" s="200"/>
      <c r="C52" s="200"/>
      <c r="D52" s="200"/>
      <c r="E52" s="200"/>
      <c r="F52" s="200"/>
      <c r="G52" s="200"/>
      <c r="H52" s="200" t="s">
        <v>278</v>
      </c>
      <c r="I52" s="202">
        <v>800</v>
      </c>
    </row>
    <row r="53" spans="1:9" ht="15.75" thickBot="1" x14ac:dyDescent="0.3">
      <c r="A53" s="200"/>
      <c r="B53" s="200"/>
      <c r="C53" s="200"/>
      <c r="D53" s="200"/>
      <c r="E53" s="200"/>
      <c r="F53" s="200"/>
      <c r="G53" s="200" t="s">
        <v>279</v>
      </c>
      <c r="H53" s="200"/>
      <c r="I53" s="83">
        <f>ROUND(SUM(I50:I52),5)</f>
        <v>1196</v>
      </c>
    </row>
    <row r="54" spans="1:9" ht="30" customHeight="1" x14ac:dyDescent="0.25">
      <c r="A54" s="200"/>
      <c r="B54" s="200"/>
      <c r="C54" s="200"/>
      <c r="D54" s="200"/>
      <c r="E54" s="200"/>
      <c r="F54" s="200" t="s">
        <v>280</v>
      </c>
      <c r="G54" s="200"/>
      <c r="H54" s="200"/>
      <c r="I54" s="201">
        <f>ROUND(I29+I34+I37+I42+I46+I49+I53,5)</f>
        <v>412684.67</v>
      </c>
    </row>
    <row r="55" spans="1:9" ht="30" customHeight="1" x14ac:dyDescent="0.25">
      <c r="A55" s="200"/>
      <c r="B55" s="200"/>
      <c r="C55" s="200"/>
      <c r="D55" s="200"/>
      <c r="E55" s="200"/>
      <c r="F55" s="200" t="s">
        <v>281</v>
      </c>
      <c r="G55" s="200"/>
      <c r="H55" s="200"/>
      <c r="I55" s="201"/>
    </row>
    <row r="56" spans="1:9" ht="15.75" thickBot="1" x14ac:dyDescent="0.3">
      <c r="A56" s="200"/>
      <c r="B56" s="200"/>
      <c r="C56" s="200"/>
      <c r="D56" s="200"/>
      <c r="E56" s="200"/>
      <c r="F56" s="200"/>
      <c r="G56" s="200" t="s">
        <v>282</v>
      </c>
      <c r="H56" s="200"/>
      <c r="I56" s="202">
        <v>2045.4</v>
      </c>
    </row>
    <row r="57" spans="1:9" ht="15.75" thickBot="1" x14ac:dyDescent="0.3">
      <c r="A57" s="200"/>
      <c r="B57" s="200"/>
      <c r="C57" s="200"/>
      <c r="D57" s="200"/>
      <c r="E57" s="200"/>
      <c r="F57" s="200" t="s">
        <v>283</v>
      </c>
      <c r="G57" s="200"/>
      <c r="H57" s="200"/>
      <c r="I57" s="203">
        <f>ROUND(SUM(I55:I56),5)</f>
        <v>2045.4</v>
      </c>
    </row>
    <row r="58" spans="1:9" ht="30" customHeight="1" thickBot="1" x14ac:dyDescent="0.3">
      <c r="A58" s="200"/>
      <c r="B58" s="200"/>
      <c r="C58" s="200"/>
      <c r="D58" s="200"/>
      <c r="E58" s="200" t="s">
        <v>284</v>
      </c>
      <c r="F58" s="200"/>
      <c r="G58" s="200"/>
      <c r="H58" s="200"/>
      <c r="I58" s="203">
        <f>ROUND(I28+I54+I57,5)</f>
        <v>414730.07</v>
      </c>
    </row>
    <row r="59" spans="1:9" ht="30" customHeight="1" thickBot="1" x14ac:dyDescent="0.3">
      <c r="A59" s="200"/>
      <c r="B59" s="200"/>
      <c r="C59" s="200"/>
      <c r="D59" s="200" t="s">
        <v>142</v>
      </c>
      <c r="E59" s="200"/>
      <c r="F59" s="200"/>
      <c r="G59" s="200"/>
      <c r="H59" s="200"/>
      <c r="I59" s="83">
        <f>ROUND(I27+I58,5)</f>
        <v>414730.07</v>
      </c>
    </row>
    <row r="60" spans="1:9" ht="30" customHeight="1" x14ac:dyDescent="0.25">
      <c r="A60" s="200"/>
      <c r="B60" s="200" t="s">
        <v>143</v>
      </c>
      <c r="C60" s="200"/>
      <c r="D60" s="200"/>
      <c r="E60" s="200"/>
      <c r="F60" s="200"/>
      <c r="G60" s="200"/>
      <c r="H60" s="200"/>
      <c r="I60" s="201">
        <f>ROUND(I2+I26-I59,5)</f>
        <v>383576.22</v>
      </c>
    </row>
    <row r="61" spans="1:9" ht="30" customHeight="1" x14ac:dyDescent="0.25">
      <c r="A61" s="200"/>
      <c r="B61" s="200" t="s">
        <v>285</v>
      </c>
      <c r="C61" s="200"/>
      <c r="D61" s="200"/>
      <c r="E61" s="200"/>
      <c r="F61" s="200"/>
      <c r="G61" s="200"/>
      <c r="H61" s="200"/>
      <c r="I61" s="201"/>
    </row>
    <row r="62" spans="1:9" x14ac:dyDescent="0.25">
      <c r="A62" s="200"/>
      <c r="B62" s="200"/>
      <c r="C62" s="200" t="s">
        <v>286</v>
      </c>
      <c r="D62" s="200"/>
      <c r="E62" s="200"/>
      <c r="F62" s="200"/>
      <c r="G62" s="200"/>
      <c r="H62" s="200"/>
      <c r="I62" s="201"/>
    </row>
    <row r="63" spans="1:9" x14ac:dyDescent="0.25">
      <c r="A63" s="200"/>
      <c r="B63" s="200"/>
      <c r="C63" s="200"/>
      <c r="D63" s="200" t="s">
        <v>287</v>
      </c>
      <c r="E63" s="200"/>
      <c r="F63" s="200"/>
      <c r="G63" s="200"/>
      <c r="H63" s="200"/>
      <c r="I63" s="201"/>
    </row>
    <row r="64" spans="1:9" ht="15.75" thickBot="1" x14ac:dyDescent="0.3">
      <c r="A64" s="200"/>
      <c r="B64" s="200"/>
      <c r="C64" s="200"/>
      <c r="D64" s="200"/>
      <c r="E64" s="200" t="s">
        <v>313</v>
      </c>
      <c r="F64" s="200"/>
      <c r="G64" s="200"/>
      <c r="H64" s="200"/>
      <c r="I64" s="202">
        <v>153.29</v>
      </c>
    </row>
    <row r="65" spans="1:9" ht="15.75" thickBot="1" x14ac:dyDescent="0.3">
      <c r="A65" s="200"/>
      <c r="B65" s="200"/>
      <c r="C65" s="200"/>
      <c r="D65" s="200" t="s">
        <v>289</v>
      </c>
      <c r="E65" s="200"/>
      <c r="F65" s="200"/>
      <c r="G65" s="200"/>
      <c r="H65" s="200"/>
      <c r="I65" s="203">
        <f>ROUND(SUM(I63:I64),5)</f>
        <v>153.29</v>
      </c>
    </row>
    <row r="66" spans="1:9" ht="30" customHeight="1" thickBot="1" x14ac:dyDescent="0.3">
      <c r="A66" s="200"/>
      <c r="B66" s="200"/>
      <c r="C66" s="200" t="s">
        <v>290</v>
      </c>
      <c r="D66" s="200"/>
      <c r="E66" s="200"/>
      <c r="F66" s="200"/>
      <c r="G66" s="200"/>
      <c r="H66" s="200"/>
      <c r="I66" s="203">
        <f>ROUND(I62+I65,5)</f>
        <v>153.29</v>
      </c>
    </row>
    <row r="67" spans="1:9" ht="30" customHeight="1" thickBot="1" x14ac:dyDescent="0.3">
      <c r="A67" s="200"/>
      <c r="B67" s="200" t="s">
        <v>291</v>
      </c>
      <c r="C67" s="200"/>
      <c r="D67" s="200"/>
      <c r="E67" s="200"/>
      <c r="F67" s="200"/>
      <c r="G67" s="200"/>
      <c r="H67" s="200"/>
      <c r="I67" s="203">
        <f>ROUND(I61+I66,5)</f>
        <v>153.29</v>
      </c>
    </row>
    <row r="68" spans="1:9" s="87" customFormat="1" ht="30" customHeight="1" thickBot="1" x14ac:dyDescent="0.25">
      <c r="A68" s="200" t="s">
        <v>144</v>
      </c>
      <c r="B68" s="200"/>
      <c r="C68" s="200"/>
      <c r="D68" s="200"/>
      <c r="E68" s="200"/>
      <c r="F68" s="200"/>
      <c r="G68" s="200"/>
      <c r="H68" s="200"/>
      <c r="I68" s="86">
        <f>ROUND(I60+I67,5)</f>
        <v>383729.51</v>
      </c>
    </row>
    <row r="69" spans="1:9" ht="15.75" thickTop="1" x14ac:dyDescent="0.25"/>
  </sheetData>
  <pageMargins left="0.7" right="0.7" top="0.75" bottom="0.75" header="0.25" footer="0.3"/>
  <pageSetup orientation="portrait" r:id="rId1"/>
  <headerFooter>
    <oddHeader>&amp;L&amp;"Arial,Bold"&amp;8 12:01 PM
&amp;"Arial,Bold"&amp;8 07/04/16
&amp;"Arial,Bold"&amp;8 Accrual Basis&amp;C&amp;"Arial,Bold"&amp;12 Siam Tropical Fish Limited (STFTL)
&amp;"Arial,Bold"&amp;14 Profit &amp;&amp; Loss
&amp;"Arial,Bold"&amp;10 June 3 - 30,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73"/>
  <sheetViews>
    <sheetView workbookViewId="0">
      <pane ySplit="1" topLeftCell="A17" activePane="bottomLeft" state="frozen"/>
      <selection pane="bottomLeft" activeCell="H25" sqref="H25"/>
    </sheetView>
  </sheetViews>
  <sheetFormatPr defaultRowHeight="15" x14ac:dyDescent="0.25"/>
  <cols>
    <col min="1" max="7" width="3" style="214" customWidth="1"/>
    <col min="8" max="8" width="36.7109375" style="214" customWidth="1"/>
    <col min="9" max="9" width="21.7109375" style="119" bestFit="1" customWidth="1"/>
    <col min="10" max="10" width="16.28515625" customWidth="1"/>
    <col min="12" max="12" width="31.140625" customWidth="1"/>
    <col min="13" max="13" width="10.85546875" customWidth="1"/>
    <col min="14" max="14" width="16" customWidth="1"/>
    <col min="15" max="15" width="17.42578125" customWidth="1"/>
  </cols>
  <sheetData>
    <row r="1" spans="1:15" ht="15.75" thickBot="1" x14ac:dyDescent="0.3">
      <c r="A1" s="205"/>
      <c r="B1" s="205"/>
      <c r="C1" s="205"/>
      <c r="D1" s="205"/>
      <c r="E1" s="205"/>
      <c r="F1" s="205"/>
      <c r="G1" s="205"/>
      <c r="H1" s="205"/>
      <c r="I1" s="206" t="s">
        <v>307</v>
      </c>
      <c r="L1" s="215" t="s">
        <v>223</v>
      </c>
      <c r="M1" s="235">
        <f>'STF P2'!M1</f>
        <v>35.257399999999997</v>
      </c>
      <c r="N1" s="215" t="s">
        <v>224</v>
      </c>
      <c r="O1" s="79"/>
    </row>
    <row r="2" spans="1:15" s="79" customFormat="1" ht="15.75" thickTop="1" x14ac:dyDescent="0.25">
      <c r="A2" s="200"/>
      <c r="B2" s="200" t="s">
        <v>57</v>
      </c>
      <c r="C2" s="200"/>
      <c r="D2" s="200"/>
      <c r="E2" s="200"/>
      <c r="F2" s="200"/>
      <c r="G2" s="200"/>
      <c r="H2" s="200"/>
      <c r="I2" s="201"/>
      <c r="L2"/>
      <c r="M2"/>
      <c r="N2"/>
      <c r="O2"/>
    </row>
    <row r="3" spans="1:15" ht="30" x14ac:dyDescent="0.25">
      <c r="A3" s="200"/>
      <c r="B3" s="200"/>
      <c r="C3" s="200"/>
      <c r="D3" s="200" t="s">
        <v>58</v>
      </c>
      <c r="E3" s="200"/>
      <c r="F3" s="200"/>
      <c r="G3" s="200"/>
      <c r="H3" s="200"/>
      <c r="I3" s="201"/>
      <c r="L3" s="216" t="s">
        <v>225</v>
      </c>
      <c r="M3" s="217" t="s">
        <v>224</v>
      </c>
      <c r="N3" s="218" t="s">
        <v>226</v>
      </c>
      <c r="O3" s="217" t="s">
        <v>227</v>
      </c>
    </row>
    <row r="4" spans="1:15" x14ac:dyDescent="0.25">
      <c r="A4" s="200"/>
      <c r="B4" s="200"/>
      <c r="C4" s="200"/>
      <c r="D4" s="200"/>
      <c r="E4" s="200" t="s">
        <v>59</v>
      </c>
      <c r="F4" s="200"/>
      <c r="G4" s="200"/>
      <c r="H4" s="200"/>
      <c r="I4" s="201"/>
      <c r="L4" s="219" t="s">
        <v>228</v>
      </c>
      <c r="M4" s="220">
        <f>I42</f>
        <v>112689.08</v>
      </c>
      <c r="N4" s="219"/>
      <c r="O4" s="219" t="s">
        <v>229</v>
      </c>
    </row>
    <row r="5" spans="1:15" x14ac:dyDescent="0.25">
      <c r="A5" s="200"/>
      <c r="B5" s="200"/>
      <c r="C5" s="200"/>
      <c r="D5" s="200"/>
      <c r="E5" s="200"/>
      <c r="F5" s="200" t="s">
        <v>60</v>
      </c>
      <c r="G5" s="200"/>
      <c r="H5" s="200"/>
      <c r="I5" s="201">
        <v>3804843</v>
      </c>
    </row>
    <row r="6" spans="1:15" ht="30" x14ac:dyDescent="0.25">
      <c r="A6" s="200"/>
      <c r="B6" s="200"/>
      <c r="C6" s="200"/>
      <c r="D6" s="200"/>
      <c r="E6" s="200"/>
      <c r="F6" s="200" t="s">
        <v>218</v>
      </c>
      <c r="G6" s="200"/>
      <c r="H6" s="200"/>
      <c r="I6" s="201">
        <v>1261445</v>
      </c>
      <c r="L6" s="216" t="s">
        <v>230</v>
      </c>
      <c r="M6" s="217" t="s">
        <v>224</v>
      </c>
      <c r="N6" s="218" t="s">
        <v>226</v>
      </c>
      <c r="O6" s="217" t="s">
        <v>227</v>
      </c>
    </row>
    <row r="7" spans="1:15" x14ac:dyDescent="0.25">
      <c r="A7" s="200"/>
      <c r="B7" s="200"/>
      <c r="C7" s="200"/>
      <c r="D7" s="200"/>
      <c r="E7" s="200"/>
      <c r="F7" s="200" t="s">
        <v>62</v>
      </c>
      <c r="G7" s="200"/>
      <c r="H7" s="200"/>
      <c r="I7" s="201">
        <v>78610</v>
      </c>
      <c r="L7" s="221" t="s">
        <v>231</v>
      </c>
      <c r="M7" s="220">
        <f>I60-M4</f>
        <v>281445.3</v>
      </c>
      <c r="N7" s="219"/>
      <c r="O7" s="219" t="s">
        <v>229</v>
      </c>
    </row>
    <row r="8" spans="1:15" ht="15.75" thickBot="1" x14ac:dyDescent="0.3">
      <c r="A8" s="200"/>
      <c r="B8" s="200"/>
      <c r="C8" s="200"/>
      <c r="D8" s="200"/>
      <c r="E8" s="200"/>
      <c r="F8" s="200" t="s">
        <v>63</v>
      </c>
      <c r="G8" s="200"/>
      <c r="H8" s="200"/>
      <c r="I8" s="202">
        <v>32550</v>
      </c>
    </row>
    <row r="9" spans="1:15" ht="15.75" thickBot="1" x14ac:dyDescent="0.3">
      <c r="A9" s="200"/>
      <c r="B9" s="200"/>
      <c r="C9" s="200"/>
      <c r="D9" s="200"/>
      <c r="E9" s="200" t="s">
        <v>67</v>
      </c>
      <c r="F9" s="200"/>
      <c r="G9" s="200"/>
      <c r="H9" s="200"/>
      <c r="I9" s="83">
        <f>ROUND(SUM(I4:I8),5)</f>
        <v>5177448</v>
      </c>
    </row>
    <row r="10" spans="1:15" x14ac:dyDescent="0.25">
      <c r="A10" s="200"/>
      <c r="B10" s="200"/>
      <c r="C10" s="200"/>
      <c r="D10" s="200" t="s">
        <v>68</v>
      </c>
      <c r="E10" s="200"/>
      <c r="F10" s="200"/>
      <c r="G10" s="200"/>
      <c r="H10" s="200"/>
      <c r="I10" s="201">
        <f>ROUND(I3+I9,5)</f>
        <v>5177448</v>
      </c>
      <c r="M10" s="236"/>
    </row>
    <row r="11" spans="1:15" ht="30" customHeight="1" x14ac:dyDescent="0.25">
      <c r="A11" s="200"/>
      <c r="B11" s="200"/>
      <c r="C11" s="200"/>
      <c r="D11" s="200" t="s">
        <v>69</v>
      </c>
      <c r="E11" s="200"/>
      <c r="F11" s="200"/>
      <c r="G11" s="200"/>
      <c r="H11" s="200"/>
      <c r="I11" s="201"/>
    </row>
    <row r="12" spans="1:15" ht="30" customHeight="1" x14ac:dyDescent="0.25">
      <c r="A12" s="200"/>
      <c r="B12" s="200"/>
      <c r="C12" s="200"/>
      <c r="D12" s="200"/>
      <c r="E12" s="200" t="s">
        <v>240</v>
      </c>
      <c r="F12" s="200"/>
      <c r="G12" s="200"/>
      <c r="H12" s="200"/>
      <c r="I12" s="201"/>
    </row>
    <row r="13" spans="1:15" x14ac:dyDescent="0.25">
      <c r="A13" s="200"/>
      <c r="B13" s="200"/>
      <c r="C13" s="200"/>
      <c r="D13" s="200"/>
      <c r="E13" s="200"/>
      <c r="F13" s="200" t="s">
        <v>241</v>
      </c>
      <c r="G13" s="200"/>
      <c r="H13" s="200"/>
      <c r="I13" s="201"/>
    </row>
    <row r="14" spans="1:15" x14ac:dyDescent="0.25">
      <c r="A14" s="200"/>
      <c r="B14" s="200"/>
      <c r="C14" s="200"/>
      <c r="D14" s="200"/>
      <c r="E14" s="200"/>
      <c r="F14" s="200"/>
      <c r="G14" s="200" t="s">
        <v>242</v>
      </c>
      <c r="H14" s="200"/>
      <c r="I14" s="201">
        <v>3079942.26</v>
      </c>
      <c r="J14" s="238"/>
    </row>
    <row r="15" spans="1:15" x14ac:dyDescent="0.25">
      <c r="A15" s="200"/>
      <c r="B15" s="200"/>
      <c r="C15" s="200"/>
      <c r="D15" s="200"/>
      <c r="E15" s="200"/>
      <c r="F15" s="200"/>
      <c r="G15" s="200" t="s">
        <v>243</v>
      </c>
      <c r="H15" s="200"/>
      <c r="I15" s="201"/>
    </row>
    <row r="16" spans="1:15" ht="15.75" thickBot="1" x14ac:dyDescent="0.3">
      <c r="A16" s="200"/>
      <c r="B16" s="200"/>
      <c r="C16" s="200"/>
      <c r="D16" s="200"/>
      <c r="E16" s="200"/>
      <c r="F16" s="200"/>
      <c r="G16" s="200"/>
      <c r="H16" s="200" t="s">
        <v>244</v>
      </c>
      <c r="I16" s="204">
        <v>2184</v>
      </c>
    </row>
    <row r="17" spans="1:12" x14ac:dyDescent="0.25">
      <c r="A17" s="200"/>
      <c r="B17" s="200"/>
      <c r="C17" s="200"/>
      <c r="D17" s="200"/>
      <c r="E17" s="200"/>
      <c r="F17" s="200"/>
      <c r="G17" s="200" t="s">
        <v>245</v>
      </c>
      <c r="H17" s="200"/>
      <c r="I17" s="201">
        <f>ROUND(SUM(I15:I16),5)</f>
        <v>2184</v>
      </c>
    </row>
    <row r="18" spans="1:12" ht="30" customHeight="1" x14ac:dyDescent="0.25">
      <c r="A18" s="200"/>
      <c r="B18" s="200"/>
      <c r="C18" s="200"/>
      <c r="D18" s="200"/>
      <c r="E18" s="200"/>
      <c r="F18" s="200"/>
      <c r="G18" s="200" t="s">
        <v>246</v>
      </c>
      <c r="H18" s="200"/>
      <c r="I18" s="246">
        <v>1150041.82</v>
      </c>
      <c r="K18" s="222"/>
      <c r="L18" s="236">
        <f>I18-'STF P6'!I19</f>
        <v>509807.82000000007</v>
      </c>
    </row>
    <row r="19" spans="1:12" x14ac:dyDescent="0.25">
      <c r="A19" s="200"/>
      <c r="B19" s="200"/>
      <c r="C19" s="200"/>
      <c r="D19" s="200"/>
      <c r="E19" s="200"/>
      <c r="F19" s="200"/>
      <c r="G19" s="200" t="s">
        <v>247</v>
      </c>
      <c r="H19" s="200"/>
      <c r="I19" s="201">
        <v>200</v>
      </c>
      <c r="L19" s="185"/>
    </row>
    <row r="20" spans="1:12" x14ac:dyDescent="0.25">
      <c r="A20" s="200"/>
      <c r="B20" s="200"/>
      <c r="C20" s="200"/>
      <c r="D20" s="200"/>
      <c r="E20" s="200"/>
      <c r="F20" s="200"/>
      <c r="G20" s="200" t="s">
        <v>248</v>
      </c>
      <c r="H20" s="200"/>
      <c r="I20" s="201">
        <v>17250</v>
      </c>
      <c r="L20" s="222"/>
    </row>
    <row r="21" spans="1:12" x14ac:dyDescent="0.25">
      <c r="A21" s="200"/>
      <c r="B21" s="200"/>
      <c r="C21" s="200"/>
      <c r="D21" s="200"/>
      <c r="E21" s="200"/>
      <c r="F21" s="200"/>
      <c r="G21" s="200" t="s">
        <v>249</v>
      </c>
      <c r="H21" s="200"/>
      <c r="I21" s="201">
        <v>123784.17</v>
      </c>
    </row>
    <row r="22" spans="1:12" ht="15.75" thickBot="1" x14ac:dyDescent="0.3">
      <c r="A22" s="200"/>
      <c r="B22" s="200"/>
      <c r="C22" s="200"/>
      <c r="D22" s="200"/>
      <c r="E22" s="200"/>
      <c r="F22" s="200"/>
      <c r="G22" s="200" t="s">
        <v>250</v>
      </c>
      <c r="H22" s="200"/>
      <c r="I22" s="245">
        <v>38000</v>
      </c>
    </row>
    <row r="23" spans="1:12" ht="15.75" thickBot="1" x14ac:dyDescent="0.3">
      <c r="A23" s="200"/>
      <c r="B23" s="200"/>
      <c r="C23" s="200"/>
      <c r="D23" s="200"/>
      <c r="E23" s="200"/>
      <c r="F23" s="200" t="s">
        <v>251</v>
      </c>
      <c r="G23" s="200"/>
      <c r="H23" s="200"/>
      <c r="I23" s="203">
        <f>ROUND(SUM(I13:I14)+SUM(I17:I22),5)</f>
        <v>4411402.25</v>
      </c>
    </row>
    <row r="24" spans="1:12" ht="30" customHeight="1" thickBot="1" x14ac:dyDescent="0.3">
      <c r="A24" s="200"/>
      <c r="B24" s="200"/>
      <c r="C24" s="200"/>
      <c r="D24" s="200"/>
      <c r="E24" s="200" t="s">
        <v>252</v>
      </c>
      <c r="F24" s="200"/>
      <c r="G24" s="200"/>
      <c r="H24" s="200"/>
      <c r="I24" s="244">
        <f>ROUND(I12+I23,5)</f>
        <v>4411402.25</v>
      </c>
    </row>
    <row r="25" spans="1:12" ht="30" customHeight="1" thickBot="1" x14ac:dyDescent="0.3">
      <c r="A25" s="200"/>
      <c r="B25" s="200"/>
      <c r="C25" s="200"/>
      <c r="D25" s="200" t="s">
        <v>88</v>
      </c>
      <c r="E25" s="200"/>
      <c r="F25" s="200"/>
      <c r="G25" s="200"/>
      <c r="H25" s="200"/>
      <c r="I25" s="83">
        <f>ROUND(I11+I24,5)</f>
        <v>4411402.25</v>
      </c>
    </row>
    <row r="26" spans="1:12" ht="30" customHeight="1" x14ac:dyDescent="0.25">
      <c r="A26" s="200"/>
      <c r="B26" s="200"/>
      <c r="C26" s="200" t="s">
        <v>89</v>
      </c>
      <c r="D26" s="200"/>
      <c r="E26" s="200"/>
      <c r="F26" s="200"/>
      <c r="G26" s="200"/>
      <c r="H26" s="200"/>
      <c r="I26" s="201">
        <f>ROUND(I10-I25,5)</f>
        <v>766045.75</v>
      </c>
      <c r="L26" s="185"/>
    </row>
    <row r="27" spans="1:12" x14ac:dyDescent="0.25">
      <c r="A27" s="200"/>
      <c r="B27" s="200"/>
      <c r="C27" s="200"/>
      <c r="D27" s="200" t="s">
        <v>90</v>
      </c>
      <c r="E27" s="200"/>
      <c r="F27" s="200"/>
      <c r="G27" s="200"/>
      <c r="H27" s="200"/>
      <c r="I27" s="201"/>
    </row>
    <row r="28" spans="1:12" x14ac:dyDescent="0.25">
      <c r="A28" s="200"/>
      <c r="B28" s="200"/>
      <c r="C28" s="200"/>
      <c r="D28" s="200"/>
      <c r="E28" s="200" t="s">
        <v>253</v>
      </c>
      <c r="F28" s="200"/>
      <c r="G28" s="200"/>
      <c r="H28" s="200"/>
      <c r="I28" s="201"/>
    </row>
    <row r="29" spans="1:12" x14ac:dyDescent="0.25">
      <c r="A29" s="200"/>
      <c r="B29" s="200"/>
      <c r="C29" s="200"/>
      <c r="D29" s="200"/>
      <c r="E29" s="200"/>
      <c r="F29" s="200" t="s">
        <v>254</v>
      </c>
      <c r="G29" s="200"/>
      <c r="H29" s="200"/>
      <c r="I29" s="201"/>
    </row>
    <row r="30" spans="1:12" ht="30" customHeight="1" x14ac:dyDescent="0.25">
      <c r="A30" s="200"/>
      <c r="B30" s="200"/>
      <c r="C30" s="200"/>
      <c r="D30" s="200"/>
      <c r="E30" s="200"/>
      <c r="F30" s="200"/>
      <c r="G30" s="200" t="s">
        <v>255</v>
      </c>
      <c r="H30" s="200"/>
      <c r="I30" s="201"/>
    </row>
    <row r="31" spans="1:12" x14ac:dyDescent="0.25">
      <c r="A31" s="200"/>
      <c r="B31" s="200"/>
      <c r="C31" s="200"/>
      <c r="D31" s="200"/>
      <c r="E31" s="200"/>
      <c r="F31" s="200"/>
      <c r="G31" s="200"/>
      <c r="H31" s="200" t="s">
        <v>256</v>
      </c>
      <c r="I31" s="201">
        <v>224000</v>
      </c>
    </row>
    <row r="32" spans="1:12" ht="15.75" thickBot="1" x14ac:dyDescent="0.3">
      <c r="A32" s="200"/>
      <c r="B32" s="200"/>
      <c r="C32" s="200"/>
      <c r="D32" s="200"/>
      <c r="E32" s="200"/>
      <c r="F32" s="200"/>
      <c r="G32" s="200"/>
      <c r="H32" s="200" t="s">
        <v>292</v>
      </c>
      <c r="I32" s="204">
        <v>37000</v>
      </c>
    </row>
    <row r="33" spans="1:12" x14ac:dyDescent="0.25">
      <c r="A33" s="200"/>
      <c r="B33" s="200"/>
      <c r="C33" s="200"/>
      <c r="D33" s="200"/>
      <c r="E33" s="200"/>
      <c r="F33" s="200"/>
      <c r="G33" s="200" t="s">
        <v>257</v>
      </c>
      <c r="H33" s="200"/>
      <c r="I33" s="201">
        <f>ROUND(SUM(I30:I32),5)</f>
        <v>261000</v>
      </c>
    </row>
    <row r="34" spans="1:12" x14ac:dyDescent="0.25">
      <c r="A34" s="200"/>
      <c r="B34" s="200"/>
      <c r="C34" s="200"/>
      <c r="D34" s="200"/>
      <c r="E34" s="200"/>
      <c r="F34" s="200"/>
      <c r="G34" s="200" t="s">
        <v>258</v>
      </c>
      <c r="H34" s="200"/>
      <c r="I34" s="201"/>
    </row>
    <row r="35" spans="1:12" ht="30" customHeight="1" x14ac:dyDescent="0.25">
      <c r="A35" s="200"/>
      <c r="B35" s="200"/>
      <c r="C35" s="200"/>
      <c r="D35" s="200"/>
      <c r="E35" s="200"/>
      <c r="F35" s="200"/>
      <c r="G35" s="200"/>
      <c r="H35" s="200" t="s">
        <v>259</v>
      </c>
      <c r="I35" s="201">
        <v>511</v>
      </c>
      <c r="L35" s="223"/>
    </row>
    <row r="36" spans="1:12" ht="15.75" thickBot="1" x14ac:dyDescent="0.3">
      <c r="A36" s="200"/>
      <c r="B36" s="200"/>
      <c r="C36" s="200"/>
      <c r="D36" s="200"/>
      <c r="E36" s="200"/>
      <c r="F36" s="200"/>
      <c r="G36" s="200"/>
      <c r="H36" s="200" t="s">
        <v>260</v>
      </c>
      <c r="I36" s="204">
        <v>5000</v>
      </c>
      <c r="L36" s="223"/>
    </row>
    <row r="37" spans="1:12" x14ac:dyDescent="0.25">
      <c r="A37" s="200"/>
      <c r="B37" s="200"/>
      <c r="C37" s="200"/>
      <c r="D37" s="200"/>
      <c r="E37" s="200"/>
      <c r="F37" s="200"/>
      <c r="G37" s="200" t="s">
        <v>261</v>
      </c>
      <c r="H37" s="200"/>
      <c r="I37" s="201">
        <f>ROUND(SUM(I34:I36),5)</f>
        <v>5511</v>
      </c>
      <c r="L37" s="223"/>
    </row>
    <row r="38" spans="1:12" ht="30" customHeight="1" x14ac:dyDescent="0.25">
      <c r="A38" s="200"/>
      <c r="B38" s="200"/>
      <c r="C38" s="200"/>
      <c r="D38" s="200"/>
      <c r="E38" s="200"/>
      <c r="F38" s="200"/>
      <c r="G38" s="200" t="s">
        <v>262</v>
      </c>
      <c r="H38" s="200"/>
      <c r="I38" s="201"/>
    </row>
    <row r="39" spans="1:12" x14ac:dyDescent="0.25">
      <c r="A39" s="200"/>
      <c r="B39" s="200"/>
      <c r="C39" s="200"/>
      <c r="D39" s="200"/>
      <c r="E39" s="200"/>
      <c r="F39" s="200"/>
      <c r="G39" s="200"/>
      <c r="H39" s="200" t="s">
        <v>263</v>
      </c>
      <c r="I39" s="201">
        <v>107840</v>
      </c>
    </row>
    <row r="40" spans="1:12" x14ac:dyDescent="0.25">
      <c r="A40" s="200"/>
      <c r="B40" s="200"/>
      <c r="C40" s="200"/>
      <c r="D40" s="200"/>
      <c r="E40" s="200"/>
      <c r="F40" s="200"/>
      <c r="G40" s="200"/>
      <c r="H40" s="200" t="s">
        <v>264</v>
      </c>
      <c r="I40" s="201">
        <v>1993</v>
      </c>
    </row>
    <row r="41" spans="1:12" ht="15.75" thickBot="1" x14ac:dyDescent="0.3">
      <c r="A41" s="200"/>
      <c r="B41" s="200"/>
      <c r="C41" s="200"/>
      <c r="D41" s="200"/>
      <c r="E41" s="200"/>
      <c r="F41" s="200"/>
      <c r="G41" s="200"/>
      <c r="H41" s="200" t="s">
        <v>265</v>
      </c>
      <c r="I41" s="204">
        <v>2856.08</v>
      </c>
    </row>
    <row r="42" spans="1:12" x14ac:dyDescent="0.25">
      <c r="A42" s="200"/>
      <c r="B42" s="200"/>
      <c r="C42" s="200"/>
      <c r="D42" s="200"/>
      <c r="E42" s="200"/>
      <c r="F42" s="200"/>
      <c r="G42" s="200" t="s">
        <v>266</v>
      </c>
      <c r="H42" s="200"/>
      <c r="I42" s="201">
        <f>ROUND(SUM(I38:I41),5)</f>
        <v>112689.08</v>
      </c>
    </row>
    <row r="43" spans="1:12" ht="30" customHeight="1" x14ac:dyDescent="0.25">
      <c r="A43" s="200"/>
      <c r="B43" s="200"/>
      <c r="C43" s="200"/>
      <c r="D43" s="200"/>
      <c r="E43" s="200"/>
      <c r="F43" s="200"/>
      <c r="G43" s="200" t="s">
        <v>267</v>
      </c>
      <c r="H43" s="200"/>
      <c r="I43" s="201"/>
    </row>
    <row r="44" spans="1:12" x14ac:dyDescent="0.25">
      <c r="A44" s="200"/>
      <c r="B44" s="200"/>
      <c r="C44" s="200"/>
      <c r="D44" s="200"/>
      <c r="E44" s="200"/>
      <c r="F44" s="200"/>
      <c r="G44" s="200"/>
      <c r="H44" s="200" t="s">
        <v>268</v>
      </c>
      <c r="I44" s="201">
        <v>1676.2</v>
      </c>
    </row>
    <row r="45" spans="1:12" x14ac:dyDescent="0.25">
      <c r="A45" s="200"/>
      <c r="B45" s="200"/>
      <c r="C45" s="200"/>
      <c r="D45" s="200"/>
      <c r="E45" s="200"/>
      <c r="F45" s="200"/>
      <c r="G45" s="200"/>
      <c r="H45" s="200" t="s">
        <v>269</v>
      </c>
      <c r="I45" s="201">
        <v>4927.1000000000004</v>
      </c>
    </row>
    <row r="46" spans="1:12" ht="15.75" thickBot="1" x14ac:dyDescent="0.3">
      <c r="A46" s="200"/>
      <c r="B46" s="200"/>
      <c r="C46" s="200"/>
      <c r="D46" s="200"/>
      <c r="E46" s="200"/>
      <c r="F46" s="200"/>
      <c r="G46" s="200"/>
      <c r="H46" s="200" t="s">
        <v>270</v>
      </c>
      <c r="I46" s="204">
        <v>1541</v>
      </c>
    </row>
    <row r="47" spans="1:12" x14ac:dyDescent="0.25">
      <c r="A47" s="200"/>
      <c r="B47" s="200"/>
      <c r="C47" s="200"/>
      <c r="D47" s="200"/>
      <c r="E47" s="200"/>
      <c r="F47" s="200"/>
      <c r="G47" s="200" t="s">
        <v>272</v>
      </c>
      <c r="H47" s="200"/>
      <c r="I47" s="201">
        <f>ROUND(SUM(I43:I46),5)</f>
        <v>8144.3</v>
      </c>
    </row>
    <row r="48" spans="1:12" ht="30" customHeight="1" x14ac:dyDescent="0.25">
      <c r="A48" s="200"/>
      <c r="B48" s="200"/>
      <c r="C48" s="200"/>
      <c r="D48" s="200"/>
      <c r="E48" s="200"/>
      <c r="F48" s="200"/>
      <c r="G48" s="200" t="s">
        <v>273</v>
      </c>
      <c r="H48" s="200"/>
      <c r="I48" s="201"/>
    </row>
    <row r="49" spans="1:15" ht="15.75" thickBot="1" x14ac:dyDescent="0.3">
      <c r="A49" s="200"/>
      <c r="B49" s="200"/>
      <c r="C49" s="200"/>
      <c r="D49" s="200"/>
      <c r="E49" s="200"/>
      <c r="F49" s="200"/>
      <c r="G49" s="200"/>
      <c r="H49" s="200" t="s">
        <v>274</v>
      </c>
      <c r="I49" s="204">
        <v>1480</v>
      </c>
    </row>
    <row r="50" spans="1:15" x14ac:dyDescent="0.25">
      <c r="A50" s="200"/>
      <c r="B50" s="200"/>
      <c r="C50" s="200"/>
      <c r="D50" s="200"/>
      <c r="E50" s="200"/>
      <c r="F50" s="200"/>
      <c r="G50" s="200" t="s">
        <v>275</v>
      </c>
      <c r="H50" s="200"/>
      <c r="I50" s="201">
        <f>ROUND(SUM(I48:I49),5)</f>
        <v>1480</v>
      </c>
    </row>
    <row r="51" spans="1:15" x14ac:dyDescent="0.25">
      <c r="A51" s="200"/>
      <c r="B51" s="200"/>
      <c r="C51" s="200"/>
      <c r="D51" s="200"/>
      <c r="E51" s="200"/>
      <c r="F51" s="200"/>
      <c r="G51" s="200" t="s">
        <v>276</v>
      </c>
      <c r="H51" s="200"/>
      <c r="I51" s="201"/>
    </row>
    <row r="52" spans="1:15" ht="30" customHeight="1" x14ac:dyDescent="0.25">
      <c r="A52" s="200"/>
      <c r="B52" s="200"/>
      <c r="C52" s="200"/>
      <c r="D52" s="200"/>
      <c r="E52" s="200"/>
      <c r="F52" s="200"/>
      <c r="G52" s="200"/>
      <c r="H52" s="200" t="s">
        <v>302</v>
      </c>
      <c r="I52" s="201">
        <v>278</v>
      </c>
    </row>
    <row r="53" spans="1:15" x14ac:dyDescent="0.25">
      <c r="A53" s="200"/>
      <c r="B53" s="200"/>
      <c r="C53" s="200"/>
      <c r="D53" s="200"/>
      <c r="E53" s="200"/>
      <c r="F53" s="200"/>
      <c r="G53" s="200"/>
      <c r="H53" s="200" t="s">
        <v>277</v>
      </c>
      <c r="I53" s="201">
        <v>1739</v>
      </c>
    </row>
    <row r="54" spans="1:15" ht="15.75" thickBot="1" x14ac:dyDescent="0.3">
      <c r="A54" s="200"/>
      <c r="B54" s="200"/>
      <c r="C54" s="200"/>
      <c r="D54" s="200"/>
      <c r="E54" s="200"/>
      <c r="F54" s="200"/>
      <c r="G54" s="200"/>
      <c r="H54" s="200" t="s">
        <v>278</v>
      </c>
      <c r="I54" s="202">
        <v>1000</v>
      </c>
      <c r="L54" t="s">
        <v>308</v>
      </c>
    </row>
    <row r="55" spans="1:15" ht="15.75" thickBot="1" x14ac:dyDescent="0.3">
      <c r="A55" s="200"/>
      <c r="B55" s="200"/>
      <c r="C55" s="200"/>
      <c r="D55" s="200"/>
      <c r="E55" s="200"/>
      <c r="F55" s="200"/>
      <c r="G55" s="200" t="s">
        <v>279</v>
      </c>
      <c r="H55" s="200"/>
      <c r="I55" s="83">
        <f>ROUND(SUM(I51:I54),5)</f>
        <v>3017</v>
      </c>
    </row>
    <row r="56" spans="1:15" x14ac:dyDescent="0.25">
      <c r="A56" s="200"/>
      <c r="B56" s="200"/>
      <c r="C56" s="200"/>
      <c r="D56" s="200"/>
      <c r="E56" s="200"/>
      <c r="F56" s="200" t="s">
        <v>280</v>
      </c>
      <c r="G56" s="200"/>
      <c r="H56" s="200"/>
      <c r="I56" s="201">
        <f>ROUND(I29+I33+I37+I42+I47+I50+I55,5)</f>
        <v>391841.38</v>
      </c>
    </row>
    <row r="57" spans="1:15" x14ac:dyDescent="0.25">
      <c r="A57" s="200"/>
      <c r="B57" s="200"/>
      <c r="C57" s="200"/>
      <c r="D57" s="200"/>
      <c r="E57" s="200"/>
      <c r="F57" s="200" t="s">
        <v>281</v>
      </c>
      <c r="G57" s="200"/>
      <c r="H57" s="200"/>
      <c r="I57" s="201"/>
    </row>
    <row r="58" spans="1:15" ht="30" customHeight="1" thickBot="1" x14ac:dyDescent="0.3">
      <c r="A58" s="200"/>
      <c r="B58" s="200"/>
      <c r="C58" s="200"/>
      <c r="D58" s="200"/>
      <c r="E58" s="200"/>
      <c r="F58" s="200"/>
      <c r="G58" s="200" t="s">
        <v>282</v>
      </c>
      <c r="H58" s="200"/>
      <c r="I58" s="202">
        <v>2293</v>
      </c>
    </row>
    <row r="59" spans="1:15" ht="30" customHeight="1" thickBot="1" x14ac:dyDescent="0.3">
      <c r="A59" s="200"/>
      <c r="B59" s="200"/>
      <c r="C59" s="200"/>
      <c r="D59" s="200"/>
      <c r="E59" s="200"/>
      <c r="F59" s="200" t="s">
        <v>283</v>
      </c>
      <c r="G59" s="200"/>
      <c r="H59" s="200"/>
      <c r="I59" s="203">
        <f>ROUND(SUM(I57:I58),5)</f>
        <v>2293</v>
      </c>
    </row>
    <row r="60" spans="1:15" ht="30" customHeight="1" thickBot="1" x14ac:dyDescent="0.3">
      <c r="A60" s="200"/>
      <c r="B60" s="200"/>
      <c r="C60" s="200"/>
      <c r="D60" s="200"/>
      <c r="E60" s="200" t="s">
        <v>284</v>
      </c>
      <c r="F60" s="200"/>
      <c r="G60" s="200"/>
      <c r="H60" s="200"/>
      <c r="I60" s="203">
        <f>ROUND(I28+I56+I59,5)</f>
        <v>394134.38</v>
      </c>
    </row>
    <row r="61" spans="1:15" s="87" customFormat="1" ht="30" customHeight="1" thickBot="1" x14ac:dyDescent="0.3">
      <c r="A61" s="200"/>
      <c r="B61" s="200"/>
      <c r="C61" s="200"/>
      <c r="D61" s="200" t="s">
        <v>142</v>
      </c>
      <c r="E61" s="200"/>
      <c r="F61" s="200"/>
      <c r="G61" s="200"/>
      <c r="H61" s="200"/>
      <c r="I61" s="203">
        <f>ROUND(I27+I60,5)</f>
        <v>394134.38</v>
      </c>
      <c r="L61" s="238">
        <f>'STF P4'!I65-'STF P5'!I62</f>
        <v>59867.140000000014</v>
      </c>
      <c r="M61"/>
      <c r="N61"/>
      <c r="O61"/>
    </row>
    <row r="62" spans="1:15" ht="15.75" thickBot="1" x14ac:dyDescent="0.3">
      <c r="A62" s="200"/>
      <c r="B62" s="200" t="s">
        <v>143</v>
      </c>
      <c r="C62" s="200"/>
      <c r="D62" s="200"/>
      <c r="E62" s="200"/>
      <c r="F62" s="200"/>
      <c r="G62" s="200"/>
      <c r="H62" s="200"/>
      <c r="I62" s="203">
        <f>ROUND(I2+I26-I61,5)</f>
        <v>371911.37</v>
      </c>
      <c r="L62" s="87"/>
      <c r="M62" s="87"/>
      <c r="N62" s="87"/>
      <c r="O62" s="87"/>
    </row>
    <row r="63" spans="1:15" ht="15.75" thickBot="1" x14ac:dyDescent="0.3">
      <c r="A63" s="200" t="s">
        <v>144</v>
      </c>
      <c r="B63" s="200"/>
      <c r="C63" s="200"/>
      <c r="D63" s="200"/>
      <c r="E63" s="200"/>
      <c r="F63" s="200"/>
      <c r="G63" s="200"/>
      <c r="H63" s="200"/>
      <c r="I63" s="86">
        <f>I62</f>
        <v>371911.37</v>
      </c>
    </row>
    <row r="64" spans="1:15" ht="15.75" thickTop="1" x14ac:dyDescent="0.25"/>
    <row r="66" spans="9:15" x14ac:dyDescent="0.25">
      <c r="I66" s="185"/>
    </row>
    <row r="73" spans="9:15" x14ac:dyDescent="0.25">
      <c r="L73" s="87"/>
      <c r="M73" s="87"/>
      <c r="N73" s="87"/>
      <c r="O73" s="8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O73"/>
  <sheetViews>
    <sheetView workbookViewId="0">
      <pane ySplit="1" topLeftCell="A38" activePane="bottomLeft" state="frozen"/>
      <selection pane="bottomLeft" activeCell="H49" sqref="H49"/>
    </sheetView>
  </sheetViews>
  <sheetFormatPr defaultRowHeight="15" x14ac:dyDescent="0.25"/>
  <cols>
    <col min="1" max="7" width="3" style="214" customWidth="1"/>
    <col min="8" max="8" width="36.7109375" style="214" customWidth="1"/>
    <col min="9" max="9" width="17.5703125" style="119" bestFit="1" customWidth="1"/>
    <col min="12" max="12" width="31.140625" customWidth="1"/>
    <col min="13" max="13" width="10.85546875" customWidth="1"/>
    <col min="14" max="14" width="16" customWidth="1"/>
    <col min="15" max="15" width="17.42578125" customWidth="1"/>
  </cols>
  <sheetData>
    <row r="1" spans="1:15" ht="15.75" thickBot="1" x14ac:dyDescent="0.3">
      <c r="A1" s="205"/>
      <c r="B1" s="205"/>
      <c r="C1" s="205"/>
      <c r="D1" s="205"/>
      <c r="E1" s="205"/>
      <c r="F1" s="205"/>
      <c r="G1" s="205"/>
      <c r="H1" s="205"/>
      <c r="I1" s="206" t="s">
        <v>296</v>
      </c>
      <c r="L1" s="215" t="s">
        <v>223</v>
      </c>
      <c r="M1" s="235">
        <f>'STF P2'!M1</f>
        <v>35.257399999999997</v>
      </c>
      <c r="N1" s="215" t="s">
        <v>224</v>
      </c>
      <c r="O1" s="79"/>
    </row>
    <row r="2" spans="1:15" s="79" customFormat="1" ht="15.75" thickTop="1" x14ac:dyDescent="0.25">
      <c r="A2" s="200"/>
      <c r="B2" s="200" t="s">
        <v>57</v>
      </c>
      <c r="C2" s="200"/>
      <c r="D2" s="200"/>
      <c r="E2" s="200"/>
      <c r="F2" s="200"/>
      <c r="G2" s="200"/>
      <c r="H2" s="200"/>
      <c r="I2" s="201"/>
      <c r="L2"/>
      <c r="M2"/>
      <c r="N2"/>
      <c r="O2"/>
    </row>
    <row r="3" spans="1:15" ht="30" x14ac:dyDescent="0.25">
      <c r="A3" s="200"/>
      <c r="B3" s="200"/>
      <c r="C3" s="200"/>
      <c r="D3" s="200" t="s">
        <v>58</v>
      </c>
      <c r="E3" s="200"/>
      <c r="F3" s="200"/>
      <c r="G3" s="200"/>
      <c r="H3" s="200"/>
      <c r="I3" s="201"/>
      <c r="L3" s="216" t="s">
        <v>225</v>
      </c>
      <c r="M3" s="217" t="s">
        <v>224</v>
      </c>
      <c r="N3" s="218" t="s">
        <v>226</v>
      </c>
      <c r="O3" s="217" t="s">
        <v>227</v>
      </c>
    </row>
    <row r="4" spans="1:15" x14ac:dyDescent="0.25">
      <c r="A4" s="200"/>
      <c r="B4" s="200"/>
      <c r="C4" s="200"/>
      <c r="D4" s="200"/>
      <c r="E4" s="200" t="s">
        <v>59</v>
      </c>
      <c r="F4" s="200"/>
      <c r="G4" s="200"/>
      <c r="H4" s="200"/>
      <c r="I4" s="201"/>
      <c r="L4" s="219" t="s">
        <v>228</v>
      </c>
      <c r="M4" s="220">
        <f>I42</f>
        <v>112994.58</v>
      </c>
      <c r="N4" s="219"/>
      <c r="O4" s="219" t="s">
        <v>229</v>
      </c>
    </row>
    <row r="5" spans="1:15" x14ac:dyDescent="0.25">
      <c r="A5" s="200"/>
      <c r="B5" s="200"/>
      <c r="C5" s="200"/>
      <c r="D5" s="200"/>
      <c r="E5" s="200"/>
      <c r="F5" s="200" t="s">
        <v>60</v>
      </c>
      <c r="G5" s="200"/>
      <c r="H5" s="200"/>
      <c r="I5" s="201">
        <v>3768160</v>
      </c>
    </row>
    <row r="6" spans="1:15" ht="30" x14ac:dyDescent="0.25">
      <c r="A6" s="200"/>
      <c r="B6" s="200"/>
      <c r="C6" s="200"/>
      <c r="D6" s="200"/>
      <c r="E6" s="200"/>
      <c r="F6" s="200" t="s">
        <v>218</v>
      </c>
      <c r="G6" s="200"/>
      <c r="H6" s="200"/>
      <c r="I6" s="201">
        <v>1416212</v>
      </c>
      <c r="L6" s="216" t="s">
        <v>230</v>
      </c>
      <c r="M6" s="217" t="s">
        <v>224</v>
      </c>
      <c r="N6" s="218" t="s">
        <v>226</v>
      </c>
      <c r="O6" s="217" t="s">
        <v>227</v>
      </c>
    </row>
    <row r="7" spans="1:15" x14ac:dyDescent="0.25">
      <c r="A7" s="200"/>
      <c r="B7" s="200"/>
      <c r="C7" s="200"/>
      <c r="D7" s="200"/>
      <c r="E7" s="200"/>
      <c r="F7" s="200" t="s">
        <v>62</v>
      </c>
      <c r="G7" s="200"/>
      <c r="H7" s="200"/>
      <c r="I7" s="201">
        <v>127050</v>
      </c>
      <c r="L7" s="221" t="s">
        <v>231</v>
      </c>
      <c r="M7" s="220">
        <f>I64-M4</f>
        <v>318783.93</v>
      </c>
      <c r="N7" s="219"/>
      <c r="O7" s="219" t="s">
        <v>229</v>
      </c>
    </row>
    <row r="8" spans="1:15" ht="15.75" thickBot="1" x14ac:dyDescent="0.3">
      <c r="A8" s="200"/>
      <c r="B8" s="200"/>
      <c r="C8" s="200"/>
      <c r="D8" s="200"/>
      <c r="E8" s="200"/>
      <c r="F8" s="200" t="s">
        <v>63</v>
      </c>
      <c r="G8" s="200"/>
      <c r="H8" s="200"/>
      <c r="I8" s="202">
        <v>29400</v>
      </c>
    </row>
    <row r="9" spans="1:15" ht="15.75" thickBot="1" x14ac:dyDescent="0.3">
      <c r="A9" s="200"/>
      <c r="B9" s="200"/>
      <c r="C9" s="200"/>
      <c r="D9" s="200"/>
      <c r="E9" s="200" t="s">
        <v>67</v>
      </c>
      <c r="F9" s="200"/>
      <c r="G9" s="200"/>
      <c r="H9" s="200"/>
      <c r="I9" s="83">
        <f>ROUND(SUM(I4:I8),5)</f>
        <v>5340822</v>
      </c>
    </row>
    <row r="10" spans="1:15" x14ac:dyDescent="0.25">
      <c r="A10" s="200"/>
      <c r="B10" s="200"/>
      <c r="C10" s="200"/>
      <c r="D10" s="200" t="s">
        <v>68</v>
      </c>
      <c r="E10" s="200"/>
      <c r="F10" s="200"/>
      <c r="G10" s="200"/>
      <c r="H10" s="200"/>
      <c r="I10" s="201">
        <f>ROUND(I3+I9,5)</f>
        <v>5340822</v>
      </c>
      <c r="M10" s="236"/>
    </row>
    <row r="11" spans="1:15" ht="30" customHeight="1" x14ac:dyDescent="0.25">
      <c r="A11" s="200"/>
      <c r="B11" s="200"/>
      <c r="C11" s="200"/>
      <c r="D11" s="200" t="s">
        <v>69</v>
      </c>
      <c r="E11" s="200"/>
      <c r="F11" s="200"/>
      <c r="G11" s="200"/>
      <c r="H11" s="200"/>
      <c r="I11" s="201"/>
    </row>
    <row r="12" spans="1:15" ht="30" customHeight="1" x14ac:dyDescent="0.25">
      <c r="A12" s="200"/>
      <c r="B12" s="200"/>
      <c r="C12" s="200"/>
      <c r="D12" s="200"/>
      <c r="E12" s="200" t="s">
        <v>240</v>
      </c>
      <c r="F12" s="200"/>
      <c r="G12" s="200"/>
      <c r="H12" s="200"/>
      <c r="I12" s="201"/>
    </row>
    <row r="13" spans="1:15" x14ac:dyDescent="0.25">
      <c r="A13" s="200"/>
      <c r="B13" s="200"/>
      <c r="C13" s="200"/>
      <c r="D13" s="200"/>
      <c r="E13" s="200"/>
      <c r="F13" s="200" t="s">
        <v>241</v>
      </c>
      <c r="G13" s="200"/>
      <c r="H13" s="200"/>
      <c r="I13" s="201"/>
    </row>
    <row r="14" spans="1:15" x14ac:dyDescent="0.25">
      <c r="A14" s="200"/>
      <c r="B14" s="200"/>
      <c r="C14" s="200"/>
      <c r="D14" s="200"/>
      <c r="E14" s="200"/>
      <c r="F14" s="200"/>
      <c r="G14" s="200" t="s">
        <v>242</v>
      </c>
      <c r="H14" s="200"/>
      <c r="I14" s="201">
        <v>3004969.7</v>
      </c>
    </row>
    <row r="15" spans="1:15" x14ac:dyDescent="0.25">
      <c r="A15" s="200"/>
      <c r="B15" s="200"/>
      <c r="C15" s="200"/>
      <c r="D15" s="200"/>
      <c r="E15" s="200"/>
      <c r="F15" s="200"/>
      <c r="G15" s="200" t="s">
        <v>243</v>
      </c>
      <c r="H15" s="200"/>
      <c r="I15" s="201"/>
    </row>
    <row r="16" spans="1:15" ht="15.75" thickBot="1" x14ac:dyDescent="0.3">
      <c r="A16" s="200"/>
      <c r="B16" s="200"/>
      <c r="C16" s="200"/>
      <c r="D16" s="200"/>
      <c r="E16" s="200"/>
      <c r="F16" s="200"/>
      <c r="G16" s="200"/>
      <c r="H16" s="200" t="s">
        <v>244</v>
      </c>
      <c r="I16" s="204">
        <v>1860</v>
      </c>
    </row>
    <row r="17" spans="1:12" x14ac:dyDescent="0.25">
      <c r="A17" s="200"/>
      <c r="B17" s="200"/>
      <c r="C17" s="200"/>
      <c r="D17" s="200"/>
      <c r="E17" s="200"/>
      <c r="F17" s="200"/>
      <c r="G17" s="200" t="s">
        <v>245</v>
      </c>
      <c r="H17" s="200"/>
      <c r="I17" s="201">
        <f>ROUND(SUM(I15:I16),5)</f>
        <v>1860</v>
      </c>
    </row>
    <row r="18" spans="1:12" ht="30" customHeight="1" x14ac:dyDescent="0.25">
      <c r="A18" s="200"/>
      <c r="B18" s="200"/>
      <c r="C18" s="200"/>
      <c r="D18" s="200"/>
      <c r="E18" s="200"/>
      <c r="F18" s="200"/>
      <c r="G18" s="200" t="s">
        <v>246</v>
      </c>
      <c r="H18" s="200"/>
      <c r="I18" s="201">
        <v>1290511.5</v>
      </c>
      <c r="K18" s="222"/>
    </row>
    <row r="19" spans="1:12" x14ac:dyDescent="0.25">
      <c r="A19" s="200"/>
      <c r="B19" s="200"/>
      <c r="C19" s="200"/>
      <c r="D19" s="200"/>
      <c r="E19" s="200"/>
      <c r="F19" s="200"/>
      <c r="G19" s="200" t="s">
        <v>248</v>
      </c>
      <c r="H19" s="200"/>
      <c r="I19" s="201">
        <v>11750</v>
      </c>
      <c r="L19" s="185"/>
    </row>
    <row r="20" spans="1:12" x14ac:dyDescent="0.25">
      <c r="A20" s="200"/>
      <c r="B20" s="200"/>
      <c r="C20" s="200"/>
      <c r="D20" s="200"/>
      <c r="E20" s="200"/>
      <c r="F20" s="200"/>
      <c r="G20" s="200" t="s">
        <v>249</v>
      </c>
      <c r="H20" s="200"/>
      <c r="I20" s="201">
        <v>153300.45000000001</v>
      </c>
      <c r="L20" s="222"/>
    </row>
    <row r="21" spans="1:12" x14ac:dyDescent="0.25">
      <c r="A21" s="200"/>
      <c r="B21" s="200"/>
      <c r="C21" s="200"/>
      <c r="D21" s="200"/>
      <c r="E21" s="200"/>
      <c r="F21" s="200"/>
      <c r="G21" s="200" t="s">
        <v>250</v>
      </c>
      <c r="H21" s="200"/>
      <c r="I21" s="201">
        <v>30400</v>
      </c>
    </row>
    <row r="22" spans="1:12" ht="15.75" thickBot="1" x14ac:dyDescent="0.3">
      <c r="A22" s="200"/>
      <c r="B22" s="200"/>
      <c r="C22" s="200"/>
      <c r="D22" s="200"/>
      <c r="E22" s="200"/>
      <c r="F22" s="200"/>
      <c r="G22" s="200" t="s">
        <v>297</v>
      </c>
      <c r="H22" s="200"/>
      <c r="I22" s="202">
        <v>1500</v>
      </c>
    </row>
    <row r="23" spans="1:12" ht="15.75" thickBot="1" x14ac:dyDescent="0.3">
      <c r="A23" s="200"/>
      <c r="B23" s="200"/>
      <c r="C23" s="200"/>
      <c r="D23" s="200"/>
      <c r="E23" s="200"/>
      <c r="F23" s="200" t="s">
        <v>251</v>
      </c>
      <c r="G23" s="200"/>
      <c r="H23" s="200"/>
      <c r="I23" s="203">
        <f>ROUND(SUM(I13:I14)+SUM(I17:I22),5)</f>
        <v>4494291.6500000004</v>
      </c>
    </row>
    <row r="24" spans="1:12" ht="30" customHeight="1" thickBot="1" x14ac:dyDescent="0.3">
      <c r="A24" s="200"/>
      <c r="B24" s="200"/>
      <c r="C24" s="200"/>
      <c r="D24" s="200"/>
      <c r="E24" s="200" t="s">
        <v>252</v>
      </c>
      <c r="F24" s="200"/>
      <c r="G24" s="200"/>
      <c r="H24" s="200"/>
      <c r="I24" s="203">
        <f>ROUND(I12+I23,5)</f>
        <v>4494291.6500000004</v>
      </c>
    </row>
    <row r="25" spans="1:12" ht="30" customHeight="1" thickBot="1" x14ac:dyDescent="0.3">
      <c r="A25" s="200"/>
      <c r="B25" s="200"/>
      <c r="C25" s="200"/>
      <c r="D25" s="200" t="s">
        <v>88</v>
      </c>
      <c r="E25" s="200"/>
      <c r="F25" s="200"/>
      <c r="G25" s="200"/>
      <c r="H25" s="200"/>
      <c r="I25" s="83">
        <f>ROUND(I11+I24,5)</f>
        <v>4494291.6500000004</v>
      </c>
    </row>
    <row r="26" spans="1:12" ht="30" customHeight="1" x14ac:dyDescent="0.25">
      <c r="A26" s="200"/>
      <c r="B26" s="200"/>
      <c r="C26" s="200" t="s">
        <v>89</v>
      </c>
      <c r="D26" s="200"/>
      <c r="E26" s="200"/>
      <c r="F26" s="200"/>
      <c r="G26" s="200"/>
      <c r="H26" s="200"/>
      <c r="I26" s="201">
        <f>ROUND(I10-I25,5)</f>
        <v>846530.35</v>
      </c>
      <c r="L26" s="185"/>
    </row>
    <row r="27" spans="1:12" x14ac:dyDescent="0.25">
      <c r="A27" s="200"/>
      <c r="B27" s="200"/>
      <c r="C27" s="200"/>
      <c r="D27" s="200" t="s">
        <v>90</v>
      </c>
      <c r="E27" s="200"/>
      <c r="F27" s="200"/>
      <c r="G27" s="200"/>
      <c r="H27" s="200"/>
      <c r="I27" s="201"/>
    </row>
    <row r="28" spans="1:12" x14ac:dyDescent="0.25">
      <c r="A28" s="200"/>
      <c r="B28" s="200"/>
      <c r="C28" s="200"/>
      <c r="D28" s="200"/>
      <c r="E28" s="200" t="s">
        <v>253</v>
      </c>
      <c r="F28" s="200"/>
      <c r="G28" s="200"/>
      <c r="H28" s="200"/>
      <c r="I28" s="201"/>
    </row>
    <row r="29" spans="1:12" x14ac:dyDescent="0.25">
      <c r="A29" s="200"/>
      <c r="B29" s="200"/>
      <c r="C29" s="200"/>
      <c r="D29" s="200"/>
      <c r="E29" s="200"/>
      <c r="F29" s="200" t="s">
        <v>254</v>
      </c>
      <c r="G29" s="200"/>
      <c r="H29" s="200"/>
      <c r="I29" s="201"/>
    </row>
    <row r="30" spans="1:12" ht="30" customHeight="1" x14ac:dyDescent="0.25">
      <c r="A30" s="200"/>
      <c r="B30" s="200"/>
      <c r="C30" s="200"/>
      <c r="D30" s="200"/>
      <c r="E30" s="200"/>
      <c r="F30" s="200"/>
      <c r="G30" s="200" t="s">
        <v>255</v>
      </c>
      <c r="H30" s="200"/>
      <c r="I30" s="201"/>
    </row>
    <row r="31" spans="1:12" x14ac:dyDescent="0.25">
      <c r="A31" s="200"/>
      <c r="B31" s="200"/>
      <c r="C31" s="200"/>
      <c r="D31" s="200"/>
      <c r="E31" s="200"/>
      <c r="F31" s="200"/>
      <c r="G31" s="200"/>
      <c r="H31" s="200" t="s">
        <v>256</v>
      </c>
      <c r="I31" s="201">
        <v>224000</v>
      </c>
    </row>
    <row r="32" spans="1:12" ht="15.75" thickBot="1" x14ac:dyDescent="0.3">
      <c r="A32" s="200"/>
      <c r="B32" s="200"/>
      <c r="C32" s="200"/>
      <c r="D32" s="200"/>
      <c r="E32" s="200"/>
      <c r="F32" s="200"/>
      <c r="G32" s="200"/>
      <c r="H32" s="200" t="s">
        <v>292</v>
      </c>
      <c r="I32" s="204">
        <v>37000</v>
      </c>
    </row>
    <row r="33" spans="1:12" x14ac:dyDescent="0.25">
      <c r="A33" s="200"/>
      <c r="B33" s="200"/>
      <c r="C33" s="200"/>
      <c r="D33" s="200"/>
      <c r="E33" s="200"/>
      <c r="F33" s="200"/>
      <c r="G33" s="200" t="s">
        <v>257</v>
      </c>
      <c r="H33" s="200"/>
      <c r="I33" s="201">
        <f>ROUND(SUM(I30:I32),5)</f>
        <v>261000</v>
      </c>
    </row>
    <row r="34" spans="1:12" x14ac:dyDescent="0.25">
      <c r="A34" s="200"/>
      <c r="B34" s="200"/>
      <c r="C34" s="200"/>
      <c r="D34" s="200"/>
      <c r="E34" s="200"/>
      <c r="F34" s="200"/>
      <c r="G34" s="200" t="s">
        <v>258</v>
      </c>
      <c r="H34" s="200"/>
      <c r="I34" s="201"/>
    </row>
    <row r="35" spans="1:12" ht="30" customHeight="1" x14ac:dyDescent="0.25">
      <c r="A35" s="200"/>
      <c r="B35" s="200"/>
      <c r="C35" s="200"/>
      <c r="D35" s="200"/>
      <c r="E35" s="200"/>
      <c r="F35" s="200"/>
      <c r="G35" s="200"/>
      <c r="H35" s="200" t="s">
        <v>259</v>
      </c>
      <c r="I35" s="201">
        <v>604</v>
      </c>
      <c r="L35" s="223"/>
    </row>
    <row r="36" spans="1:12" ht="15.75" thickBot="1" x14ac:dyDescent="0.3">
      <c r="A36" s="200"/>
      <c r="B36" s="200"/>
      <c r="C36" s="200"/>
      <c r="D36" s="200"/>
      <c r="E36" s="200"/>
      <c r="F36" s="200"/>
      <c r="G36" s="200"/>
      <c r="H36" s="200" t="s">
        <v>260</v>
      </c>
      <c r="I36" s="204">
        <v>5000</v>
      </c>
      <c r="L36" s="223"/>
    </row>
    <row r="37" spans="1:12" x14ac:dyDescent="0.25">
      <c r="A37" s="200"/>
      <c r="B37" s="200"/>
      <c r="C37" s="200"/>
      <c r="D37" s="200"/>
      <c r="E37" s="200"/>
      <c r="F37" s="200"/>
      <c r="G37" s="200" t="s">
        <v>261</v>
      </c>
      <c r="H37" s="200"/>
      <c r="I37" s="201">
        <f>ROUND(SUM(I34:I36),5)</f>
        <v>5604</v>
      </c>
      <c r="L37" s="223"/>
    </row>
    <row r="38" spans="1:12" ht="30" customHeight="1" x14ac:dyDescent="0.25">
      <c r="A38" s="200"/>
      <c r="B38" s="200"/>
      <c r="C38" s="200"/>
      <c r="D38" s="200"/>
      <c r="E38" s="200"/>
      <c r="F38" s="200"/>
      <c r="G38" s="200" t="s">
        <v>262</v>
      </c>
      <c r="H38" s="200"/>
      <c r="I38" s="201"/>
    </row>
    <row r="39" spans="1:12" x14ac:dyDescent="0.25">
      <c r="A39" s="200"/>
      <c r="B39" s="200"/>
      <c r="C39" s="200"/>
      <c r="D39" s="200"/>
      <c r="E39" s="200"/>
      <c r="F39" s="200"/>
      <c r="G39" s="200"/>
      <c r="H39" s="200" t="s">
        <v>263</v>
      </c>
      <c r="I39" s="201">
        <v>107840</v>
      </c>
    </row>
    <row r="40" spans="1:12" x14ac:dyDescent="0.25">
      <c r="A40" s="200"/>
      <c r="B40" s="200"/>
      <c r="C40" s="200"/>
      <c r="D40" s="200"/>
      <c r="E40" s="200"/>
      <c r="F40" s="200"/>
      <c r="G40" s="200"/>
      <c r="H40" s="200" t="s">
        <v>264</v>
      </c>
      <c r="I40" s="201">
        <v>1993</v>
      </c>
    </row>
    <row r="41" spans="1:12" ht="15.75" thickBot="1" x14ac:dyDescent="0.3">
      <c r="A41" s="200"/>
      <c r="B41" s="200"/>
      <c r="C41" s="200"/>
      <c r="D41" s="200"/>
      <c r="E41" s="200"/>
      <c r="F41" s="200"/>
      <c r="G41" s="200"/>
      <c r="H41" s="200" t="s">
        <v>265</v>
      </c>
      <c r="I41" s="204">
        <v>3161.58</v>
      </c>
    </row>
    <row r="42" spans="1:12" x14ac:dyDescent="0.25">
      <c r="A42" s="200"/>
      <c r="B42" s="200"/>
      <c r="C42" s="200"/>
      <c r="D42" s="200"/>
      <c r="E42" s="200"/>
      <c r="F42" s="200"/>
      <c r="G42" s="200" t="s">
        <v>266</v>
      </c>
      <c r="H42" s="200"/>
      <c r="I42" s="201">
        <f>ROUND(SUM(I38:I41),5)</f>
        <v>112994.58</v>
      </c>
    </row>
    <row r="43" spans="1:12" ht="30" customHeight="1" x14ac:dyDescent="0.25">
      <c r="A43" s="200"/>
      <c r="B43" s="200"/>
      <c r="C43" s="200"/>
      <c r="D43" s="200"/>
      <c r="E43" s="200"/>
      <c r="F43" s="200"/>
      <c r="G43" s="200" t="s">
        <v>298</v>
      </c>
      <c r="H43" s="200"/>
      <c r="I43" s="201"/>
    </row>
    <row r="44" spans="1:12" ht="15.75" thickBot="1" x14ac:dyDescent="0.3">
      <c r="A44" s="200"/>
      <c r="B44" s="200"/>
      <c r="C44" s="200"/>
      <c r="D44" s="200"/>
      <c r="E44" s="200"/>
      <c r="F44" s="200"/>
      <c r="G44" s="200"/>
      <c r="H44" s="200" t="s">
        <v>299</v>
      </c>
      <c r="I44" s="204">
        <v>120</v>
      </c>
    </row>
    <row r="45" spans="1:12" x14ac:dyDescent="0.25">
      <c r="A45" s="200"/>
      <c r="B45" s="200"/>
      <c r="C45" s="200"/>
      <c r="D45" s="200"/>
      <c r="E45" s="200"/>
      <c r="F45" s="200"/>
      <c r="G45" s="200" t="s">
        <v>300</v>
      </c>
      <c r="H45" s="200"/>
      <c r="I45" s="201">
        <f>ROUND(SUM(I43:I44),5)</f>
        <v>120</v>
      </c>
    </row>
    <row r="46" spans="1:12" x14ac:dyDescent="0.25">
      <c r="A46" s="200"/>
      <c r="B46" s="200"/>
      <c r="C46" s="200"/>
      <c r="D46" s="200"/>
      <c r="E46" s="200"/>
      <c r="F46" s="200"/>
      <c r="G46" s="200" t="s">
        <v>267</v>
      </c>
      <c r="H46" s="200"/>
      <c r="I46" s="201"/>
    </row>
    <row r="47" spans="1:12" x14ac:dyDescent="0.25">
      <c r="A47" s="200"/>
      <c r="B47" s="200"/>
      <c r="C47" s="200"/>
      <c r="D47" s="200"/>
      <c r="E47" s="200"/>
      <c r="F47" s="200"/>
      <c r="G47" s="200"/>
      <c r="H47" s="200" t="s">
        <v>268</v>
      </c>
      <c r="I47" s="201">
        <v>1673.8</v>
      </c>
    </row>
    <row r="48" spans="1:12" ht="30" customHeight="1" x14ac:dyDescent="0.25">
      <c r="A48" s="200"/>
      <c r="B48" s="200"/>
      <c r="C48" s="200"/>
      <c r="D48" s="200"/>
      <c r="E48" s="200"/>
      <c r="F48" s="200"/>
      <c r="G48" s="200"/>
      <c r="H48" s="200" t="s">
        <v>269</v>
      </c>
      <c r="I48" s="201">
        <v>6157.68</v>
      </c>
    </row>
    <row r="49" spans="1:15" ht="15.75" thickBot="1" x14ac:dyDescent="0.3">
      <c r="A49" s="200"/>
      <c r="B49" s="200"/>
      <c r="C49" s="200"/>
      <c r="D49" s="200"/>
      <c r="E49" s="200"/>
      <c r="F49" s="200"/>
      <c r="G49" s="200"/>
      <c r="H49" s="200" t="s">
        <v>271</v>
      </c>
      <c r="I49" s="240">
        <v>31578.95</v>
      </c>
    </row>
    <row r="50" spans="1:15" x14ac:dyDescent="0.25">
      <c r="A50" s="200"/>
      <c r="B50" s="200"/>
      <c r="C50" s="200"/>
      <c r="D50" s="200"/>
      <c r="E50" s="200"/>
      <c r="F50" s="200"/>
      <c r="G50" s="200" t="s">
        <v>272</v>
      </c>
      <c r="H50" s="200"/>
      <c r="I50" s="201">
        <f>ROUND(SUM(I46:I49),5)</f>
        <v>39410.43</v>
      </c>
    </row>
    <row r="51" spans="1:15" x14ac:dyDescent="0.25">
      <c r="A51" s="200"/>
      <c r="B51" s="200"/>
      <c r="C51" s="200"/>
      <c r="D51" s="200"/>
      <c r="E51" s="200"/>
      <c r="F51" s="200"/>
      <c r="G51" s="200" t="s">
        <v>273</v>
      </c>
      <c r="H51" s="200"/>
      <c r="I51" s="201"/>
    </row>
    <row r="52" spans="1:15" ht="30" customHeight="1" x14ac:dyDescent="0.25">
      <c r="A52" s="200"/>
      <c r="B52" s="200"/>
      <c r="C52" s="200"/>
      <c r="D52" s="200"/>
      <c r="E52" s="200"/>
      <c r="F52" s="200"/>
      <c r="G52" s="200"/>
      <c r="H52" s="200" t="s">
        <v>274</v>
      </c>
      <c r="I52" s="201">
        <v>550</v>
      </c>
    </row>
    <row r="53" spans="1:15" ht="15.75" thickBot="1" x14ac:dyDescent="0.3">
      <c r="A53" s="200"/>
      <c r="B53" s="200"/>
      <c r="C53" s="200"/>
      <c r="D53" s="200"/>
      <c r="E53" s="200"/>
      <c r="F53" s="200"/>
      <c r="G53" s="200"/>
      <c r="H53" s="200" t="s">
        <v>301</v>
      </c>
      <c r="I53" s="204">
        <v>5590</v>
      </c>
    </row>
    <row r="54" spans="1:15" x14ac:dyDescent="0.25">
      <c r="A54" s="200"/>
      <c r="B54" s="200"/>
      <c r="C54" s="200"/>
      <c r="D54" s="200"/>
      <c r="E54" s="200"/>
      <c r="F54" s="200"/>
      <c r="G54" s="200" t="s">
        <v>275</v>
      </c>
      <c r="H54" s="200"/>
      <c r="I54" s="201">
        <f>ROUND(SUM(I51:I53),5)</f>
        <v>6140</v>
      </c>
    </row>
    <row r="55" spans="1:15" x14ac:dyDescent="0.25">
      <c r="A55" s="200"/>
      <c r="B55" s="200"/>
      <c r="C55" s="200"/>
      <c r="D55" s="200"/>
      <c r="E55" s="200"/>
      <c r="F55" s="200"/>
      <c r="G55" s="200" t="s">
        <v>276</v>
      </c>
      <c r="H55" s="200"/>
      <c r="I55" s="201"/>
    </row>
    <row r="56" spans="1:15" x14ac:dyDescent="0.25">
      <c r="A56" s="200"/>
      <c r="B56" s="200"/>
      <c r="C56" s="200"/>
      <c r="D56" s="200"/>
      <c r="E56" s="200"/>
      <c r="F56" s="200"/>
      <c r="G56" s="200"/>
      <c r="H56" s="200" t="s">
        <v>302</v>
      </c>
      <c r="I56" s="201">
        <v>811</v>
      </c>
    </row>
    <row r="57" spans="1:15" x14ac:dyDescent="0.25">
      <c r="A57" s="200"/>
      <c r="B57" s="200"/>
      <c r="C57" s="200"/>
      <c r="D57" s="200"/>
      <c r="E57" s="200"/>
      <c r="F57" s="200"/>
      <c r="G57" s="200"/>
      <c r="H57" s="200" t="s">
        <v>277</v>
      </c>
      <c r="I57" s="201">
        <v>701.5</v>
      </c>
    </row>
    <row r="58" spans="1:15" ht="30" customHeight="1" thickBot="1" x14ac:dyDescent="0.3">
      <c r="A58" s="200"/>
      <c r="B58" s="200"/>
      <c r="C58" s="200"/>
      <c r="D58" s="200"/>
      <c r="E58" s="200"/>
      <c r="F58" s="200"/>
      <c r="G58" s="200"/>
      <c r="H58" s="200" t="s">
        <v>278</v>
      </c>
      <c r="I58" s="202">
        <v>800</v>
      </c>
    </row>
    <row r="59" spans="1:15" ht="30" customHeight="1" thickBot="1" x14ac:dyDescent="0.3">
      <c r="A59" s="200"/>
      <c r="B59" s="200"/>
      <c r="C59" s="200"/>
      <c r="D59" s="200"/>
      <c r="E59" s="200"/>
      <c r="F59" s="200"/>
      <c r="G59" s="200" t="s">
        <v>279</v>
      </c>
      <c r="H59" s="200"/>
      <c r="I59" s="83">
        <f>ROUND(SUM(I55:I58),5)</f>
        <v>2312.5</v>
      </c>
    </row>
    <row r="60" spans="1:15" ht="30" customHeight="1" x14ac:dyDescent="0.25">
      <c r="A60" s="200"/>
      <c r="B60" s="200"/>
      <c r="C60" s="200"/>
      <c r="D60" s="200"/>
      <c r="E60" s="200"/>
      <c r="F60" s="200" t="s">
        <v>280</v>
      </c>
      <c r="G60" s="200"/>
      <c r="H60" s="200"/>
      <c r="I60" s="201">
        <f>ROUND(I29+I33+I37+I42+I45+I50+I54+I59,5)</f>
        <v>427581.51</v>
      </c>
    </row>
    <row r="61" spans="1:15" s="87" customFormat="1" ht="30" customHeight="1" x14ac:dyDescent="0.25">
      <c r="A61" s="200"/>
      <c r="B61" s="200"/>
      <c r="C61" s="200"/>
      <c r="D61" s="200"/>
      <c r="E61" s="200"/>
      <c r="F61" s="200" t="s">
        <v>281</v>
      </c>
      <c r="G61" s="200"/>
      <c r="H61" s="200"/>
      <c r="I61" s="201"/>
      <c r="L61"/>
      <c r="M61"/>
      <c r="N61"/>
      <c r="O61"/>
    </row>
    <row r="62" spans="1:15" ht="15.75" thickBot="1" x14ac:dyDescent="0.3">
      <c r="A62" s="200"/>
      <c r="B62" s="200"/>
      <c r="C62" s="200"/>
      <c r="D62" s="200"/>
      <c r="E62" s="200"/>
      <c r="F62" s="200"/>
      <c r="G62" s="200" t="s">
        <v>282</v>
      </c>
      <c r="H62" s="200"/>
      <c r="I62" s="202">
        <v>4197</v>
      </c>
      <c r="L62" s="87"/>
      <c r="M62" s="87"/>
      <c r="N62" s="87"/>
      <c r="O62" s="87"/>
    </row>
    <row r="63" spans="1:15" ht="15.75" thickBot="1" x14ac:dyDescent="0.3">
      <c r="A63" s="200"/>
      <c r="B63" s="200"/>
      <c r="C63" s="200"/>
      <c r="D63" s="200"/>
      <c r="E63" s="200"/>
      <c r="F63" s="200" t="s">
        <v>283</v>
      </c>
      <c r="G63" s="200"/>
      <c r="H63" s="200"/>
      <c r="I63" s="203">
        <f>ROUND(SUM(I61:I62),5)</f>
        <v>4197</v>
      </c>
    </row>
    <row r="64" spans="1:15" ht="15.75" thickBot="1" x14ac:dyDescent="0.3">
      <c r="A64" s="200"/>
      <c r="B64" s="200"/>
      <c r="C64" s="200"/>
      <c r="D64" s="200"/>
      <c r="E64" s="200" t="s">
        <v>284</v>
      </c>
      <c r="F64" s="200"/>
      <c r="G64" s="200"/>
      <c r="H64" s="200"/>
      <c r="I64" s="203">
        <f>ROUND(I28+I60+I63,5)</f>
        <v>431778.51</v>
      </c>
    </row>
    <row r="65" spans="1:15" ht="15.75" thickBot="1" x14ac:dyDescent="0.3">
      <c r="A65" s="200"/>
      <c r="B65" s="200"/>
      <c r="C65" s="200"/>
      <c r="D65" s="200" t="s">
        <v>142</v>
      </c>
      <c r="E65" s="200"/>
      <c r="F65" s="200"/>
      <c r="G65" s="200"/>
      <c r="H65" s="200"/>
      <c r="I65" s="203">
        <f>ROUND(I27+I64,5)</f>
        <v>431778.51</v>
      </c>
    </row>
    <row r="66" spans="1:15" ht="15.75" thickBot="1" x14ac:dyDescent="0.3">
      <c r="A66" s="200"/>
      <c r="B66" s="200" t="s">
        <v>143</v>
      </c>
      <c r="C66" s="200"/>
      <c r="D66" s="200"/>
      <c r="E66" s="200"/>
      <c r="F66" s="200"/>
      <c r="G66" s="200"/>
      <c r="H66" s="200"/>
      <c r="I66" s="203">
        <f>ROUND(I2+I26-I65,5)</f>
        <v>414751.84</v>
      </c>
    </row>
    <row r="67" spans="1:15" ht="15.75" thickBot="1" x14ac:dyDescent="0.3">
      <c r="A67" s="200"/>
      <c r="B67" s="200"/>
      <c r="C67" s="200"/>
      <c r="D67" s="200"/>
      <c r="E67" s="200"/>
      <c r="F67" s="200"/>
      <c r="G67" s="200"/>
      <c r="H67" s="200"/>
      <c r="I67" s="86">
        <f>I66</f>
        <v>414751.84</v>
      </c>
    </row>
    <row r="68" spans="1:15" ht="15.75" thickTop="1" x14ac:dyDescent="0.25">
      <c r="A68" s="200"/>
    </row>
    <row r="69" spans="1:15" x14ac:dyDescent="0.25">
      <c r="A69" s="200" t="s">
        <v>144</v>
      </c>
      <c r="I69" s="185"/>
    </row>
    <row r="70" spans="1:15" x14ac:dyDescent="0.25">
      <c r="I70" s="185"/>
    </row>
    <row r="73" spans="1:15" x14ac:dyDescent="0.25">
      <c r="L73" s="87"/>
      <c r="M73" s="87"/>
      <c r="N73" s="87"/>
      <c r="O73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5</vt:i4>
      </vt:variant>
    </vt:vector>
  </HeadingPairs>
  <TitlesOfParts>
    <vt:vector size="24" baseType="lpstr">
      <vt:lpstr>KPM-Thai</vt:lpstr>
      <vt:lpstr>KPM Thai update 2015 </vt:lpstr>
      <vt:lpstr>STF 10</vt:lpstr>
      <vt:lpstr>STF P9</vt:lpstr>
      <vt:lpstr>STFP8</vt:lpstr>
      <vt:lpstr>STFP7</vt:lpstr>
      <vt:lpstr>STF P6</vt:lpstr>
      <vt:lpstr>STF P5</vt:lpstr>
      <vt:lpstr>STF P4</vt:lpstr>
      <vt:lpstr>STF P3</vt:lpstr>
      <vt:lpstr>STF P2</vt:lpstr>
      <vt:lpstr>STF P1</vt:lpstr>
      <vt:lpstr>KPM Thai update 2014 </vt:lpstr>
      <vt:lpstr>Sheet1</vt:lpstr>
      <vt:lpstr>Summary Thai</vt:lpstr>
      <vt:lpstr>P&amp;L'13 Thai</vt:lpstr>
      <vt:lpstr>P&amp;L Thai'13 update 27.1.14</vt:lpstr>
      <vt:lpstr>Summary Thai update 27.1.14</vt:lpstr>
      <vt:lpstr>Appportionment Basis-Common cos</vt:lpstr>
      <vt:lpstr>'STF 10'!Print_Titles</vt:lpstr>
      <vt:lpstr>'STF P6'!Print_Titles</vt:lpstr>
      <vt:lpstr>'STF P9'!Print_Titles</vt:lpstr>
      <vt:lpstr>STFP7!Print_Titles</vt:lpstr>
      <vt:lpstr>STFP8!Print_Titles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Edward Gawlik</dc:creator>
  <cp:lastModifiedBy>Chathurangani</cp:lastModifiedBy>
  <cp:lastPrinted>2014-11-14T00:19:24Z</cp:lastPrinted>
  <dcterms:created xsi:type="dcterms:W3CDTF">2012-12-13T14:40:52Z</dcterms:created>
  <dcterms:modified xsi:type="dcterms:W3CDTF">2016-11-12T14:32:48Z</dcterms:modified>
</cp:coreProperties>
</file>