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drawings/drawing2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5.xml" ContentType="application/vnd.openxmlformats-officedocument.drawing+xml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ports\KPM\TEKSS\KPM TKSS\"/>
    </mc:Choice>
  </mc:AlternateContent>
  <bookViews>
    <workbookView xWindow="0" yWindow="975" windowWidth="19155" windowHeight="7125" tabRatio="709" firstSheet="5" activeTab="5"/>
  </bookViews>
  <sheets>
    <sheet name="KPM" sheetId="1" state="hidden" r:id="rId1"/>
    <sheet name="Summary" sheetId="2" state="hidden" r:id="rId2"/>
    <sheet name="P&amp;L2013" sheetId="3" state="hidden" r:id="rId3"/>
    <sheet name="P&amp;L13 update 27.1.14" sheetId="4" state="hidden" r:id="rId4"/>
    <sheet name="Summary Update 27.1.14" sheetId="5" state="hidden" r:id="rId5"/>
    <sheet name="KPM -  TeKSS " sheetId="33" r:id="rId6"/>
    <sheet name="P10" sheetId="53" r:id="rId7"/>
    <sheet name="P9" sheetId="52" r:id="rId8"/>
    <sheet name="P8" sheetId="51" r:id="rId9"/>
    <sheet name="P7" sheetId="50" r:id="rId10"/>
    <sheet name="P6" sheetId="49" r:id="rId11"/>
    <sheet name="P5" sheetId="48" r:id="rId12"/>
    <sheet name="P4" sheetId="47" r:id="rId13"/>
    <sheet name="P3" sheetId="46" r:id="rId14"/>
    <sheet name="P2" sheetId="45" r:id="rId15"/>
    <sheet name="P1" sheetId="44" r:id="rId16"/>
    <sheet name="KPM update - TFI " sheetId="6" state="hidden" r:id="rId17"/>
    <sheet name="TFI - Jan 2nd to 29th -  QB " sheetId="26" state="hidden" r:id="rId18"/>
    <sheet name="KPM update - TeKSS" sheetId="31" state="hidden" r:id="rId19"/>
    <sheet name="TFI &amp; TeKSS- Jul 3 - Jul 30" sheetId="43" state="hidden" r:id="rId20"/>
    <sheet name="TFI Apr3-Apr30" sheetId="39" state="hidden" r:id="rId21"/>
    <sheet name="KPM update 2014" sheetId="27" state="hidden" r:id="rId22"/>
    <sheet name="Salary Breakdown" sheetId="29" state="hidden" r:id="rId23"/>
    <sheet name="Appportionment Basis-Common cos" sheetId="34" state="hidden" r:id="rId24"/>
    <sheet name="Mail from Sam" sheetId="30" state="hidden" r:id="rId25"/>
  </sheets>
  <externalReferences>
    <externalReference r:id="rId26"/>
    <externalReference r:id="rId27"/>
  </externalReferences>
  <definedNames>
    <definedName name="_xlnm.Print_Area" localSheetId="5">'KPM -  TeKSS '!$A$1:$Q$21</definedName>
    <definedName name="_xlnm.Print_Titles" localSheetId="10">'P6'!$A:$H,'P6'!$1:$2</definedName>
    <definedName name="_xlnm.Print_Titles" localSheetId="8">'P8'!$A:$I,'P8'!$1:$1</definedName>
    <definedName name="_xlnm.Print_Titles" localSheetId="7">'P9'!$A:$I,'P9'!$1:$1</definedName>
    <definedName name="_xlnm.Print_Titles" localSheetId="17">'TFI - Jan 2nd to 29th -  QB '!$A:$I,'TFI - Jan 2nd to 29th -  QB '!$2:$2</definedName>
    <definedName name="_xlnm.Print_Titles" localSheetId="19">'TFI &amp; TeKSS- Jul 3 - Jul 30'!#REF!,'TFI &amp; TeKSS- Jul 3 - Jul 30'!$4:$4</definedName>
    <definedName name="QB_COLUMN_29" localSheetId="8" hidden="1">'P8'!$J$1</definedName>
    <definedName name="QB_COLUMN_29" localSheetId="7" hidden="1">'P9'!$J$1</definedName>
    <definedName name="QB_COLUMN_29" localSheetId="17" hidden="1">'TFI - Jan 2nd to 29th -  QB '!$J$2</definedName>
    <definedName name="QB_COLUMN_29" localSheetId="19" hidden="1">'TFI &amp; TeKSS- Jul 3 - Jul 30'!#REF!</definedName>
    <definedName name="QB_COLUMN_59200" localSheetId="10" hidden="1">'P6'!$I$2</definedName>
    <definedName name="QB_COLUMN_64910" localSheetId="10" hidden="1">'P6'!$K$2</definedName>
    <definedName name="QB_DATA_0" localSheetId="10" hidden="1">'P6'!$6:$6,'P6'!$7:$7,'P6'!$8:$8,'P6'!$9:$9,'P6'!$10:$10,'P6'!$17:$17,'P6'!$18:$18,'P6'!$20:$20,'P6'!$21:$21,'P6'!$24:$24,'P6'!$26:$26,'P6'!$27:$27,'P6'!$28:$28,'P6'!$30:$30,'P6'!$31:$31,'P6'!$32:$32</definedName>
    <definedName name="QB_DATA_0" localSheetId="8" hidden="1">'P8'!$5:$5,'P8'!$6:$6,'P8'!$7:$7,'P8'!$8:$8,'P8'!$12:$12,'P8'!$19:$19,'P8'!$20:$20,'P8'!$22:$22,'P8'!$23:$23,'P8'!$24:$24,'P8'!$25:$25,'P8'!$26:$26,'P8'!$29:$29,'P8'!$30:$30,'P8'!$31:$31,'P8'!$34:$34</definedName>
    <definedName name="QB_DATA_0" localSheetId="7" hidden="1">'P9'!$5:$5,'P9'!$6:$6,'P9'!$7:$7,'P9'!$8:$8,'P9'!$9:$9,'P9'!$14:$14,'P9'!$18:$18,'P9'!$19:$19,'P9'!$22:$22,'P9'!$23:$23,'P9'!$25:$25,'P9'!$26:$26,'P9'!$27:$27,'P9'!$28:$28,'P9'!$29:$29,'P9'!$32:$32</definedName>
    <definedName name="QB_DATA_0" localSheetId="17" hidden="1">'TFI - Jan 2nd to 29th -  QB '!$6:$6,'TFI - Jan 2nd to 29th -  QB '!$7:$7,'TFI - Jan 2nd to 29th -  QB '!$8:$8,'TFI - Jan 2nd to 29th -  QB '!$9:$9,'TFI - Jan 2nd to 29th -  QB '!$10:$10,'TFI - Jan 2nd to 29th -  QB '!$11:$11,'TFI - Jan 2nd to 29th -  QB '!$13:$13,'TFI - Jan 2nd to 29th -  QB '!$14:$14,'TFI - Jan 2nd to 29th -  QB '!$15:$15,'TFI - Jan 2nd to 29th -  QB '!$16:$16,'TFI - Jan 2nd to 29th -  QB '!$17:$17,'TFI - Jan 2nd to 29th -  QB '!$18:$18,'TFI - Jan 2nd to 29th -  QB '!$19:$19,'TFI - Jan 2nd to 29th -  QB '!$20:$20,'TFI - Jan 2nd to 29th -  QB '!$21:$21,'TFI - Jan 2nd to 29th -  QB '!$22:$22</definedName>
    <definedName name="QB_DATA_0" localSheetId="19" hidden="1">'TFI &amp; TeKSS- Jul 3 - Jul 30'!$8:$8,'TFI &amp; TeKSS- Jul 3 - Jul 30'!$9:$9,'TFI &amp; TeKSS- Jul 3 - Jul 30'!$10:$10,'TFI &amp; TeKSS- Jul 3 - Jul 30'!$11:$11,'TFI &amp; TeKSS- Jul 3 - Jul 30'!$12:$12,'TFI &amp; TeKSS- Jul 3 - Jul 30'!$14:$14,'TFI &amp; TeKSS- Jul 3 - Jul 30'!$15:$15,'TFI &amp; TeKSS- Jul 3 - Jul 30'!$16:$16,'TFI &amp; TeKSS- Jul 3 - Jul 30'!$17:$17,'TFI &amp; TeKSS- Jul 3 - Jul 30'!$18:$18,'TFI &amp; TeKSS- Jul 3 - Jul 30'!$19:$19,'TFI &amp; TeKSS- Jul 3 - Jul 30'!$20:$20,'TFI &amp; TeKSS- Jul 3 - Jul 30'!$21:$21,'TFI &amp; TeKSS- Jul 3 - Jul 30'!$22:$22,'TFI &amp; TeKSS- Jul 3 - Jul 30'!$23:$23,'TFI &amp; TeKSS- Jul 3 - Jul 30'!$24:$24</definedName>
    <definedName name="QB_DATA_1" localSheetId="10" hidden="1">'P6'!$33:$33,'P6'!$34:$34,'P6'!$35:$35,'P6'!$36:$36,'P6'!$37:$37,'P6'!$38:$38,'P6'!$39:$39,'P6'!$40:$40,'P6'!$41:$41,'P6'!$42:$42,'P6'!$43:$43,'P6'!$44:$44,'P6'!$45:$45,'P6'!$46:$46,'P6'!$48:$48,'P6'!$49:$49</definedName>
    <definedName name="QB_DATA_1" localSheetId="8" hidden="1">'P8'!$35:$35,'P8'!$36:$36,'P8'!$39:$39,'P8'!$40:$40,'P8'!$41:$41,'P8'!$44:$44,'P8'!$45:$45,'P8'!$46:$46,'P8'!$49:$49,'P8'!$50:$50,'P8'!$51:$51,'P8'!$54:$54,'P8'!$55:$55,'P8'!$56:$56,'P8'!$57:$57,'P8'!$60:$60</definedName>
    <definedName name="QB_DATA_1" localSheetId="7" hidden="1">'P9'!$33:$33,'P9'!$34:$34,'P9'!$35:$35,'P9'!$38:$38,'P9'!$41:$41,'P9'!$42:$42,'P9'!$43:$43,'P9'!$46:$46,'P9'!$47:$47,'P9'!$48:$48,'P9'!$49:$49,'P9'!$52:$52,'P9'!$53:$53,'P9'!$54:$54,'P9'!$57:$57,'P9'!$58:$58</definedName>
    <definedName name="QB_DATA_1" localSheetId="17" hidden="1">'TFI - Jan 2nd to 29th -  QB '!$29:$29,'TFI - Jan 2nd to 29th -  QB '!$30:$30,'TFI - Jan 2nd to 29th -  QB '!$31:$31,'TFI - Jan 2nd to 29th -  QB '!$32:$32,'TFI - Jan 2nd to 29th -  QB '!$35:$35,'TFI - Jan 2nd to 29th -  QB '!$36:$36,'TFI - Jan 2nd to 29th -  QB '!$37:$37,'TFI - Jan 2nd to 29th -  QB '!$38:$38,'TFI - Jan 2nd to 29th -  QB '!$39:$39,'TFI - Jan 2nd to 29th -  QB '!$42:$42,'TFI - Jan 2nd to 29th -  QB '!$43:$43,'TFI - Jan 2nd to 29th -  QB '!$44:$44,'TFI - Jan 2nd to 29th -  QB '!$45:$45,'TFI - Jan 2nd to 29th -  QB '!$46:$46,'TFI - Jan 2nd to 29th -  QB '!$57:$57,'TFI - Jan 2nd to 29th -  QB '!$66:$66</definedName>
    <definedName name="QB_DATA_1" localSheetId="19" hidden="1">'TFI &amp; TeKSS- Jul 3 - Jul 30'!$31:$31,'TFI &amp; TeKSS- Jul 3 - Jul 30'!$32:$32,'TFI &amp; TeKSS- Jul 3 - Jul 30'!$33:$33,'TFI &amp; TeKSS- Jul 3 - Jul 30'!$34:$34,'TFI &amp; TeKSS- Jul 3 - Jul 30'!$37:$37,'TFI &amp; TeKSS- Jul 3 - Jul 30'!$38:$38,'TFI &amp; TeKSS- Jul 3 - Jul 30'!$39:$39,'TFI &amp; TeKSS- Jul 3 - Jul 30'!$40:$40,'TFI &amp; TeKSS- Jul 3 - Jul 30'!$41:$41,'TFI &amp; TeKSS- Jul 3 - Jul 30'!$42:$42,'TFI &amp; TeKSS- Jul 3 - Jul 30'!$43:$43,'TFI &amp; TeKSS- Jul 3 - Jul 30'!$44:$44,'TFI &amp; TeKSS- Jul 3 - Jul 30'!$45:$45,'TFI &amp; TeKSS- Jul 3 - Jul 30'!$46:$46,'TFI &amp; TeKSS- Jul 3 - Jul 30'!$47:$47,'TFI &amp; TeKSS- Jul 3 - Jul 30'!$48:$48</definedName>
    <definedName name="QB_DATA_2" localSheetId="10" hidden="1">'P6'!$53:$53,'P6'!$55:$55,'P6'!$58:$58,'P6'!$59:$59,'P6'!$60:$60,'P6'!$61:$61,'P6'!$62:$62,'P6'!$65:$65,'P6'!$67:$67,'P6'!$69:$69,'P6'!$70:$70,'P6'!$71:$71,'P6'!$74:$74,'P6'!$75:$75,'P6'!$76:$76,'P6'!$77:$77</definedName>
    <definedName name="QB_DATA_2" localSheetId="8" hidden="1">'P8'!$61:$61,'P8'!$64:$64,'P8'!$65:$65,'P8'!$66:$66,'P8'!$69:$69,'P8'!$70:$70,'P8'!$71:$71,'P8'!$74:$74,'P8'!$75:$75,'P8'!$76:$76,'P8'!$77:$77,'P8'!$80:$80,'P8'!$81:$81,'P8'!$82:$82,'P8'!$85:$85,'P8'!$86:$86</definedName>
    <definedName name="QB_DATA_2" localSheetId="7" hidden="1">'P9'!$59:$59,'P9'!$60:$60,'P9'!$63:$63,'P9'!$64:$64,'P9'!$65:$65,'P9'!$66:$66,'P9'!$69:$69,'P9'!$70:$70,'P9'!$71:$71,'P9'!$72:$72,'P9'!$75:$75,'P9'!$76:$76,'P9'!$77:$77,'P9'!$78:$78,'P9'!$81:$81,'P9'!$82:$82</definedName>
    <definedName name="QB_DATA_2" localSheetId="17" hidden="1">'TFI - Jan 2nd to 29th -  QB '!$67:$67,'TFI - Jan 2nd to 29th -  QB '!$68:$68,'TFI - Jan 2nd to 29th -  QB '!$69:$69,'TFI - Jan 2nd to 29th -  QB '!$71:$71,'TFI - Jan 2nd to 29th -  QB '!$73:$73,'TFI - Jan 2nd to 29th -  QB '!$74:$74,'TFI - Jan 2nd to 29th -  QB '!$85:$85,'TFI - Jan 2nd to 29th -  QB '!$86:$86,'TFI - Jan 2nd to 29th -  QB '!$87:$87,'TFI - Jan 2nd to 29th -  QB '!$90:$90,'TFI - Jan 2nd to 29th -  QB '!$91:$91,'TFI - Jan 2nd to 29th -  QB '!$92:$92,'TFI - Jan 2nd to 29th -  QB '!$93:$93,'TFI - Jan 2nd to 29th -  QB '!$94:$94,'TFI - Jan 2nd to 29th -  QB '!$97:$97,'TFI - Jan 2nd to 29th -  QB '!$98:$98</definedName>
    <definedName name="QB_DATA_2" localSheetId="19" hidden="1">'TFI &amp; TeKSS- Jul 3 - Jul 30'!$51:$51,'TFI &amp; TeKSS- Jul 3 - Jul 30'!$52:$52,'TFI &amp; TeKSS- Jul 3 - Jul 30'!$55:$55,'TFI &amp; TeKSS- Jul 3 - Jul 30'!$56:$56,'TFI &amp; TeKSS- Jul 3 - Jul 30'!$57:$57,'TFI &amp; TeKSS- Jul 3 - Jul 30'!$58:$58,'TFI &amp; TeKSS- Jul 3 - Jul 30'!$59:$59,'TFI &amp; TeKSS- Jul 3 - Jul 30'!$60:$60,'TFI &amp; TeKSS- Jul 3 - Jul 30'!$63:$63,'TFI &amp; TeKSS- Jul 3 - Jul 30'!$64:$64,'TFI &amp; TeKSS- Jul 3 - Jul 30'!$73:$73,'TFI &amp; TeKSS- Jul 3 - Jul 30'!$74:$74,'TFI &amp; TeKSS- Jul 3 - Jul 30'!$75:$75,'TFI &amp; TeKSS- Jul 3 - Jul 30'!$76:$76,'TFI &amp; TeKSS- Jul 3 - Jul 30'!$78:$78,'TFI &amp; TeKSS- Jul 3 - Jul 30'!$79:$79</definedName>
    <definedName name="QB_DATA_3" localSheetId="10" hidden="1">'P6'!$81:$81</definedName>
    <definedName name="QB_DATA_3" localSheetId="8" hidden="1">'P8'!$87:$87,'P8'!$90:$90,'P8'!$91:$91,'P8'!$92:$92,'P8'!$95:$95,'P8'!$96:$96,'P8'!$97:$97,'P8'!$100:$100,'P8'!$101:$101,'P8'!$102:$102,'P8'!$103:$103,'P8'!$106:$106,'P8'!$107:$107,'P8'!$108:$108,'P8'!$111:$111,'P8'!$112:$112</definedName>
    <definedName name="QB_DATA_3" localSheetId="7" hidden="1">'P9'!$83:$83,'P9'!$84:$84,'P9'!$87:$87,'P9'!$88:$88,'P9'!$89:$89,'P9'!$90:$90,'P9'!$93:$93,'P9'!$94:$94,'P9'!$95:$95,'P9'!$98:$98,'P9'!$99:$99,'P9'!$100:$100,'P9'!$101:$101,'P9'!$104:$104,'P9'!$105:$105,'P9'!$106:$106</definedName>
    <definedName name="QB_DATA_3" localSheetId="17" hidden="1">'TFI - Jan 2nd to 29th -  QB '!$99:$99,'TFI - Jan 2nd to 29th -  QB '!$100:$100,'TFI - Jan 2nd to 29th -  QB '!$105:$105,'TFI - Jan 2nd to 29th -  QB '!$106:$106,'TFI - Jan 2nd to 29th -  QB '!$107:$107,'TFI - Jan 2nd to 29th -  QB '!$108:$108,'TFI - Jan 2nd to 29th -  QB '!$109:$109,'TFI - Jan 2nd to 29th -  QB '!$118:$118,'TFI - Jan 2nd to 29th -  QB '!$119:$119,'TFI - Jan 2nd to 29th -  QB '!$122:$122,'TFI - Jan 2nd to 29th -  QB '!$123:$123,'TFI - Jan 2nd to 29th -  QB '!$124:$124,'TFI - Jan 2nd to 29th -  QB '!$127:$127,'TFI - Jan 2nd to 29th -  QB '!$128:$128,'TFI - Jan 2nd to 29th -  QB '!$129:$129,'TFI - Jan 2nd to 29th -  QB '!$132:$132</definedName>
    <definedName name="QB_DATA_3" localSheetId="19" hidden="1">'TFI &amp; TeKSS- Jul 3 - Jul 30'!$81:$81,'TFI &amp; TeKSS- Jul 3 - Jul 30'!$82:$82,'TFI &amp; TeKSS- Jul 3 - Jul 30'!$84:$84,'TFI &amp; TeKSS- Jul 3 - Jul 30'!$88:$88,'TFI &amp; TeKSS- Jul 3 - Jul 30'!$89:$89,'TFI &amp; TeKSS- Jul 3 - Jul 30'!$90:$90,'TFI &amp; TeKSS- Jul 3 - Jul 30'!$91:$91,'TFI &amp; TeKSS- Jul 3 - Jul 30'!$92:$92,'TFI &amp; TeKSS- Jul 3 - Jul 30'!$93:$93,'TFI &amp; TeKSS- Jul 3 - Jul 30'!$96:$96,'TFI &amp; TeKSS- Jul 3 - Jul 30'!$97:$97,'TFI &amp; TeKSS- Jul 3 - Jul 30'!$270:$270,'TFI &amp; TeKSS- Jul 3 - Jul 30'!$271:$271,'TFI &amp; TeKSS- Jul 3 - Jul 30'!$102:$102,'TFI &amp; TeKSS- Jul 3 - Jul 30'!$103:$103,'TFI &amp; TeKSS- Jul 3 - Jul 30'!$104:$104</definedName>
    <definedName name="QB_DATA_4" localSheetId="8" hidden="1">'P8'!$113:$113,'P8'!$116:$116,'P8'!$117:$117,'P8'!$121:$121,'P8'!$123:$123,'P8'!$124:$124,'P8'!$125:$125,'P8'!$128:$128,'P8'!$131:$131,'P8'!$134:$134,'P8'!$135:$135,'P8'!$136:$136,'P8'!$137:$137,'P8'!$141:$141</definedName>
    <definedName name="QB_DATA_4" localSheetId="7" hidden="1">'P9'!$107:$107,'P9'!$110:$110,'P9'!$111:$111,'P9'!$112:$112,'P9'!$113:$113,'P9'!$116:$116,'P9'!$117:$117,'P9'!$118:$118,'P9'!$119:$119,'P9'!$122:$122,'P9'!$123:$123,'P9'!$124:$124,'P9'!$125:$125,'P9'!$128:$128,'P9'!$129:$129,'P9'!$130:$130</definedName>
    <definedName name="QB_DATA_4" localSheetId="17" hidden="1">'TFI - Jan 2nd to 29th -  QB '!$137:$137,'TFI - Jan 2nd to 29th -  QB '!$138:$138,'TFI - Jan 2nd to 29th -  QB '!$139:$139,'TFI - Jan 2nd to 29th -  QB '!$145:$145,'TFI - Jan 2nd to 29th -  QB '!$151:$151,'TFI - Jan 2nd to 29th -  QB '!$175:$175,'TFI - Jan 2nd to 29th -  QB '!$176:$176,'TFI - Jan 2nd to 29th -  QB '!$177:$177,'TFI - Jan 2nd to 29th -  QB '!$181:$181,'TFI - Jan 2nd to 29th -  QB '!$191:$191,'TFI - Jan 2nd to 29th -  QB '!$196:$196,'TFI - Jan 2nd to 29th -  QB '!$197:$197,'TFI - Jan 2nd to 29th -  QB '!$198:$198,'TFI - Jan 2nd to 29th -  QB '!$199:$199,'TFI - Jan 2nd to 29th -  QB '!$200:$200,'TFI - Jan 2nd to 29th -  QB '!$201:$201</definedName>
    <definedName name="QB_DATA_4" localSheetId="19" hidden="1">'TFI &amp; TeKSS- Jul 3 - Jul 30'!$105:$105,'TFI &amp; TeKSS- Jul 3 - Jul 30'!$108:$108,'TFI &amp; TeKSS- Jul 3 - Jul 30'!$109:$109,'TFI &amp; TeKSS- Jul 3 - Jul 30'!$110:$110,'TFI &amp; TeKSS- Jul 3 - Jul 30'!$113:$113,'TFI &amp; TeKSS- Jul 3 - Jul 30'!$118:$118,'TFI &amp; TeKSS- Jul 3 - Jul 30'!$119:$119,'TFI &amp; TeKSS- Jul 3 - Jul 30'!$120:$120,'TFI &amp; TeKSS- Jul 3 - Jul 30'!$121:$121,'TFI &amp; TeKSS- Jul 3 - Jul 30'!$122:$122,'TFI &amp; TeKSS- Jul 3 - Jul 30'!$127:$127,'TFI &amp; TeKSS- Jul 3 - Jul 30'!$128:$128,'TFI &amp; TeKSS- Jul 3 - Jul 30'!$129:$129,'TFI &amp; TeKSS- Jul 3 - Jul 30'!$130:$130,'TFI &amp; TeKSS- Jul 3 - Jul 30'!$134:$134,'TFI &amp; TeKSS- Jul 3 - Jul 30'!$135:$135</definedName>
    <definedName name="QB_DATA_5" localSheetId="7" hidden="1">'P9'!$134:$134,'P9'!$135:$135,'P9'!$137:$137,'P9'!$138:$138,'P9'!$139:$139,'P9'!$140:$140,'P9'!$141:$141,'P9'!$142:$142,'P9'!$145:$145,'P9'!$148:$148,'P9'!$150:$150,'P9'!$152:$152,'P9'!$153:$153,'P9'!$156:$156,'P9'!$157:$157,'P9'!$158:$158</definedName>
    <definedName name="QB_DATA_5" localSheetId="17" hidden="1">'TFI - Jan 2nd to 29th -  QB '!$205:$205,'TFI - Jan 2nd to 29th -  QB '!$206:$206,'TFI - Jan 2nd to 29th -  QB '!$209:$209,'TFI - Jan 2nd to 29th -  QB '!$210:$210,'TFI - Jan 2nd to 29th -  QB '!$215:$215,'TFI - Jan 2nd to 29th -  QB '!$216:$216,'TFI - Jan 2nd to 29th -  QB '!$219:$219,'TFI - Jan 2nd to 29th -  QB '!$222:$222,'TFI - Jan 2nd to 29th -  QB '!$223:$223,'TFI - Jan 2nd to 29th -  QB '!$224:$224,'TFI - Jan 2nd to 29th -  QB '!$225:$225,'TFI - Jan 2nd to 29th -  QB '!$234:$234,'TFI - Jan 2nd to 29th -  QB '!$238:$238</definedName>
    <definedName name="QB_DATA_5" localSheetId="19" hidden="1">'TFI &amp; TeKSS- Jul 3 - Jul 30'!$137:$137,'TFI &amp; TeKSS- Jul 3 - Jul 30'!$138:$138,'TFI &amp; TeKSS- Jul 3 - Jul 30'!$139:$139,'TFI &amp; TeKSS- Jul 3 - Jul 30'!$140:$140,'TFI &amp; TeKSS- Jul 3 - Jul 30'!$141:$141,'TFI &amp; TeKSS- Jul 3 - Jul 30'!$144:$144,'TFI &amp; TeKSS- Jul 3 - Jul 30'!$145:$145,'TFI &amp; TeKSS- Jul 3 - Jul 30'!$146:$146,'TFI &amp; TeKSS- Jul 3 - Jul 30'!$147:$147,'TFI &amp; TeKSS- Jul 3 - Jul 30'!$150:$150,'TFI &amp; TeKSS- Jul 3 - Jul 30'!$155:$155,'TFI &amp; TeKSS- Jul 3 - Jul 30'!$163:$163,'TFI &amp; TeKSS- Jul 3 - Jul 30'!$164:$164,'TFI &amp; TeKSS- Jul 3 - Jul 30'!$176:$176,'TFI &amp; TeKSS- Jul 3 - Jul 30'!$179:$179,'TFI &amp; TeKSS- Jul 3 - Jul 30'!$183:$183</definedName>
    <definedName name="QB_DATA_6" localSheetId="7" hidden="1">'P9'!$159:$159,'P9'!$160:$160,'P9'!$164:$164,'P9'!$165:$165,'P9'!$166:$166</definedName>
    <definedName name="QB_DATA_6" localSheetId="19" hidden="1">'TFI &amp; TeKSS- Jul 3 - Jul 30'!$184:$184,'TFI &amp; TeKSS- Jul 3 - Jul 30'!$185:$185,'TFI &amp; TeKSS- Jul 3 - Jul 30'!$186:$186,'TFI &amp; TeKSS- Jul 3 - Jul 30'!$191:$191,'TFI &amp; TeKSS- Jul 3 - Jul 30'!$193:$193,'TFI &amp; TeKSS- Jul 3 - Jul 30'!$194:$194,'TFI &amp; TeKSS- Jul 3 - Jul 30'!$206:$206,'TFI &amp; TeKSS- Jul 3 - Jul 30'!$207:$207,'TFI &amp; TeKSS- Jul 3 - Jul 30'!$208:$208,'TFI &amp; TeKSS- Jul 3 - Jul 30'!#REF!,'TFI &amp; TeKSS- Jul 3 - Jul 30'!#REF!,'TFI &amp; TeKSS- Jul 3 - Jul 30'!#REF!,'TFI &amp; TeKSS- Jul 3 - Jul 30'!#REF!,'TFI &amp; TeKSS- Jul 3 - Jul 30'!#REF!,'TFI &amp; TeKSS- Jul 3 - Jul 30'!#REF!,'TFI &amp; TeKSS- Jul 3 - Jul 30'!#REF!</definedName>
    <definedName name="QB_DATA_7" localSheetId="19" hidden="1">'TFI &amp; TeKSS- Jul 3 - Jul 30'!#REF!,'TFI &amp; TeKSS- Jul 3 - Jul 30'!#REF!,'TFI &amp; TeKSS- Jul 3 - Jul 30'!#REF!,'TFI &amp; TeKSS- Jul 3 - Jul 30'!#REF!,'TFI &amp; TeKSS- Jul 3 - Jul 30'!#REF!,'TFI &amp; TeKSS- Jul 3 - Jul 30'!#REF!,'TFI &amp; TeKSS- Jul 3 - Jul 30'!#REF!,'TFI &amp; TeKSS- Jul 3 - Jul 30'!#REF!,'TFI &amp; TeKSS- Jul 3 - Jul 30'!#REF!,'TFI &amp; TeKSS- Jul 3 - Jul 30'!#REF!,'TFI &amp; TeKSS- Jul 3 - Jul 30'!#REF!,'TFI &amp; TeKSS- Jul 3 - Jul 30'!#REF!,'TFI &amp; TeKSS- Jul 3 - Jul 30'!#REF!,'TFI &amp; TeKSS- Jul 3 - Jul 30'!#REF!,'TFI &amp; TeKSS- Jul 3 - Jul 30'!#REF!,'TFI &amp; TeKSS- Jul 3 - Jul 30'!#REF!</definedName>
    <definedName name="QB_DATA_8" localSheetId="19" hidden="1">'TFI &amp; TeKSS- Jul 3 - Jul 30'!#REF!,'TFI &amp; TeKSS- Jul 3 - Jul 30'!#REF!,'TFI &amp; TeKSS- Jul 3 - Jul 30'!#REF!,'TFI &amp; TeKSS- Jul 3 - Jul 30'!#REF!,'TFI &amp; TeKSS- Jul 3 - Jul 30'!#REF!</definedName>
    <definedName name="QB_FORMULA_0" localSheetId="10" hidden="1">'P6'!$K$6,'P6'!$K$7,'P6'!$K$8,'P6'!$K$9,'P6'!$K$10,'P6'!$I$11,'P6'!$K$11,'P6'!$I$12,'P6'!$K$12,'P6'!$I$13,'P6'!$K$13,'P6'!$K$17,'P6'!$K$18,'P6'!$K$20,'P6'!$K$21,'P6'!$I$22</definedName>
    <definedName name="QB_FORMULA_0" localSheetId="8" hidden="1">'P8'!$J$9,'P8'!$J$10,'P8'!$J$13,'P8'!$J$14,'P8'!$J$21,'P8'!$J$32,'P8'!$J$37,'P8'!$J$42,'P8'!$J$47,'P8'!$J$52,'P8'!$J$58,'P8'!$J$62,'P8'!$J$67,'P8'!$J$72,'P8'!$J$78,'P8'!$J$83</definedName>
    <definedName name="QB_FORMULA_0" localSheetId="7" hidden="1">'P9'!$J$10,'P9'!$J$11,'P9'!$J$12,'P9'!$J$20,'P9'!$J$24,'P9'!$J$36,'P9'!$J$39,'P9'!$J$44,'P9'!$J$50,'P9'!$J$55,'P9'!$J$61,'P9'!$J$67,'P9'!$J$73,'P9'!$J$79,'P9'!$J$85,'P9'!$J$91</definedName>
    <definedName name="QB_FORMULA_0" localSheetId="17" hidden="1">'TFI - Jan 2nd to 29th -  QB '!$J$23,'TFI - Jan 2nd to 29th -  QB '!$J$24,'TFI - Jan 2nd to 29th -  QB '!$J$25,'TFI - Jan 2nd to 29th -  QB '!$J$33,'TFI - Jan 2nd to 29th -  QB '!$J$40,'TFI - Jan 2nd to 29th -  QB '!$J$47,'TFI - Jan 2nd to 29th -  QB '!$J$58,'TFI - Jan 2nd to 29th -  QB '!$J$59,'TFI - Jan 2nd to 29th -  QB '!$J$60,'TFI - Jan 2nd to 29th -  QB '!$J$61,'TFI - Jan 2nd to 29th -  QB '!$J$72,'TFI - Jan 2nd to 29th -  QB '!$J$75,'TFI - Jan 2nd to 29th -  QB '!$J$88,'TFI - Jan 2nd to 29th -  QB '!$J$95,'TFI - Jan 2nd to 29th -  QB '!$J$101,'TFI - Jan 2nd to 29th -  QB '!$J$102</definedName>
    <definedName name="QB_FORMULA_0" localSheetId="19" hidden="1">'TFI &amp; TeKSS- Jul 3 - Jul 30'!#REF!,'TFI &amp; TeKSS- Jul 3 - Jul 30'!#REF!,'TFI &amp; TeKSS- Jul 3 - Jul 30'!#REF!,'TFI &amp; TeKSS- Jul 3 - Jul 30'!#REF!,'TFI &amp; TeKSS- Jul 3 - Jul 30'!#REF!,'TFI &amp; TeKSS- Jul 3 - Jul 30'!#REF!,'TFI &amp; TeKSS- Jul 3 - Jul 30'!#REF!,'TFI &amp; TeKSS- Jul 3 - Jul 30'!#REF!,'TFI &amp; TeKSS- Jul 3 - Jul 30'!#REF!,'TFI &amp; TeKSS- Jul 3 - Jul 30'!#REF!,'TFI &amp; TeKSS- Jul 3 - Jul 30'!#REF!,'TFI &amp; TeKSS- Jul 3 - Jul 30'!#REF!,'TFI &amp; TeKSS- Jul 3 - Jul 30'!#REF!,'TFI &amp; TeKSS- Jul 3 - Jul 30'!#REF!,'TFI &amp; TeKSS- Jul 3 - Jul 30'!#REF!,'TFI &amp; TeKSS- Jul 3 - Jul 30'!#REF!</definedName>
    <definedName name="QB_FORMULA_1" localSheetId="10" hidden="1">'P6'!$K$22,'P6'!$K$24,'P6'!$I$25,'P6'!$K$25,'P6'!$K$26,'P6'!$K$27,'P6'!$K$28,'P6'!$K$30,'P6'!$K$31,'P6'!$K$32,'P6'!$K$33,'P6'!$K$34,'P6'!$K$35,'P6'!$K$36,'P6'!$K$37,'P6'!$K$38</definedName>
    <definedName name="QB_FORMULA_1" localSheetId="8" hidden="1">'P8'!$J$88,'P8'!$J$93,'P8'!$J$98,'P8'!$J$104,'P8'!$J$109,'P8'!$J$114,'P8'!$J$115,'P8'!$J$118,'P8'!$J$122,'P8'!$J$126,'P8'!$J$129,'P8'!$J$132,'P8'!$J$138,'P8'!$J$139,'P8'!$J$142,'P8'!$J$143</definedName>
    <definedName name="QB_FORMULA_1" localSheetId="7" hidden="1">'P9'!$J$96,'P9'!$J$102,'P9'!$J$108,'P9'!$J$114,'P9'!$J$120,'P9'!$J$126,'P9'!$J$127,'P9'!$J$131,'P9'!$J$136,'P9'!$J$143,'P9'!$J$146,'P9'!$J$151,'P9'!$J$154,'P9'!$J$161,'P9'!$J$162,'P9'!$J$167</definedName>
    <definedName name="QB_FORMULA_1" localSheetId="17" hidden="1">'TFI - Jan 2nd to 29th -  QB '!$J$110,'TFI - Jan 2nd to 29th -  QB '!$J$120,'TFI - Jan 2nd to 29th -  QB '!$J$125,'TFI - Jan 2nd to 29th -  QB '!$J$130,'TFI - Jan 2nd to 29th -  QB '!$J$133,'TFI - Jan 2nd to 29th -  QB '!$J$134,'TFI - Jan 2nd to 29th -  QB '!$J$140,'TFI - Jan 2nd to 29th -  QB '!$J$147,'TFI - Jan 2nd to 29th -  QB '!$J$148,'TFI - Jan 2nd to 29th -  QB '!$J$152,'TFI - Jan 2nd to 29th -  QB '!$J$171,'TFI - Jan 2nd to 29th -  QB '!$J$178,'TFI - Jan 2nd to 29th -  QB '!$J$179,'TFI - Jan 2nd to 29th -  QB '!$J$183,'TFI - Jan 2nd to 29th -  QB '!$J$189,'TFI - Jan 2nd to 29th -  QB '!$J$192</definedName>
    <definedName name="QB_FORMULA_1" localSheetId="19" hidden="1">'TFI &amp; TeKSS- Jul 3 - Jul 30'!#REF!,'TFI &amp; TeKSS- Jul 3 - Jul 30'!#REF!,'TFI &amp; TeKSS- Jul 3 - Jul 30'!#REF!,'TFI &amp; TeKSS- Jul 3 - Jul 30'!#REF!,'TFI &amp; TeKSS- Jul 3 - Jul 30'!#REF!,'TFI &amp; TeKSS- Jul 3 - Jul 30'!#REF!,'TFI &amp; TeKSS- Jul 3 - Jul 30'!#REF!,'TFI &amp; TeKSS- Jul 3 - Jul 30'!#REF!,'TFI &amp; TeKSS- Jul 3 - Jul 30'!#REF!,'TFI &amp; TeKSS- Jul 3 - Jul 30'!#REF!,'TFI &amp; TeKSS- Jul 3 - Jul 30'!#REF!,'TFI &amp; TeKSS- Jul 3 - Jul 30'!#REF!,'TFI &amp; TeKSS- Jul 3 - Jul 30'!#REF!,'TFI &amp; TeKSS- Jul 3 - Jul 30'!#REF!,'TFI &amp; TeKSS- Jul 3 - Jul 30'!#REF!,'TFI &amp; TeKSS- Jul 3 - Jul 30'!#REF!</definedName>
    <definedName name="QB_FORMULA_2" localSheetId="10" hidden="1">'P6'!$K$39,'P6'!$K$40,'P6'!$K$41,'P6'!$K$42,'P6'!$K$43,'P6'!$K$44,'P6'!$K$45,'P6'!$K$46,'P6'!$I$47,'P6'!$K$47,'P6'!$K$48,'P6'!$K$49,'P6'!$I$50,'P6'!$K$50,'P6'!$K$53,'P6'!$I$54</definedName>
    <definedName name="QB_FORMULA_2" localSheetId="8" hidden="1">'P8'!$J$144,'P8'!$J$145</definedName>
    <definedName name="QB_FORMULA_2" localSheetId="7" hidden="1">'P9'!$J$168,'P9'!$J$169,'P9'!$J$170</definedName>
    <definedName name="QB_FORMULA_2" localSheetId="17" hidden="1">'TFI - Jan 2nd to 29th -  QB '!$J$202,'TFI - Jan 2nd to 29th -  QB '!$J$207,'TFI - Jan 2nd to 29th -  QB '!$J$213,'TFI - Jan 2nd to 29th -  QB '!$J$217,'TFI - Jan 2nd to 29th -  QB '!$J$220,'TFI - Jan 2nd to 29th -  QB '!$J$226,'TFI - Jan 2nd to 29th -  QB '!$J$227,'TFI - Jan 2nd to 29th -  QB '!$J$228,'TFI - Jan 2nd to 29th -  QB '!$J$229,'TFI - Jan 2nd to 29th -  QB '!$J$230,'TFI - Jan 2nd to 29th -  QB '!$J$235,'TFI - Jan 2nd to 29th -  QB '!$J$236,'TFI - Jan 2nd to 29th -  QB '!$J$239,'TFI - Jan 2nd to 29th -  QB '!$J$240,'TFI - Jan 2nd to 29th -  QB '!$J$241</definedName>
    <definedName name="QB_FORMULA_2" localSheetId="19" hidden="1">'TFI &amp; TeKSS- Jul 3 - Jul 30'!#REF!,'TFI &amp; TeKSS- Jul 3 - Jul 30'!#REF!,'TFI &amp; TeKSS- Jul 3 - Jul 30'!#REF!,'TFI &amp; TeKSS- Jul 3 - Jul 30'!#REF!,'TFI &amp; TeKSS- Jul 3 - Jul 30'!#REF!,'TFI &amp; TeKSS- Jul 3 - Jul 30'!#REF!,'TFI &amp; TeKSS- Jul 3 - Jul 30'!#REF!,'TFI &amp; TeKSS- Jul 3 - Jul 30'!#REF!,'TFI &amp; TeKSS- Jul 3 - Jul 30'!#REF!,'TFI &amp; TeKSS- Jul 3 - Jul 30'!#REF!,'TFI &amp; TeKSS- Jul 3 - Jul 30'!#REF!,'TFI &amp; TeKSS- Jul 3 - Jul 30'!#REF!,'TFI &amp; TeKSS- Jul 3 - Jul 30'!#REF!,'TFI &amp; TeKSS- Jul 3 - Jul 30'!#REF!,'TFI &amp; TeKSS- Jul 3 - Jul 30'!#REF!,'TFI &amp; TeKSS- Jul 3 - Jul 30'!#REF!</definedName>
    <definedName name="QB_FORMULA_3" localSheetId="10" hidden="1">'P6'!$K$54,'P6'!$K$55,'P6'!$I$56,'P6'!$K$56,'P6'!$K$58,'P6'!$K$59,'P6'!$K$60,'P6'!$K$61,'P6'!$K$62,'P6'!$I$63,'P6'!$K$63,'P6'!$K$65,'P6'!$K$67,'P6'!$I$68,'P6'!$K$68,'P6'!$K$69</definedName>
    <definedName name="QB_FORMULA_3" localSheetId="19" hidden="1">'TFI &amp; TeKSS- Jul 3 - Jul 30'!#REF!,'TFI &amp; TeKSS- Jul 3 - Jul 30'!#REF!,'TFI &amp; TeKSS- Jul 3 - Jul 30'!#REF!,'TFI &amp; TeKSS- Jul 3 - Jul 30'!#REF!,'TFI &amp; TeKSS- Jul 3 - Jul 30'!#REF!,'TFI &amp; TeKSS- Jul 3 - Jul 30'!#REF!,'TFI &amp; TeKSS- Jul 3 - Jul 30'!#REF!</definedName>
    <definedName name="QB_FORMULA_4" localSheetId="10" hidden="1">'P6'!$K$70,'P6'!$K$71,'P6'!$I$72,'P6'!$K$72,'P6'!$K$74,'P6'!$K$75,'P6'!$K$76,'P6'!$K$77,'P6'!$I$78,'P6'!$K$78,'P6'!$I$79,'P6'!$K$79,'P6'!$K$81,'P6'!$I$82,'P6'!$K$82,'P6'!$I$83</definedName>
    <definedName name="QB_FORMULA_5" localSheetId="10" hidden="1">'P6'!$K$83,'P6'!$I$84,'P6'!$K$84,'P6'!$I$85,'P6'!$K$85</definedName>
    <definedName name="QB_ROW_105260" localSheetId="8" hidden="1">'P8'!$G$128</definedName>
    <definedName name="QB_ROW_1060" localSheetId="19" hidden="1">'TFI &amp; TeKSS- Jul 3 - Jul 30'!#REF!</definedName>
    <definedName name="QB_ROW_110070" localSheetId="8" hidden="1">'P8'!$H$94</definedName>
    <definedName name="QB_ROW_110070" localSheetId="7" hidden="1">'P9'!$H$103</definedName>
    <definedName name="QB_ROW_110370" localSheetId="10" hidden="1">'P6'!$H$43</definedName>
    <definedName name="QB_ROW_110370" localSheetId="8" hidden="1">'P8'!$H$98</definedName>
    <definedName name="QB_ROW_110370" localSheetId="7" hidden="1">'P9'!$H$108</definedName>
    <definedName name="QB_ROW_111280" localSheetId="8" hidden="1">'P8'!$I$95</definedName>
    <definedName name="QB_ROW_111280" localSheetId="7" hidden="1">'P9'!$I$104</definedName>
    <definedName name="QB_ROW_112280" localSheetId="7" hidden="1">'P9'!$I$105</definedName>
    <definedName name="QB_ROW_113280" localSheetId="8" hidden="1">'P8'!$I$96</definedName>
    <definedName name="QB_ROW_113280" localSheetId="7" hidden="1">'P9'!$I$106</definedName>
    <definedName name="QB_ROW_114280" localSheetId="8" hidden="1">'P8'!$I$97</definedName>
    <definedName name="QB_ROW_114280" localSheetId="7" hidden="1">'P9'!$I$107</definedName>
    <definedName name="QB_ROW_115240" localSheetId="7" hidden="1">'P9'!$E$14</definedName>
    <definedName name="QB_ROW_119260" localSheetId="8" hidden="1">'P8'!$G$25</definedName>
    <definedName name="QB_ROW_123070" localSheetId="8" hidden="1">'P8'!$H$79</definedName>
    <definedName name="QB_ROW_123070" localSheetId="7" hidden="1">'P9'!$H$86</definedName>
    <definedName name="QB_ROW_123370" localSheetId="10" hidden="1">'P6'!$H$40</definedName>
    <definedName name="QB_ROW_123370" localSheetId="8" hidden="1">'P8'!$H$83</definedName>
    <definedName name="QB_ROW_123370" localSheetId="7" hidden="1">'P9'!$H$91</definedName>
    <definedName name="QB_ROW_124280" localSheetId="7" hidden="1">'P9'!$I$87</definedName>
    <definedName name="QB_ROW_125280" localSheetId="8" hidden="1">'P8'!$I$80</definedName>
    <definedName name="QB_ROW_125280" localSheetId="7" hidden="1">'P9'!$I$88</definedName>
    <definedName name="QB_ROW_126280" localSheetId="8" hidden="1">'P8'!$I$81</definedName>
    <definedName name="QB_ROW_126280" localSheetId="7" hidden="1">'P9'!$I$89</definedName>
    <definedName name="QB_ROW_127280" localSheetId="8" hidden="1">'P8'!$I$82</definedName>
    <definedName name="QB_ROW_127280" localSheetId="7" hidden="1">'P9'!$I$90</definedName>
    <definedName name="QB_ROW_128050" localSheetId="10" hidden="1">'P6'!$F$51</definedName>
    <definedName name="QB_ROW_128050" localSheetId="8" hidden="1">'P8'!$F$119</definedName>
    <definedName name="QB_ROW_128050" localSheetId="7" hidden="1">'P9'!$F$132</definedName>
    <definedName name="QB_ROW_128260" localSheetId="7" hidden="1">'P9'!$G$142</definedName>
    <definedName name="QB_ROW_128350" localSheetId="10" hidden="1">'P6'!$F$56</definedName>
    <definedName name="QB_ROW_128350" localSheetId="8" hidden="1">'P8'!$F$126</definedName>
    <definedName name="QB_ROW_128350" localSheetId="7" hidden="1">'P9'!$F$143</definedName>
    <definedName name="QB_ROW_129060" localSheetId="10" hidden="1">'P6'!$G$52</definedName>
    <definedName name="QB_ROW_129060" localSheetId="8" hidden="1">'P8'!$G$120</definedName>
    <definedName name="QB_ROW_129060" localSheetId="7" hidden="1">'P9'!$G$133</definedName>
    <definedName name="QB_ROW_129360" localSheetId="10" hidden="1">'P6'!$G$54</definedName>
    <definedName name="QB_ROW_129360" localSheetId="8" hidden="1">'P8'!$G$122</definedName>
    <definedName name="QB_ROW_129360" localSheetId="7" hidden="1">'P9'!$G$136</definedName>
    <definedName name="QB_ROW_13050" localSheetId="10" hidden="1">'P6'!$F$57</definedName>
    <definedName name="QB_ROW_131070" localSheetId="8" hidden="1">'P8'!$H$38</definedName>
    <definedName name="QB_ROW_131070" localSheetId="7" hidden="1">'P9'!$H$40</definedName>
    <definedName name="QB_ROW_131370" localSheetId="10" hidden="1">'P6'!$H$33</definedName>
    <definedName name="QB_ROW_131370" localSheetId="8" hidden="1">'P8'!$H$42</definedName>
    <definedName name="QB_ROW_131370" localSheetId="7" hidden="1">'P9'!$H$44</definedName>
    <definedName name="QB_ROW_133280" localSheetId="8" hidden="1">'P8'!$I$39</definedName>
    <definedName name="QB_ROW_133280" localSheetId="7" hidden="1">'P9'!$I$41</definedName>
    <definedName name="QB_ROW_13350" localSheetId="10" hidden="1">'P6'!$F$63</definedName>
    <definedName name="QB_ROW_134280" localSheetId="8" hidden="1">'P8'!$I$40</definedName>
    <definedName name="QB_ROW_134280" localSheetId="7" hidden="1">'P9'!$I$42</definedName>
    <definedName name="QB_ROW_135280" localSheetId="8" hidden="1">'P8'!$I$41</definedName>
    <definedName name="QB_ROW_135280" localSheetId="7" hidden="1">'P9'!$I$43</definedName>
    <definedName name="QB_ROW_1360" localSheetId="19" hidden="1">'TFI &amp; TeKSS- Jul 3 - Jul 30'!#REF!</definedName>
    <definedName name="QB_ROW_136070" localSheetId="8" hidden="1">'P8'!$H$99</definedName>
    <definedName name="QB_ROW_136070" localSheetId="7" hidden="1">'P9'!$H$109</definedName>
    <definedName name="QB_ROW_136370" localSheetId="10" hidden="1">'P6'!$H$44</definedName>
    <definedName name="QB_ROW_136370" localSheetId="8" hidden="1">'P8'!$H$104</definedName>
    <definedName name="QB_ROW_136370" localSheetId="7" hidden="1">'P9'!$H$114</definedName>
    <definedName name="QB_ROW_137280" localSheetId="8" hidden="1">'P8'!$I$100</definedName>
    <definedName name="QB_ROW_137280" localSheetId="7" hidden="1">'P9'!$I$110</definedName>
    <definedName name="QB_ROW_138280" localSheetId="8" hidden="1">'P8'!$I$101</definedName>
    <definedName name="QB_ROW_138280" localSheetId="7" hidden="1">'P9'!$I$111</definedName>
    <definedName name="QB_ROW_139280" localSheetId="8" hidden="1">'P8'!$I$102</definedName>
    <definedName name="QB_ROW_139280" localSheetId="7" hidden="1">'P9'!$I$112</definedName>
    <definedName name="QB_ROW_140280" localSheetId="8" hidden="1">'P8'!$I$103</definedName>
    <definedName name="QB_ROW_140280" localSheetId="7" hidden="1">'P9'!$I$113</definedName>
    <definedName name="QB_ROW_168350" localSheetId="17" hidden="1">'TFI - Jan 2nd to 29th -  QB '!$F$6</definedName>
    <definedName name="QB_ROW_168350" localSheetId="19" hidden="1">'TFI &amp; TeKSS- Jul 3 - Jul 30'!#REF!</definedName>
    <definedName name="QB_ROW_169030" localSheetId="17" hidden="1">'TFI - Jan 2nd to 29th -  QB '!$D$233</definedName>
    <definedName name="QB_ROW_169030" localSheetId="19" hidden="1">'TFI &amp; TeKSS- Jul 3 - Jul 30'!#REF!</definedName>
    <definedName name="QB_ROW_169330" localSheetId="17" hidden="1">'TFI - Jan 2nd to 29th -  QB '!$D$235</definedName>
    <definedName name="QB_ROW_169330" localSheetId="19" hidden="1">'TFI &amp; TeKSS- Jul 3 - Jul 30'!#REF!</definedName>
    <definedName name="QB_ROW_171240" localSheetId="17" hidden="1">'TFI - Jan 2nd to 29th -  QB '!$E$234</definedName>
    <definedName name="QB_ROW_172260" localSheetId="10" hidden="1">'P6'!$G$61</definedName>
    <definedName name="QB_ROW_17270" localSheetId="17" hidden="1">'TFI - Jan 2nd to 29th -  QB '!$H$223</definedName>
    <definedName name="QB_ROW_17270" localSheetId="19" hidden="1">'TFI &amp; TeKSS- Jul 3 - Jul 30'!#REF!</definedName>
    <definedName name="QB_ROW_173040" localSheetId="17" hidden="1">'TFI - Jan 2nd to 29th -  QB '!$E$63</definedName>
    <definedName name="QB_ROW_173040" localSheetId="19" hidden="1">'TFI &amp; TeKSS- Jul 3 - Jul 30'!#REF!</definedName>
    <definedName name="QB_ROW_173340" localSheetId="17" hidden="1">'TFI - Jan 2nd to 29th -  QB '!$E$228</definedName>
    <definedName name="QB_ROW_173340" localSheetId="19" hidden="1">'TFI &amp; TeKSS- Jul 3 - Jul 30'!#REF!</definedName>
    <definedName name="QB_ROW_174040" localSheetId="17" hidden="1">'TFI - Jan 2nd to 29th -  QB '!$E$27</definedName>
    <definedName name="QB_ROW_174040" localSheetId="19" hidden="1">'TFI &amp; TeKSS- Jul 3 - Jul 30'!#REF!</definedName>
    <definedName name="QB_ROW_174340" localSheetId="17" hidden="1">'TFI - Jan 2nd to 29th -  QB '!$E$59</definedName>
    <definedName name="QB_ROW_174340" localSheetId="19" hidden="1">'TFI &amp; TeKSS- Jul 3 - Jul 30'!#REF!</definedName>
    <definedName name="QB_ROW_176260" localSheetId="10" hidden="1">'P6'!$G$60</definedName>
    <definedName name="QB_ROW_181050" localSheetId="17" hidden="1">'TFI - Jan 2nd to 29th -  QB '!$F$28</definedName>
    <definedName name="QB_ROW_181050" localSheetId="19" hidden="1">'TFI &amp; TeKSS- Jul 3 - Jul 30'!#REF!</definedName>
    <definedName name="QB_ROW_181350" localSheetId="17" hidden="1">'TFI - Jan 2nd to 29th -  QB '!$F$33</definedName>
    <definedName name="QB_ROW_181350" localSheetId="19" hidden="1">'TFI &amp; TeKSS- Jul 3 - Jul 30'!#REF!</definedName>
    <definedName name="QB_ROW_182260" localSheetId="17" hidden="1">'TFI - Jan 2nd to 29th -  QB '!$G$30</definedName>
    <definedName name="QB_ROW_182260" localSheetId="19" hidden="1">'TFI &amp; TeKSS- Jul 3 - Jul 30'!#REF!</definedName>
    <definedName name="QB_ROW_18301" localSheetId="10" hidden="1">'P6'!$A$85</definedName>
    <definedName name="QB_ROW_18301" localSheetId="8" hidden="1">'P8'!$A$145</definedName>
    <definedName name="QB_ROW_18301" localSheetId="7" hidden="1">'P9'!$A$170</definedName>
    <definedName name="QB_ROW_18301" localSheetId="17" hidden="1">'TFI - Jan 2nd to 29th -  QB '!$A$241</definedName>
    <definedName name="QB_ROW_18301" localSheetId="19" hidden="1">'TFI &amp; TeKSS- Jul 3 - Jul 30'!#REF!</definedName>
    <definedName name="QB_ROW_183260" localSheetId="17" hidden="1">'TFI - Jan 2nd to 29th -  QB '!$G$29</definedName>
    <definedName name="QB_ROW_183260" localSheetId="19" hidden="1">'TFI &amp; TeKSS- Jul 3 - Jul 30'!#REF!</definedName>
    <definedName name="QB_ROW_184050" localSheetId="17" hidden="1">'TFI - Jan 2nd to 29th -  QB '!$F$41</definedName>
    <definedName name="QB_ROW_184050" localSheetId="19" hidden="1">'TFI &amp; TeKSS- Jul 3 - Jul 30'!#REF!</definedName>
    <definedName name="QB_ROW_184350" localSheetId="17" hidden="1">'TFI - Jan 2nd to 29th -  QB '!$F$47</definedName>
    <definedName name="QB_ROW_184350" localSheetId="19" hidden="1">'TFI &amp; TeKSS- Jul 3 - Jul 30'!#REF!</definedName>
    <definedName name="QB_ROW_185070" localSheetId="8" hidden="1">'P8'!$H$110</definedName>
    <definedName name="QB_ROW_185070" localSheetId="7" hidden="1">'P9'!$H$121</definedName>
    <definedName name="QB_ROW_185260" localSheetId="17" hidden="1">'TFI - Jan 2nd to 29th -  QB '!$G$42</definedName>
    <definedName name="QB_ROW_185260" localSheetId="19" hidden="1">'TFI &amp; TeKSS- Jul 3 - Jul 30'!#REF!</definedName>
    <definedName name="QB_ROW_185370" localSheetId="10" hidden="1">'P6'!$H$46</definedName>
    <definedName name="QB_ROW_185370" localSheetId="8" hidden="1">'P8'!$H$114</definedName>
    <definedName name="QB_ROW_185370" localSheetId="7" hidden="1">'P9'!$H$126</definedName>
    <definedName name="QB_ROW_186260" localSheetId="17" hidden="1">'TFI - Jan 2nd to 29th -  QB '!$G$46</definedName>
    <definedName name="QB_ROW_186280" localSheetId="8" hidden="1">'P8'!$I$111</definedName>
    <definedName name="QB_ROW_186280" localSheetId="7" hidden="1">'P9'!$I$122</definedName>
    <definedName name="QB_ROW_187050" localSheetId="17" hidden="1">'TFI - Jan 2nd to 29th -  QB '!$F$64</definedName>
    <definedName name="QB_ROW_187050" localSheetId="19" hidden="1">'TFI &amp; TeKSS- Jul 3 - Jul 30'!#REF!</definedName>
    <definedName name="QB_ROW_187350" localSheetId="17" hidden="1">'TFI - Jan 2nd to 29th -  QB '!$F$102</definedName>
    <definedName name="QB_ROW_187350" localSheetId="19" hidden="1">'TFI &amp; TeKSS- Jul 3 - Jul 30'!#REF!</definedName>
    <definedName name="QB_ROW_188270" localSheetId="17" hidden="1">'TFI - Jan 2nd to 29th -  QB '!$H$66</definedName>
    <definedName name="QB_ROW_188270" localSheetId="19" hidden="1">'TFI &amp; TeKSS- Jul 3 - Jul 30'!#REF!</definedName>
    <definedName name="QB_ROW_188280" localSheetId="7" hidden="1">'P9'!$I$123</definedName>
    <definedName name="QB_ROW_189280" localSheetId="8" hidden="1">'P8'!$I$112</definedName>
    <definedName name="QB_ROW_189280" localSheetId="7" hidden="1">'P9'!$I$124</definedName>
    <definedName name="QB_ROW_19011" localSheetId="10" hidden="1">'P6'!$B$3</definedName>
    <definedName name="QB_ROW_19011" localSheetId="8" hidden="1">'P8'!$B$2</definedName>
    <definedName name="QB_ROW_19011" localSheetId="7" hidden="1">'P9'!$B$2</definedName>
    <definedName name="QB_ROW_19011" localSheetId="17" hidden="1">'TFI - Jan 2nd to 29th -  QB '!$B$3</definedName>
    <definedName name="QB_ROW_19011" localSheetId="19" hidden="1">'TFI &amp; TeKSS- Jul 3 - Jul 30'!#REF!</definedName>
    <definedName name="QB_ROW_190260" localSheetId="19" hidden="1">'TFI &amp; TeKSS- Jul 3 - Jul 30'!#REF!</definedName>
    <definedName name="QB_ROW_190280" localSheetId="8" hidden="1">'P8'!$I$113</definedName>
    <definedName name="QB_ROW_190280" localSheetId="7" hidden="1">'P9'!$I$125</definedName>
    <definedName name="QB_ROW_191070" localSheetId="8" hidden="1">'P8'!$H$89</definedName>
    <definedName name="QB_ROW_191070" localSheetId="7" hidden="1">'P9'!$H$97</definedName>
    <definedName name="QB_ROW_191270" localSheetId="17" hidden="1">'TFI - Jan 2nd to 29th -  QB '!$H$67</definedName>
    <definedName name="QB_ROW_191270" localSheetId="19" hidden="1">'TFI &amp; TeKSS- Jul 3 - Jul 30'!#REF!</definedName>
    <definedName name="QB_ROW_191370" localSheetId="10" hidden="1">'P6'!$H$42</definedName>
    <definedName name="QB_ROW_191370" localSheetId="8" hidden="1">'P8'!$H$93</definedName>
    <definedName name="QB_ROW_191370" localSheetId="7" hidden="1">'P9'!$H$102</definedName>
    <definedName name="QB_ROW_192260" localSheetId="19" hidden="1">'TFI &amp; TeKSS- Jul 3 - Jul 30'!#REF!</definedName>
    <definedName name="QB_ROW_192280" localSheetId="8" hidden="1">'P8'!$I$90</definedName>
    <definedName name="QB_ROW_192280" localSheetId="7" hidden="1">'P9'!$I$98</definedName>
    <definedName name="QB_ROW_19260" localSheetId="8" hidden="1">'P8'!$G$24</definedName>
    <definedName name="QB_ROW_19260" localSheetId="7" hidden="1">'P9'!$G$27</definedName>
    <definedName name="QB_ROW_19311" localSheetId="10" hidden="1">'P6'!$B$84</definedName>
    <definedName name="QB_ROW_19311" localSheetId="8" hidden="1">'P8'!$B$144</definedName>
    <definedName name="QB_ROW_19311" localSheetId="7" hidden="1">'P9'!$B$169</definedName>
    <definedName name="QB_ROW_19311" localSheetId="17" hidden="1">'TFI - Jan 2nd to 29th -  QB '!$B$230</definedName>
    <definedName name="QB_ROW_19311" localSheetId="19" hidden="1">'TFI &amp; TeKSS- Jul 3 - Jul 30'!#REF!</definedName>
    <definedName name="QB_ROW_194280" localSheetId="7" hidden="1">'P9'!$I$99</definedName>
    <definedName name="QB_ROW_195270" localSheetId="17" hidden="1">'TFI - Jan 2nd to 29th -  QB '!$H$68</definedName>
    <definedName name="QB_ROW_195280" localSheetId="8" hidden="1">'P8'!$I$91</definedName>
    <definedName name="QB_ROW_195280" localSheetId="7" hidden="1">'P9'!$I$100</definedName>
    <definedName name="QB_ROW_196260" localSheetId="19" hidden="1">'TFI &amp; TeKSS- Jul 3 - Jul 30'!#REF!</definedName>
    <definedName name="QB_ROW_196280" localSheetId="8" hidden="1">'P8'!$I$92</definedName>
    <definedName name="QB_ROW_196280" localSheetId="7" hidden="1">'P9'!$I$101</definedName>
    <definedName name="QB_ROW_197070" localSheetId="8" hidden="1">'P8'!$H$105</definedName>
    <definedName name="QB_ROW_197070" localSheetId="7" hidden="1">'P9'!$H$115</definedName>
    <definedName name="QB_ROW_197260" localSheetId="19" hidden="1">'TFI &amp; TeKSS- Jul 3 - Jul 30'!#REF!</definedName>
    <definedName name="QB_ROW_197370" localSheetId="10" hidden="1">'P6'!$H$45</definedName>
    <definedName name="QB_ROW_197370" localSheetId="8" hidden="1">'P8'!$H$109</definedName>
    <definedName name="QB_ROW_197370" localSheetId="7" hidden="1">'P9'!$H$120</definedName>
    <definedName name="QB_ROW_198280" localSheetId="8" hidden="1">'P8'!$I$106</definedName>
    <definedName name="QB_ROW_198280" localSheetId="7" hidden="1">'P9'!$I$116</definedName>
    <definedName name="QB_ROW_199270" localSheetId="19" hidden="1">'TFI &amp; TeKSS- Jul 3 - Jul 30'!#REF!</definedName>
    <definedName name="QB_ROW_200270" localSheetId="19" hidden="1">'TFI &amp; TeKSS- Jul 3 - Jul 30'!#REF!</definedName>
    <definedName name="QB_ROW_200280" localSheetId="7" hidden="1">'P9'!$I$117</definedName>
    <definedName name="QB_ROW_20031" localSheetId="10" hidden="1">'P6'!$D$4</definedName>
    <definedName name="QB_ROW_20031" localSheetId="8" hidden="1">'P8'!$D$3</definedName>
    <definedName name="QB_ROW_20031" localSheetId="7" hidden="1">'P9'!$D$3</definedName>
    <definedName name="QB_ROW_20031" localSheetId="17" hidden="1">'TFI - Jan 2nd to 29th -  QB '!$D$4</definedName>
    <definedName name="QB_ROW_20031" localSheetId="19" hidden="1">'TFI &amp; TeKSS- Jul 3 - Jul 30'!#REF!</definedName>
    <definedName name="QB_ROW_201270" localSheetId="19" hidden="1">'TFI &amp; TeKSS- Jul 3 - Jul 30'!#REF!</definedName>
    <definedName name="QB_ROW_201280" localSheetId="8" hidden="1">'P8'!$I$107</definedName>
    <definedName name="QB_ROW_201280" localSheetId="7" hidden="1">'P9'!$I$118</definedName>
    <definedName name="QB_ROW_202270" localSheetId="19" hidden="1">'TFI &amp; TeKSS- Jul 3 - Jul 30'!#REF!</definedName>
    <definedName name="QB_ROW_202280" localSheetId="8" hidden="1">'P8'!$I$108</definedName>
    <definedName name="QB_ROW_202280" localSheetId="7" hidden="1">'P9'!$I$119</definedName>
    <definedName name="QB_ROW_203070" localSheetId="8" hidden="1">'P8'!$H$43</definedName>
    <definedName name="QB_ROW_203070" localSheetId="7" hidden="1">'P9'!$H$45</definedName>
    <definedName name="QB_ROW_203280" localSheetId="19" hidden="1">'TFI &amp; TeKSS- Jul 3 - Jul 30'!#REF!</definedName>
    <definedName name="QB_ROW_20331" localSheetId="10" hidden="1">'P6'!$D$12</definedName>
    <definedName name="QB_ROW_20331" localSheetId="8" hidden="1">'P8'!$D$10</definedName>
    <definedName name="QB_ROW_20331" localSheetId="7" hidden="1">'P9'!$D$11</definedName>
    <definedName name="QB_ROW_20331" localSheetId="17" hidden="1">'TFI - Jan 2nd to 29th -  QB '!$D$25</definedName>
    <definedName name="QB_ROW_20331" localSheetId="19" hidden="1">'TFI &amp; TeKSS- Jul 3 - Jul 30'!#REF!</definedName>
    <definedName name="QB_ROW_203370" localSheetId="10" hidden="1">'P6'!$H$34</definedName>
    <definedName name="QB_ROW_203370" localSheetId="8" hidden="1">'P8'!$H$47</definedName>
    <definedName name="QB_ROW_203370" localSheetId="7" hidden="1">'P9'!$H$50</definedName>
    <definedName name="QB_ROW_204280" localSheetId="8" hidden="1">'P8'!$I$44</definedName>
    <definedName name="QB_ROW_204280" localSheetId="7" hidden="1">'P9'!$I$46</definedName>
    <definedName name="QB_ROW_206270" localSheetId="17" hidden="1">'TFI - Jan 2nd to 29th -  QB '!$H$90</definedName>
    <definedName name="QB_ROW_206280" localSheetId="7" hidden="1">'P9'!$I$47</definedName>
    <definedName name="QB_ROW_207280" localSheetId="8" hidden="1">'P8'!$I$45</definedName>
    <definedName name="QB_ROW_207280" localSheetId="7" hidden="1">'P9'!$I$48</definedName>
    <definedName name="QB_ROW_208280" localSheetId="8" hidden="1">'P8'!$I$46</definedName>
    <definedName name="QB_ROW_208280" localSheetId="7" hidden="1">'P9'!$I$49</definedName>
    <definedName name="QB_ROW_209060" localSheetId="19" hidden="1">'TFI &amp; TeKSS- Jul 3 - Jul 30'!#REF!</definedName>
    <definedName name="QB_ROW_209360" localSheetId="19" hidden="1">'TFI &amp; TeKSS- Jul 3 - Jul 30'!#REF!</definedName>
    <definedName name="QB_ROW_21031" localSheetId="10" hidden="1">'P6'!$D$14</definedName>
    <definedName name="QB_ROW_21031" localSheetId="8" hidden="1">'P8'!$D$15</definedName>
    <definedName name="QB_ROW_21031" localSheetId="7" hidden="1">'P9'!$D$13</definedName>
    <definedName name="QB_ROW_21031" localSheetId="17" hidden="1">'TFI - Jan 2nd to 29th -  QB '!$D$62</definedName>
    <definedName name="QB_ROW_21031" localSheetId="19" hidden="1">'TFI &amp; TeKSS- Jul 3 - Jul 30'!#REF!</definedName>
    <definedName name="QB_ROW_21331" localSheetId="10" hidden="1">'P6'!$D$83</definedName>
    <definedName name="QB_ROW_21331" localSheetId="8" hidden="1">'P8'!$D$143</definedName>
    <definedName name="QB_ROW_21331" localSheetId="7" hidden="1">'P9'!$D$168</definedName>
    <definedName name="QB_ROW_21331" localSheetId="17" hidden="1">'TFI - Jan 2nd to 29th -  QB '!$D$229</definedName>
    <definedName name="QB_ROW_21331" localSheetId="19" hidden="1">'TFI &amp; TeKSS- Jul 3 - Jul 30'!#REF!</definedName>
    <definedName name="QB_ROW_215040" localSheetId="10" hidden="1">'P6'!$E$15</definedName>
    <definedName name="QB_ROW_215040" localSheetId="8" hidden="1">'P8'!$E$16</definedName>
    <definedName name="QB_ROW_215040" localSheetId="7" hidden="1">'P9'!$E$15</definedName>
    <definedName name="QB_ROW_215340" localSheetId="10" hidden="1">'P6'!$E$79</definedName>
    <definedName name="QB_ROW_215340" localSheetId="8" hidden="1">'P8'!$E$139</definedName>
    <definedName name="QB_ROW_215340" localSheetId="7" hidden="1">'P9'!$E$162</definedName>
    <definedName name="QB_ROW_216270" localSheetId="17" hidden="1">'TFI - Jan 2nd to 29th -  QB '!$H$197</definedName>
    <definedName name="QB_ROW_216270" localSheetId="19" hidden="1">'TFI &amp; TeKSS- Jul 3 - Jul 30'!#REF!</definedName>
    <definedName name="QB_ROW_217260" localSheetId="10" hidden="1">'P6'!$G$17</definedName>
    <definedName name="QB_ROW_219050" localSheetId="10" hidden="1">'P6'!$F$16</definedName>
    <definedName name="QB_ROW_219050" localSheetId="8" hidden="1">'P8'!$F$17</definedName>
    <definedName name="QB_ROW_219050" localSheetId="7" hidden="1">'P9'!$F$16</definedName>
    <definedName name="QB_ROW_219350" localSheetId="10" hidden="1">'P6'!$F$50</definedName>
    <definedName name="QB_ROW_219350" localSheetId="8" hidden="1">'P8'!$F$118</definedName>
    <definedName name="QB_ROW_219350" localSheetId="7" hidden="1">'P9'!$F$131</definedName>
    <definedName name="QB_ROW_22011" localSheetId="17" hidden="1">'TFI - Jan 2nd to 29th -  QB '!$B$231</definedName>
    <definedName name="QB_ROW_22011" localSheetId="19" hidden="1">'TFI &amp; TeKSS- Jul 3 - Jul 30'!#REF!</definedName>
    <definedName name="QB_ROW_220260" localSheetId="10" hidden="1">'P6'!$G$48</definedName>
    <definedName name="QB_ROW_220260" localSheetId="8" hidden="1">'P8'!$G$116</definedName>
    <definedName name="QB_ROW_220260" localSheetId="7" hidden="1">'P9'!$G$128</definedName>
    <definedName name="QB_ROW_221060" localSheetId="10" hidden="1">'P6'!$G$23</definedName>
    <definedName name="QB_ROW_221060" localSheetId="7" hidden="1">'P9'!$G$21</definedName>
    <definedName name="QB_ROW_221270" localSheetId="19" hidden="1">'TFI &amp; TeKSS- Jul 3 - Jul 30'!#REF!</definedName>
    <definedName name="QB_ROW_221360" localSheetId="10" hidden="1">'P6'!$G$25</definedName>
    <definedName name="QB_ROW_221360" localSheetId="7" hidden="1">'P9'!$G$24</definedName>
    <definedName name="QB_ROW_222060" localSheetId="17" hidden="1">'TFI - Jan 2nd to 29th -  QB '!$G$203</definedName>
    <definedName name="QB_ROW_222060" localSheetId="19" hidden="1">'TFI &amp; TeKSS- Jul 3 - Jul 30'!#REF!</definedName>
    <definedName name="QB_ROW_222270" localSheetId="7" hidden="1">'P9'!$H$22</definedName>
    <definedName name="QB_ROW_222360" localSheetId="17" hidden="1">'TFI - Jan 2nd to 29th -  QB '!$G$207</definedName>
    <definedName name="QB_ROW_222360" localSheetId="19" hidden="1">'TFI &amp; TeKSS- Jul 3 - Jul 30'!#REF!</definedName>
    <definedName name="QB_ROW_22311" localSheetId="17" hidden="1">'TFI - Jan 2nd to 29th -  QB '!$B$240</definedName>
    <definedName name="QB_ROW_22311" localSheetId="19" hidden="1">'TFI &amp; TeKSS- Jul 3 - Jul 30'!#REF!</definedName>
    <definedName name="QB_ROW_223270" localSheetId="10" hidden="1">'P6'!$H$24</definedName>
    <definedName name="QB_ROW_223270" localSheetId="7" hidden="1">'P9'!$H$23</definedName>
    <definedName name="QB_ROW_224260" localSheetId="10" hidden="1">'P6'!$G$28</definedName>
    <definedName name="QB_ROW_224260" localSheetId="7" hidden="1">'P9'!$G$29</definedName>
    <definedName name="QB_ROW_224270" localSheetId="17" hidden="1">'TFI - Jan 2nd to 29th -  QB '!$H$205</definedName>
    <definedName name="QB_ROW_224270" localSheetId="19" hidden="1">'TFI &amp; TeKSS- Jul 3 - Jul 30'!#REF!</definedName>
    <definedName name="QB_ROW_225260" localSheetId="10" hidden="1">'P6'!$G$27</definedName>
    <definedName name="QB_ROW_225260" localSheetId="8" hidden="1">'P8'!$G$23</definedName>
    <definedName name="QB_ROW_225260" localSheetId="7" hidden="1">'P9'!$G$26</definedName>
    <definedName name="QB_ROW_225270" localSheetId="19" hidden="1">'TFI &amp; TeKSS- Jul 3 - Jul 30'!#REF!</definedName>
    <definedName name="QB_ROW_226060" localSheetId="17" hidden="1">'TFI - Jan 2nd to 29th -  QB '!$G$208</definedName>
    <definedName name="QB_ROW_226060" localSheetId="19" hidden="1">'TFI &amp; TeKSS- Jul 3 - Jul 30'!#REF!</definedName>
    <definedName name="QB_ROW_226270" localSheetId="10" hidden="1">'P6'!$H$20</definedName>
    <definedName name="QB_ROW_226270" localSheetId="8" hidden="1">'P8'!$H$19</definedName>
    <definedName name="QB_ROW_226270" localSheetId="7" hidden="1">'P9'!$H$18</definedName>
    <definedName name="QB_ROW_226360" localSheetId="17" hidden="1">'TFI - Jan 2nd to 29th -  QB '!$G$213</definedName>
    <definedName name="QB_ROW_226360" localSheetId="19" hidden="1">'TFI &amp; TeKSS- Jul 3 - Jul 30'!#REF!</definedName>
    <definedName name="QB_ROW_227270" localSheetId="10" hidden="1">'P6'!$H$21</definedName>
    <definedName name="QB_ROW_227270" localSheetId="8" hidden="1">'P8'!$H$20</definedName>
    <definedName name="QB_ROW_227270" localSheetId="7" hidden="1">'P9'!$H$19</definedName>
    <definedName name="QB_ROW_227270" localSheetId="19" hidden="1">'TFI &amp; TeKSS- Jul 3 - Jul 30'!#REF!</definedName>
    <definedName name="QB_ROW_228270" localSheetId="19" hidden="1">'TFI &amp; TeKSS- Jul 3 - Jul 30'!#REF!</definedName>
    <definedName name="QB_ROW_229260" localSheetId="7" hidden="1">'P9'!$G$137</definedName>
    <definedName name="QB_ROW_229270" localSheetId="17" hidden="1">'TFI - Jan 2nd to 29th -  QB '!$H$209</definedName>
    <definedName name="QB_ROW_229270" localSheetId="19" hidden="1">'TFI &amp; TeKSS- Jul 3 - Jul 30'!#REF!</definedName>
    <definedName name="QB_ROW_23021" localSheetId="17" hidden="1">'TFI - Jan 2nd to 29th -  QB '!$C$232</definedName>
    <definedName name="QB_ROW_23021" localSheetId="19" hidden="1">'TFI &amp; TeKSS- Jul 3 - Jul 30'!#REF!</definedName>
    <definedName name="QB_ROW_230260" localSheetId="8" hidden="1">'P8'!$G$123</definedName>
    <definedName name="QB_ROW_230260" localSheetId="7" hidden="1">'P9'!$G$138</definedName>
    <definedName name="QB_ROW_230270" localSheetId="17" hidden="1">'TFI - Jan 2nd to 29th -  QB '!$H$210</definedName>
    <definedName name="QB_ROW_230270" localSheetId="19" hidden="1">'TFI &amp; TeKSS- Jul 3 - Jul 30'!#REF!</definedName>
    <definedName name="QB_ROW_231260" localSheetId="10" hidden="1">'P6'!$G$55</definedName>
    <definedName name="QB_ROW_231260" localSheetId="8" hidden="1">'P8'!$G$124</definedName>
    <definedName name="QB_ROW_231260" localSheetId="7" hidden="1">'P9'!$G$139</definedName>
    <definedName name="QB_ROW_232060" localSheetId="17" hidden="1">'TFI - Jan 2nd to 29th -  QB '!$G$214</definedName>
    <definedName name="QB_ROW_232060" localSheetId="19" hidden="1">'TFI &amp; TeKSS- Jul 3 - Jul 30'!#REF!</definedName>
    <definedName name="QB_ROW_232270" localSheetId="10" hidden="1">'P6'!$H$53</definedName>
    <definedName name="QB_ROW_232270" localSheetId="8" hidden="1">'P8'!$H$121</definedName>
    <definedName name="QB_ROW_232270" localSheetId="7" hidden="1">'P9'!$H$135</definedName>
    <definedName name="QB_ROW_232360" localSheetId="17" hidden="1">'TFI - Jan 2nd to 29th -  QB '!$G$217</definedName>
    <definedName name="QB_ROW_232360" localSheetId="19" hidden="1">'TFI &amp; TeKSS- Jul 3 - Jul 30'!#REF!</definedName>
    <definedName name="QB_ROW_23321" localSheetId="17" hidden="1">'TFI - Jan 2nd to 29th -  QB '!$C$236</definedName>
    <definedName name="QB_ROW_23321" localSheetId="19" hidden="1">'TFI &amp; TeKSS- Jul 3 - Jul 30'!#REF!</definedName>
    <definedName name="QB_ROW_233260" localSheetId="7" hidden="1">'P9'!$G$141</definedName>
    <definedName name="QB_ROW_234270" localSheetId="7" hidden="1">'P9'!$H$134</definedName>
    <definedName name="QB_ROW_235260" localSheetId="8" hidden="1">'P8'!$G$125</definedName>
    <definedName name="QB_ROW_235260" localSheetId="7" hidden="1">'P9'!$G$140</definedName>
    <definedName name="QB_ROW_236050" localSheetId="10" hidden="1">'P6'!$F$73</definedName>
    <definedName name="QB_ROW_236050" localSheetId="8" hidden="1">'P8'!$F$133</definedName>
    <definedName name="QB_ROW_236050" localSheetId="7" hidden="1">'P9'!$F$155</definedName>
    <definedName name="QB_ROW_236260" localSheetId="7" hidden="1">'P9'!$G$160</definedName>
    <definedName name="QB_ROW_236350" localSheetId="10" hidden="1">'P6'!$F$78</definedName>
    <definedName name="QB_ROW_236350" localSheetId="8" hidden="1">'P8'!$F$138</definedName>
    <definedName name="QB_ROW_236350" localSheetId="7" hidden="1">'P9'!$F$161</definedName>
    <definedName name="QB_ROW_237260" localSheetId="10" hidden="1">'P6'!$G$76</definedName>
    <definedName name="QB_ROW_237260" localSheetId="7" hidden="1">'P9'!$G$159</definedName>
    <definedName name="QB_ROW_238260" localSheetId="10" hidden="1">'P6'!$G$77</definedName>
    <definedName name="QB_ROW_238260" localSheetId="8" hidden="1">'P8'!$G$137</definedName>
    <definedName name="QB_ROW_238270" localSheetId="17" hidden="1">'TFI - Jan 2nd to 29th -  QB '!$H$215</definedName>
    <definedName name="QB_ROW_238270" localSheetId="19" hidden="1">'TFI &amp; TeKSS- Jul 3 - Jul 30'!#REF!</definedName>
    <definedName name="QB_ROW_239260" localSheetId="10" hidden="1">'P6'!$G$75</definedName>
    <definedName name="QB_ROW_239260" localSheetId="8" hidden="1">'P8'!$G$136</definedName>
    <definedName name="QB_ROW_239260" localSheetId="7" hidden="1">'P9'!$G$158</definedName>
    <definedName name="QB_ROW_24021" localSheetId="17" hidden="1">'TFI - Jan 2nd to 29th -  QB '!$C$237</definedName>
    <definedName name="QB_ROW_240260" localSheetId="10" hidden="1">'P6'!$G$74</definedName>
    <definedName name="QB_ROW_240260" localSheetId="8" hidden="1">'P8'!$G$134</definedName>
    <definedName name="QB_ROW_240260" localSheetId="7" hidden="1">'P9'!$G$156</definedName>
    <definedName name="QB_ROW_241260" localSheetId="8" hidden="1">'P8'!$G$135</definedName>
    <definedName name="QB_ROW_241260" localSheetId="7" hidden="1">'P9'!$G$157</definedName>
    <definedName name="QB_ROW_242050" localSheetId="10" hidden="1">'P6'!$F$64</definedName>
    <definedName name="QB_ROW_242050" localSheetId="8" hidden="1">'P8'!$F$130</definedName>
    <definedName name="QB_ROW_242050" localSheetId="7" hidden="1">'P9'!$F$147</definedName>
    <definedName name="QB_ROW_242260" localSheetId="10" hidden="1">'P6'!$G$71</definedName>
    <definedName name="QB_ROW_242350" localSheetId="10" hidden="1">'P6'!$F$72</definedName>
    <definedName name="QB_ROW_242350" localSheetId="8" hidden="1">'P8'!$F$132</definedName>
    <definedName name="QB_ROW_242350" localSheetId="7" hidden="1">'P9'!$F$154</definedName>
    <definedName name="QB_ROW_24321" localSheetId="17" hidden="1">'TFI - Jan 2nd to 29th -  QB '!$C$239</definedName>
    <definedName name="QB_ROW_243260" localSheetId="10" hidden="1">'P6'!$G$70</definedName>
    <definedName name="QB_ROW_243260" localSheetId="7" hidden="1">'P9'!$G$153</definedName>
    <definedName name="QB_ROW_244260" localSheetId="10" hidden="1">'P6'!$G$69</definedName>
    <definedName name="QB_ROW_244260" localSheetId="8" hidden="1">'P8'!$G$131</definedName>
    <definedName name="QB_ROW_244260" localSheetId="7" hidden="1">'P9'!$G$152</definedName>
    <definedName name="QB_ROW_245260" localSheetId="10" hidden="1">'P6'!$G$62</definedName>
    <definedName name="QB_ROW_246260" localSheetId="10" hidden="1">'P6'!$G$58</definedName>
    <definedName name="QB_ROW_247060" localSheetId="17" hidden="1">'TFI - Jan 2nd to 29th -  QB '!$G$194</definedName>
    <definedName name="QB_ROW_247060" localSheetId="19" hidden="1">'TFI &amp; TeKSS- Jul 3 - Jul 30'!#REF!</definedName>
    <definedName name="QB_ROW_247260" localSheetId="10" hidden="1">'P6'!$G$59</definedName>
    <definedName name="QB_ROW_247360" localSheetId="17" hidden="1">'TFI - Jan 2nd to 29th -  QB '!$G$202</definedName>
    <definedName name="QB_ROW_247360" localSheetId="19" hidden="1">'TFI &amp; TeKSS- Jul 3 - Jul 30'!#REF!</definedName>
    <definedName name="QB_ROW_248050" localSheetId="8" hidden="1">'P8'!$F$127</definedName>
    <definedName name="QB_ROW_248050" localSheetId="7" hidden="1">'P9'!$F$144</definedName>
    <definedName name="QB_ROW_248270" localSheetId="17" hidden="1">'TFI - Jan 2nd to 29th -  QB '!$H$196</definedName>
    <definedName name="QB_ROW_248270" localSheetId="19" hidden="1">'TFI &amp; TeKSS- Jul 3 - Jul 30'!#REF!</definedName>
    <definedName name="QB_ROW_248350" localSheetId="8" hidden="1">'P8'!$F$129</definedName>
    <definedName name="QB_ROW_248350" localSheetId="7" hidden="1">'P9'!$F$146</definedName>
    <definedName name="QB_ROW_249060" localSheetId="10" hidden="1">'P6'!$G$66</definedName>
    <definedName name="QB_ROW_249060" localSheetId="7" hidden="1">'P9'!$G$149</definedName>
    <definedName name="QB_ROW_249360" localSheetId="10" hidden="1">'P6'!$G$68</definedName>
    <definedName name="QB_ROW_249360" localSheetId="7" hidden="1">'P9'!$G$151</definedName>
    <definedName name="QB_ROW_250270" localSheetId="10" hidden="1">'P6'!$H$67</definedName>
    <definedName name="QB_ROW_250270" localSheetId="7" hidden="1">'P9'!$H$150</definedName>
    <definedName name="QB_ROW_251070" localSheetId="8" hidden="1">'P8'!$H$33</definedName>
    <definedName name="QB_ROW_251070" localSheetId="7" hidden="1">'P9'!$H$37</definedName>
    <definedName name="QB_ROW_251370" localSheetId="10" hidden="1">'P6'!$H$31</definedName>
    <definedName name="QB_ROW_251370" localSheetId="8" hidden="1">'P8'!$H$37</definedName>
    <definedName name="QB_ROW_251370" localSheetId="7" hidden="1">'P9'!$H$39</definedName>
    <definedName name="QB_ROW_252280" localSheetId="8" hidden="1">'P8'!$I$34</definedName>
    <definedName name="QB_ROW_252280" localSheetId="7" hidden="1">'P9'!$I$38</definedName>
    <definedName name="QB_ROW_253270" localSheetId="17" hidden="1">'TFI - Jan 2nd to 29th -  QB '!$H$198</definedName>
    <definedName name="QB_ROW_253270" localSheetId="19" hidden="1">'TFI &amp; TeKSS- Jul 3 - Jul 30'!#REF!</definedName>
    <definedName name="QB_ROW_254270" localSheetId="17" hidden="1">'TFI - Jan 2nd to 29th -  QB '!$H$199</definedName>
    <definedName name="QB_ROW_254270" localSheetId="19" hidden="1">'TFI &amp; TeKSS- Jul 3 - Jul 30'!#REF!</definedName>
    <definedName name="QB_ROW_255280" localSheetId="8" hidden="1">'P8'!$I$35</definedName>
    <definedName name="QB_ROW_255280" localSheetId="19" hidden="1">'TFI &amp; TeKSS- Jul 3 - Jul 30'!#REF!</definedName>
    <definedName name="QB_ROW_256270" localSheetId="17" hidden="1">'TFI - Jan 2nd to 29th -  QB '!$H$201</definedName>
    <definedName name="QB_ROW_256280" localSheetId="8" hidden="1">'P8'!$I$36</definedName>
    <definedName name="QB_ROW_257270" localSheetId="17" hidden="1">'TFI - Jan 2nd to 29th -  QB '!$H$200</definedName>
    <definedName name="QB_ROW_257270" localSheetId="19" hidden="1">'TFI &amp; TeKSS- Jul 3 - Jul 30'!#REF!</definedName>
    <definedName name="QB_ROW_258250" localSheetId="7" hidden="1">'P9'!$F$164</definedName>
    <definedName name="QB_ROW_259250" localSheetId="10" hidden="1">'P6'!$F$81</definedName>
    <definedName name="QB_ROW_259250" localSheetId="7" hidden="1">'P9'!$F$165</definedName>
    <definedName name="QB_ROW_260250" localSheetId="8" hidden="1">'P8'!$F$141</definedName>
    <definedName name="QB_ROW_260250" localSheetId="7" hidden="1">'P9'!$F$166</definedName>
    <definedName name="QB_ROW_261260" localSheetId="10" hidden="1">'P6'!$G$18</definedName>
    <definedName name="QB_ROW_263060" localSheetId="17" hidden="1">'TFI - Jan 2nd to 29th -  QB '!$G$218</definedName>
    <definedName name="QB_ROW_263060" localSheetId="19" hidden="1">'TFI &amp; TeKSS- Jul 3 - Jul 30'!#REF!</definedName>
    <definedName name="QB_ROW_263360" localSheetId="17" hidden="1">'TFI - Jan 2nd to 29th -  QB '!$G$220</definedName>
    <definedName name="QB_ROW_263360" localSheetId="19" hidden="1">'TFI &amp; TeKSS- Jul 3 - Jul 30'!#REF!</definedName>
    <definedName name="QB_ROW_264270" localSheetId="17" hidden="1">'TFI - Jan 2nd to 29th -  QB '!$H$219</definedName>
    <definedName name="QB_ROW_264270" localSheetId="19" hidden="1">'TFI &amp; TeKSS- Jul 3 - Jul 30'!#REF!</definedName>
    <definedName name="QB_ROW_266060" localSheetId="10" hidden="1">'P6'!$G$19</definedName>
    <definedName name="QB_ROW_266060" localSheetId="8" hidden="1">'P8'!$G$18</definedName>
    <definedName name="QB_ROW_266060" localSheetId="7" hidden="1">'P9'!$G$17</definedName>
    <definedName name="QB_ROW_266360" localSheetId="10" hidden="1">'P6'!$G$22</definedName>
    <definedName name="QB_ROW_266360" localSheetId="8" hidden="1">'P8'!$G$21</definedName>
    <definedName name="QB_ROW_266360" localSheetId="7" hidden="1">'P9'!$G$20</definedName>
    <definedName name="QB_ROW_267060" localSheetId="17" hidden="1">'TFI - Jan 2nd to 29th -  QB '!$G$221</definedName>
    <definedName name="QB_ROW_267060" localSheetId="19" hidden="1">'TFI &amp; TeKSS- Jul 3 - Jul 30'!#REF!</definedName>
    <definedName name="QB_ROW_267250" localSheetId="10" hidden="1">'P6'!$F$9</definedName>
    <definedName name="QB_ROW_267250" localSheetId="8" hidden="1">'P8'!$F$8</definedName>
    <definedName name="QB_ROW_267250" localSheetId="7" hidden="1">'P9'!$F$8</definedName>
    <definedName name="QB_ROW_267360" localSheetId="17" hidden="1">'TFI - Jan 2nd to 29th -  QB '!$G$226</definedName>
    <definedName name="QB_ROW_267360" localSheetId="19" hidden="1">'TFI &amp; TeKSS- Jul 3 - Jul 30'!#REF!</definedName>
    <definedName name="QB_ROW_268250" localSheetId="10" hidden="1">'P6'!$F$7</definedName>
    <definedName name="QB_ROW_268250" localSheetId="8" hidden="1">'P8'!$F$6</definedName>
    <definedName name="QB_ROW_268250" localSheetId="7" hidden="1">'P9'!$F$6</definedName>
    <definedName name="QB_ROW_269250" localSheetId="10" hidden="1">'P6'!$F$8</definedName>
    <definedName name="QB_ROW_269250" localSheetId="8" hidden="1">'P8'!$F$7</definedName>
    <definedName name="QB_ROW_269250" localSheetId="7" hidden="1">'P9'!$F$7</definedName>
    <definedName name="QB_ROW_269270" localSheetId="19" hidden="1">'TFI &amp; TeKSS- Jul 3 - Jul 30'!#REF!</definedName>
    <definedName name="QB_ROW_270250" localSheetId="10" hidden="1">'P6'!$F$6</definedName>
    <definedName name="QB_ROW_270250" localSheetId="8" hidden="1">'P8'!$F$5</definedName>
    <definedName name="QB_ROW_270250" localSheetId="7" hidden="1">'P9'!$F$5</definedName>
    <definedName name="QB_ROW_271250" localSheetId="10" hidden="1">'P6'!$F$10</definedName>
    <definedName name="QB_ROW_271250" localSheetId="7" hidden="1">'P9'!$F$9</definedName>
    <definedName name="QB_ROW_272040" localSheetId="10" hidden="1">'P6'!$E$80</definedName>
    <definedName name="QB_ROW_272040" localSheetId="8" hidden="1">'P8'!$E$140</definedName>
    <definedName name="QB_ROW_272040" localSheetId="7" hidden="1">'P9'!$E$163</definedName>
    <definedName name="QB_ROW_272340" localSheetId="10" hidden="1">'P6'!$E$82</definedName>
    <definedName name="QB_ROW_272340" localSheetId="8" hidden="1">'P8'!$E$142</definedName>
    <definedName name="QB_ROW_272340" localSheetId="7" hidden="1">'P9'!$E$167</definedName>
    <definedName name="QB_ROW_273260" localSheetId="10" hidden="1">'P6'!$G$49</definedName>
    <definedName name="QB_ROW_273260" localSheetId="8" hidden="1">'P8'!$G$117</definedName>
    <definedName name="QB_ROW_273260" localSheetId="7" hidden="1">'P9'!$G$129</definedName>
    <definedName name="QB_ROW_274260" localSheetId="10" hidden="1">'P6'!$G$65</definedName>
    <definedName name="QB_ROW_274260" localSheetId="7" hidden="1">'P9'!$G$148</definedName>
    <definedName name="QB_ROW_275070" localSheetId="8" hidden="1">'P8'!$H$73</definedName>
    <definedName name="QB_ROW_275070" localSheetId="7" hidden="1">'P9'!$H$80</definedName>
    <definedName name="QB_ROW_275370" localSheetId="10" hidden="1">'P6'!$H$39</definedName>
    <definedName name="QB_ROW_275370" localSheetId="8" hidden="1">'P8'!$H$78</definedName>
    <definedName name="QB_ROW_275370" localSheetId="7" hidden="1">'P9'!$H$85</definedName>
    <definedName name="QB_ROW_276280" localSheetId="8" hidden="1">'P8'!$I$74</definedName>
    <definedName name="QB_ROW_276280" localSheetId="7" hidden="1">'P9'!$I$81</definedName>
    <definedName name="QB_ROW_277250" localSheetId="17" hidden="1">'TFI - Jan 2nd to 29th -  QB '!$F$9</definedName>
    <definedName name="QB_ROW_277250" localSheetId="19" hidden="1">'TFI &amp; TeKSS- Jul 3 - Jul 30'!#REF!</definedName>
    <definedName name="QB_ROW_277280" localSheetId="8" hidden="1">'P8'!$I$75</definedName>
    <definedName name="QB_ROW_277280" localSheetId="7" hidden="1">'P9'!$I$82</definedName>
    <definedName name="QB_ROW_278270" localSheetId="17" hidden="1">'TFI - Jan 2nd to 29th -  QB '!$H$206</definedName>
    <definedName name="QB_ROW_278270" localSheetId="19" hidden="1">'TFI &amp; TeKSS- Jul 3 - Jul 30'!#REF!</definedName>
    <definedName name="QB_ROW_278280" localSheetId="8" hidden="1">'P8'!$I$76</definedName>
    <definedName name="QB_ROW_278280" localSheetId="7" hidden="1">'P9'!$I$83</definedName>
    <definedName name="QB_ROW_279250" localSheetId="17" hidden="1">'TFI - Jan 2nd to 29th -  QB '!$F$10</definedName>
    <definedName name="QB_ROW_279250" localSheetId="19" hidden="1">'TFI &amp; TeKSS- Jul 3 - Jul 30'!#REF!</definedName>
    <definedName name="QB_ROW_279280" localSheetId="8" hidden="1">'P8'!$I$77</definedName>
    <definedName name="QB_ROW_279280" localSheetId="7" hidden="1">'P9'!$I$84</definedName>
    <definedName name="QB_ROW_284270" localSheetId="10" hidden="1">'P6'!$H$32</definedName>
    <definedName name="QB_ROW_286270" localSheetId="19" hidden="1">'TFI &amp; TeKSS- Jul 3 - Jul 30'!#REF!</definedName>
    <definedName name="QB_ROW_287260" localSheetId="7" hidden="1">'P9'!$G$130</definedName>
    <definedName name="QB_ROW_287270" localSheetId="17" hidden="1">'TFI - Jan 2nd to 29th -  QB '!$H$69</definedName>
    <definedName name="QB_ROW_287270" localSheetId="19" hidden="1">'TFI &amp; TeKSS- Jul 3 - Jul 30'!#REF!</definedName>
    <definedName name="QB_ROW_288270" localSheetId="17" hidden="1">'TFI - Jan 2nd to 29th -  QB '!$H$99</definedName>
    <definedName name="QB_ROW_288270" localSheetId="19" hidden="1">'TFI &amp; TeKSS- Jul 3 - Jul 30'!#REF!</definedName>
    <definedName name="QB_ROW_289260" localSheetId="8" hidden="1">'P8'!$G$22</definedName>
    <definedName name="QB_ROW_289270" localSheetId="17" hidden="1">'TFI - Jan 2nd to 29th -  QB '!$H$73</definedName>
    <definedName name="QB_ROW_289270" localSheetId="19" hidden="1">'TFI &amp; TeKSS- Jul 3 - Jul 30'!#REF!</definedName>
    <definedName name="QB_ROW_290270" localSheetId="17" hidden="1">'TFI - Jan 2nd to 29th -  QB '!$H$100</definedName>
    <definedName name="QB_ROW_291270" localSheetId="17" hidden="1">'TFI - Jan 2nd to 29th -  QB '!$H$98</definedName>
    <definedName name="QB_ROW_292270" localSheetId="17" hidden="1">'TFI - Jan 2nd to 29th -  QB '!$H$74</definedName>
    <definedName name="QB_ROW_292270" localSheetId="19" hidden="1">'TFI &amp; TeKSS- Jul 3 - Jul 30'!#REF!</definedName>
    <definedName name="QB_ROW_294270" localSheetId="17" hidden="1">'TFI - Jan 2nd to 29th -  QB '!$H$222</definedName>
    <definedName name="QB_ROW_294270" localSheetId="19" hidden="1">'TFI &amp; TeKSS- Jul 3 - Jul 30'!#REF!</definedName>
    <definedName name="QB_ROW_297270" localSheetId="19" hidden="1">'TFI &amp; TeKSS- Jul 3 - Jul 30'!#REF!</definedName>
    <definedName name="QB_ROW_298070" localSheetId="8" hidden="1">'P8'!$H$59</definedName>
    <definedName name="QB_ROW_298070" localSheetId="7" hidden="1">'P9'!$H$62</definedName>
    <definedName name="QB_ROW_298270" localSheetId="19" hidden="1">'TFI &amp; TeKSS- Jul 3 - Jul 30'!#REF!</definedName>
    <definedName name="QB_ROW_298280" localSheetId="7" hidden="1">'P9'!$I$66</definedName>
    <definedName name="QB_ROW_298370" localSheetId="8" hidden="1">'P8'!$H$62</definedName>
    <definedName name="QB_ROW_298370" localSheetId="7" hidden="1">'P9'!$H$67</definedName>
    <definedName name="QB_ROW_299280" localSheetId="8" hidden="1">'P8'!$I$61</definedName>
    <definedName name="QB_ROW_300280" localSheetId="8" hidden="1">'P8'!$I$60</definedName>
    <definedName name="QB_ROW_300280" localSheetId="7" hidden="1">'P9'!$I$63</definedName>
    <definedName name="QB_ROW_301280" localSheetId="7" hidden="1">'P9'!$I$64</definedName>
    <definedName name="QB_ROW_302270" localSheetId="17" hidden="1">'TFI - Jan 2nd to 29th -  QB '!$H$97</definedName>
    <definedName name="QB_ROW_302270" localSheetId="19" hidden="1">'TFI &amp; TeKSS- Jul 3 - Jul 30'!#REF!</definedName>
    <definedName name="QB_ROW_302280" localSheetId="7" hidden="1">'P9'!$I$65</definedName>
    <definedName name="QB_ROW_303260" localSheetId="8" hidden="1">'P8'!$G$26</definedName>
    <definedName name="QB_ROW_303260" localSheetId="7" hidden="1">'P9'!$G$28</definedName>
    <definedName name="QB_ROW_319270" localSheetId="17" hidden="1">'TFI - Jan 2nd to 29th -  QB '!$H$216</definedName>
    <definedName name="QB_ROW_319270" localSheetId="19" hidden="1">'TFI &amp; TeKSS- Jul 3 - Jul 30'!#REF!</definedName>
    <definedName name="QB_ROW_320270" localSheetId="17" hidden="1">'TFI - Jan 2nd to 29th -  QB '!$H$85</definedName>
    <definedName name="QB_ROW_320270" localSheetId="19" hidden="1">'TFI &amp; TeKSS- Jul 3 - Jul 30'!#REF!</definedName>
    <definedName name="QB_ROW_325260" localSheetId="17" hidden="1">'TFI - Jan 2nd to 29th -  QB '!$G$57</definedName>
    <definedName name="QB_ROW_325260" localSheetId="19" hidden="1">'TFI &amp; TeKSS- Jul 3 - Jul 30'!#REF!</definedName>
    <definedName name="QB_ROW_326270" localSheetId="17" hidden="1">'TFI - Jan 2nd to 29th -  QB '!$H$92</definedName>
    <definedName name="QB_ROW_327270" localSheetId="19" hidden="1">'TFI &amp; TeKSS- Jul 3 - Jul 30'!#REF!</definedName>
    <definedName name="QB_ROW_335260" localSheetId="17" hidden="1">'TFI - Jan 2nd to 29th -  QB '!$G$31</definedName>
    <definedName name="QB_ROW_335260" localSheetId="19" hidden="1">'TFI &amp; TeKSS- Jul 3 - Jul 30'!#REF!</definedName>
    <definedName name="QB_ROW_337270" localSheetId="19" hidden="1">'TFI &amp; TeKSS- Jul 3 - Jul 30'!#REF!</definedName>
    <definedName name="QB_ROW_342070" localSheetId="17" hidden="1">'TFI - Jan 2nd to 29th -  QB '!$H$70</definedName>
    <definedName name="QB_ROW_342070" localSheetId="19" hidden="1">'TFI &amp; TeKSS- Jul 3 - Jul 30'!#REF!</definedName>
    <definedName name="QB_ROW_342280" localSheetId="19" hidden="1">'TFI &amp; TeKSS- Jul 3 - Jul 30'!#REF!</definedName>
    <definedName name="QB_ROW_342370" localSheetId="17" hidden="1">'TFI - Jan 2nd to 29th -  QB '!$H$72</definedName>
    <definedName name="QB_ROW_342370" localSheetId="19" hidden="1">'TFI &amp; TeKSS- Jul 3 - Jul 30'!#REF!</definedName>
    <definedName name="QB_ROW_344280" localSheetId="17" hidden="1">'TFI - Jan 2nd to 29th -  QB '!$I$71</definedName>
    <definedName name="QB_ROW_344280" localSheetId="19" hidden="1">'TFI &amp; TeKSS- Jul 3 - Jul 30'!#REF!</definedName>
    <definedName name="QB_ROW_347270" localSheetId="17" hidden="1">'TFI - Jan 2nd to 29th -  QB '!$H$91</definedName>
    <definedName name="QB_ROW_347270" localSheetId="19" hidden="1">'TFI &amp; TeKSS- Jul 3 - Jul 30'!#REF!</definedName>
    <definedName name="QB_ROW_349270" localSheetId="19" hidden="1">'TFI &amp; TeKSS- Jul 3 - Jul 30'!#REF!</definedName>
    <definedName name="QB_ROW_353260" localSheetId="19" hidden="1">'TFI &amp; TeKSS- Jul 3 - Jul 30'!#REF!</definedName>
    <definedName name="QB_ROW_361260" localSheetId="17" hidden="1">'TFI - Jan 2nd to 29th -  QB '!$G$32</definedName>
    <definedName name="QB_ROW_361260" localSheetId="19" hidden="1">'TFI &amp; TeKSS- Jul 3 - Jul 30'!#REF!</definedName>
    <definedName name="QB_ROW_36260" localSheetId="10" hidden="1">'P6'!$G$26</definedName>
    <definedName name="QB_ROW_36260" localSheetId="7" hidden="1">'P9'!$G$25</definedName>
    <definedName name="QB_ROW_384270" localSheetId="19" hidden="1">'TFI &amp; TeKSS- Jul 3 - Jul 30'!#REF!</definedName>
    <definedName name="QB_ROW_386050" localSheetId="17" hidden="1">'TFI - Jan 2nd to 29th -  QB '!$F$56</definedName>
    <definedName name="QB_ROW_386050" localSheetId="19" hidden="1">'TFI &amp; TeKSS- Jul 3 - Jul 30'!#REF!</definedName>
    <definedName name="QB_ROW_386350" localSheetId="17" hidden="1">'TFI - Jan 2nd to 29th -  QB '!$F$58</definedName>
    <definedName name="QB_ROW_386350" localSheetId="19" hidden="1">'TFI &amp; TeKSS- Jul 3 - Jul 30'!#REF!</definedName>
    <definedName name="QB_ROW_387270" localSheetId="17" hidden="1">'TFI - Jan 2nd to 29th -  QB '!$H$87</definedName>
    <definedName name="QB_ROW_387270" localSheetId="19" hidden="1">'TFI &amp; TeKSS- Jul 3 - Jul 30'!#REF!</definedName>
    <definedName name="QB_ROW_389270" localSheetId="17" hidden="1">'TFI - Jan 2nd to 29th -  QB '!$H$224</definedName>
    <definedName name="QB_ROW_391270" localSheetId="17" hidden="1">'TFI - Jan 2nd to 29th -  QB '!$H$86</definedName>
    <definedName name="QB_ROW_391270" localSheetId="19" hidden="1">'TFI &amp; TeKSS- Jul 3 - Jul 30'!#REF!</definedName>
    <definedName name="QB_ROW_394060" localSheetId="17" hidden="1">'TFI - Jan 2nd to 29th -  QB '!$G$84</definedName>
    <definedName name="QB_ROW_394060" localSheetId="19" hidden="1">'TFI &amp; TeKSS- Jul 3 - Jul 30'!#REF!</definedName>
    <definedName name="QB_ROW_394360" localSheetId="17" hidden="1">'TFI - Jan 2nd to 29th -  QB '!$G$88</definedName>
    <definedName name="QB_ROW_394360" localSheetId="19" hidden="1">'TFI &amp; TeKSS- Jul 3 - Jul 30'!#REF!</definedName>
    <definedName name="QB_ROW_395060" localSheetId="17" hidden="1">'TFI - Jan 2nd to 29th -  QB '!$G$65</definedName>
    <definedName name="QB_ROW_395060" localSheetId="19" hidden="1">'TFI &amp; TeKSS- Jul 3 - Jul 30'!#REF!</definedName>
    <definedName name="QB_ROW_395360" localSheetId="17" hidden="1">'TFI - Jan 2nd to 29th -  QB '!$G$75</definedName>
    <definedName name="QB_ROW_395360" localSheetId="19" hidden="1">'TFI &amp; TeKSS- Jul 3 - Jul 30'!#REF!</definedName>
    <definedName name="QB_ROW_396060" localSheetId="17" hidden="1">'TFI - Jan 2nd to 29th -  QB '!$G$89</definedName>
    <definedName name="QB_ROW_396060" localSheetId="19" hidden="1">'TFI &amp; TeKSS- Jul 3 - Jul 30'!#REF!</definedName>
    <definedName name="QB_ROW_396360" localSheetId="17" hidden="1">'TFI - Jan 2nd to 29th -  QB '!$G$95</definedName>
    <definedName name="QB_ROW_396360" localSheetId="19" hidden="1">'TFI &amp; TeKSS- Jul 3 - Jul 30'!#REF!</definedName>
    <definedName name="QB_ROW_397060" localSheetId="17" hidden="1">'TFI - Jan 2nd to 29th -  QB '!$G$96</definedName>
    <definedName name="QB_ROW_397060" localSheetId="19" hidden="1">'TFI &amp; TeKSS- Jul 3 - Jul 30'!#REF!</definedName>
    <definedName name="QB_ROW_397360" localSheetId="17" hidden="1">'TFI - Jan 2nd to 29th -  QB '!$G$101</definedName>
    <definedName name="QB_ROW_397360" localSheetId="19" hidden="1">'TFI &amp; TeKSS- Jul 3 - Jul 30'!#REF!</definedName>
    <definedName name="QB_ROW_399070" localSheetId="19" hidden="1">'TFI &amp; TeKSS- Jul 3 - Jul 30'!#REF!</definedName>
    <definedName name="QB_ROW_399370" localSheetId="19" hidden="1">'TFI &amp; TeKSS- Jul 3 - Jul 30'!#REF!</definedName>
    <definedName name="QB_ROW_400050" localSheetId="17" hidden="1">'TFI - Jan 2nd to 29th -  QB '!$F$193</definedName>
    <definedName name="QB_ROW_400050" localSheetId="19" hidden="1">'TFI &amp; TeKSS- Jul 3 - Jul 30'!#REF!</definedName>
    <definedName name="QB_ROW_400350" localSheetId="17" hidden="1">'TFI - Jan 2nd to 29th -  QB '!$F$227</definedName>
    <definedName name="QB_ROW_400350" localSheetId="19" hidden="1">'TFI &amp; TeKSS- Jul 3 - Jul 30'!#REF!</definedName>
    <definedName name="QB_ROW_409270" localSheetId="17" hidden="1">'TFI - Jan 2nd to 29th -  QB '!$H$93</definedName>
    <definedName name="QB_ROW_409270" localSheetId="19" hidden="1">'TFI &amp; TeKSS- Jul 3 - Jul 30'!#REF!</definedName>
    <definedName name="QB_ROW_437270" localSheetId="17" hidden="1">'TFI - Jan 2nd to 29th -  QB '!$H$225</definedName>
    <definedName name="QB_ROW_447260" localSheetId="19" hidden="1">'TFI &amp; TeKSS- Jul 3 - Jul 30'!#REF!</definedName>
    <definedName name="QB_ROW_448260" localSheetId="19" hidden="1">'TFI &amp; TeKSS- Jul 3 - Jul 30'!#REF!</definedName>
    <definedName name="QB_ROW_449260" localSheetId="19" hidden="1">'TFI &amp; TeKSS- Jul 3 - Jul 30'!#REF!</definedName>
    <definedName name="QB_ROW_457270" localSheetId="19" hidden="1">'TFI &amp; TeKSS- Jul 3 - Jul 30'!#REF!</definedName>
    <definedName name="QB_ROW_460230" localSheetId="17" hidden="1">'TFI - Jan 2nd to 29th -  QB '!$D$238</definedName>
    <definedName name="QB_ROW_467040" localSheetId="17" hidden="1">'TFI - Jan 2nd to 29th -  QB '!$E$5</definedName>
    <definedName name="QB_ROW_467040" localSheetId="19" hidden="1">'TFI &amp; TeKSS- Jul 3 - Jul 30'!#REF!</definedName>
    <definedName name="QB_ROW_467340" localSheetId="17" hidden="1">'TFI - Jan 2nd to 29th -  QB '!$E$24</definedName>
    <definedName name="QB_ROW_467340" localSheetId="19" hidden="1">'TFI &amp; TeKSS- Jul 3 - Jul 30'!#REF!</definedName>
    <definedName name="QB_ROW_48260" localSheetId="7" hidden="1">'P9'!$G$145</definedName>
    <definedName name="QB_ROW_488240" localSheetId="19" hidden="1">'TFI &amp; TeKSS- Jul 3 - Jul 30'!#REF!</definedName>
    <definedName name="QB_ROW_490270" localSheetId="19" hidden="1">'TFI &amp; TeKSS- Jul 3 - Jul 30'!#REF!</definedName>
    <definedName name="QB_ROW_492060" localSheetId="19" hidden="1">'TFI &amp; TeKSS- Jul 3 - Jul 30'!#REF!</definedName>
    <definedName name="QB_ROW_492360" localSheetId="19" hidden="1">'TFI &amp; TeKSS- Jul 3 - Jul 30'!#REF!</definedName>
    <definedName name="QB_ROW_495070" localSheetId="19" hidden="1">'TFI &amp; TeKSS- Jul 3 - Jul 30'!#REF!</definedName>
    <definedName name="QB_ROW_495370" localSheetId="19" hidden="1">'TFI &amp; TeKSS- Jul 3 - Jul 30'!#REF!</definedName>
    <definedName name="QB_ROW_511250" localSheetId="17" hidden="1">'TFI - Jan 2nd to 29th -  QB '!$F$11</definedName>
    <definedName name="QB_ROW_511250" localSheetId="19" hidden="1">'TFI &amp; TeKSS- Jul 3 - Jul 30'!#REF!</definedName>
    <definedName name="QB_ROW_515250" localSheetId="17" hidden="1">'TFI - Jan 2nd to 29th -  QB '!$F$7</definedName>
    <definedName name="QB_ROW_515250" localSheetId="19" hidden="1">'TFI &amp; TeKSS- Jul 3 - Jul 30'!#REF!</definedName>
    <definedName name="QB_ROW_523260" localSheetId="17" hidden="1">'TFI - Jan 2nd to 29th -  QB '!$G$45</definedName>
    <definedName name="QB_ROW_523260" localSheetId="19" hidden="1">'TFI &amp; TeKSS- Jul 3 - Jul 30'!#REF!</definedName>
    <definedName name="QB_ROW_526050" localSheetId="19" hidden="1">'TFI &amp; TeKSS- Jul 3 - Jul 30'!#REF!</definedName>
    <definedName name="QB_ROW_526350" localSheetId="19" hidden="1">'TFI &amp; TeKSS- Jul 3 - Jul 30'!#REF!</definedName>
    <definedName name="QB_ROW_527050" localSheetId="17" hidden="1">'TFI - Jan 2nd to 29th -  QB '!$F$34</definedName>
    <definedName name="QB_ROW_527050" localSheetId="19" hidden="1">'TFI &amp; TeKSS- Jul 3 - Jul 30'!#REF!</definedName>
    <definedName name="QB_ROW_527350" localSheetId="17" hidden="1">'TFI - Jan 2nd to 29th -  QB '!$F$40</definedName>
    <definedName name="QB_ROW_527350" localSheetId="19" hidden="1">'TFI &amp; TeKSS- Jul 3 - Jul 30'!#REF!</definedName>
    <definedName name="QB_ROW_542270" localSheetId="19" hidden="1">'TFI &amp; TeKSS- Jul 3 - Jul 30'!#REF!</definedName>
    <definedName name="QB_ROW_565260" localSheetId="17" hidden="1">'TFI - Jan 2nd to 29th -  QB '!$G$39</definedName>
    <definedName name="QB_ROW_565260" localSheetId="19" hidden="1">'TFI &amp; TeKSS- Jul 3 - Jul 30'!#REF!</definedName>
    <definedName name="QB_ROW_569060" localSheetId="17" hidden="1">'TFI - Jan 2nd to 29th -  QB '!$G$104</definedName>
    <definedName name="QB_ROW_569060" localSheetId="19" hidden="1">'TFI &amp; TeKSS- Jul 3 - Jul 30'!#REF!</definedName>
    <definedName name="QB_ROW_569360" localSheetId="17" hidden="1">'TFI - Jan 2nd to 29th -  QB '!$G$110</definedName>
    <definedName name="QB_ROW_569360" localSheetId="19" hidden="1">'TFI &amp; TeKSS- Jul 3 - Jul 30'!#REF!</definedName>
    <definedName name="QB_ROW_571270" localSheetId="17" hidden="1">'TFI - Jan 2nd to 29th -  QB '!$H$106</definedName>
    <definedName name="QB_ROW_571270" localSheetId="19" hidden="1">'TFI &amp; TeKSS- Jul 3 - Jul 30'!#REF!</definedName>
    <definedName name="QB_ROW_573270" localSheetId="17" hidden="1">'TFI - Jan 2nd to 29th -  QB '!$H$109</definedName>
    <definedName name="QB_ROW_573270" localSheetId="19" hidden="1">'TFI &amp; TeKSS- Jul 3 - Jul 30'!#REF!</definedName>
    <definedName name="QB_ROW_578270" localSheetId="17" hidden="1">'TFI - Jan 2nd to 29th -  QB '!$H$107</definedName>
    <definedName name="QB_ROW_578270" localSheetId="19" hidden="1">'TFI &amp; TeKSS- Jul 3 - Jul 30'!#REF!</definedName>
    <definedName name="QB_ROW_579060" localSheetId="17" hidden="1">'TFI - Jan 2nd to 29th -  QB '!$G$126</definedName>
    <definedName name="QB_ROW_579060" localSheetId="19" hidden="1">'TFI &amp; TeKSS- Jul 3 - Jul 30'!#REF!</definedName>
    <definedName name="QB_ROW_579360" localSheetId="17" hidden="1">'TFI - Jan 2nd to 29th -  QB '!$G$130</definedName>
    <definedName name="QB_ROW_579360" localSheetId="19" hidden="1">'TFI &amp; TeKSS- Jul 3 - Jul 30'!#REF!</definedName>
    <definedName name="QB_ROW_580270" localSheetId="17" hidden="1">'TFI - Jan 2nd to 29th -  QB '!$H$127</definedName>
    <definedName name="QB_ROW_580270" localSheetId="19" hidden="1">'TFI &amp; TeKSS- Jul 3 - Jul 30'!#REF!</definedName>
    <definedName name="QB_ROW_581270" localSheetId="17" hidden="1">'TFI - Jan 2nd to 29th -  QB '!$H$132</definedName>
    <definedName name="QB_ROW_581270" localSheetId="19" hidden="1">'TFI &amp; TeKSS- Jul 3 - Jul 30'!#REF!</definedName>
    <definedName name="QB_ROW_583060" localSheetId="17" hidden="1">'TFI - Jan 2nd to 29th -  QB '!$G$117</definedName>
    <definedName name="QB_ROW_583060" localSheetId="19" hidden="1">'TFI &amp; TeKSS- Jul 3 - Jul 30'!#REF!</definedName>
    <definedName name="QB_ROW_583360" localSheetId="17" hidden="1">'TFI - Jan 2nd to 29th -  QB '!$G$120</definedName>
    <definedName name="QB_ROW_583360" localSheetId="19" hidden="1">'TFI &amp; TeKSS- Jul 3 - Jul 30'!#REF!</definedName>
    <definedName name="QB_ROW_584270" localSheetId="17" hidden="1">'TFI - Jan 2nd to 29th -  QB '!$H$118</definedName>
    <definedName name="QB_ROW_585270" localSheetId="17" hidden="1">'TFI - Jan 2nd to 29th -  QB '!$H$119</definedName>
    <definedName name="QB_ROW_587270" localSheetId="17" hidden="1">'TFI - Jan 2nd to 29th -  QB '!$H$128</definedName>
    <definedName name="QB_ROW_587270" localSheetId="19" hidden="1">'TFI &amp; TeKSS- Jul 3 - Jul 30'!#REF!</definedName>
    <definedName name="QB_ROW_588270" localSheetId="17" hidden="1">'TFI - Jan 2nd to 29th -  QB '!$H$129</definedName>
    <definedName name="QB_ROW_588270" localSheetId="19" hidden="1">'TFI &amp; TeKSS- Jul 3 - Jul 30'!#REF!</definedName>
    <definedName name="QB_ROW_589060" localSheetId="17" hidden="1">'TFI - Jan 2nd to 29th -  QB '!$G$131</definedName>
    <definedName name="QB_ROW_589060" localSheetId="19" hidden="1">'TFI &amp; TeKSS- Jul 3 - Jul 30'!#REF!</definedName>
    <definedName name="QB_ROW_589360" localSheetId="17" hidden="1">'TFI - Jan 2nd to 29th -  QB '!$G$133</definedName>
    <definedName name="QB_ROW_589360" localSheetId="19" hidden="1">'TFI &amp; TeKSS- Jul 3 - Jul 30'!#REF!</definedName>
    <definedName name="QB_ROW_59040" localSheetId="10" hidden="1">'P6'!$E$5</definedName>
    <definedName name="QB_ROW_59040" localSheetId="8" hidden="1">'P8'!$E$4</definedName>
    <definedName name="QB_ROW_59040" localSheetId="7" hidden="1">'P9'!$E$4</definedName>
    <definedName name="QB_ROW_591270" localSheetId="17" hidden="1">'TFI - Jan 2nd to 29th -  QB '!$H$105</definedName>
    <definedName name="QB_ROW_59340" localSheetId="10" hidden="1">'P6'!$E$11</definedName>
    <definedName name="QB_ROW_59340" localSheetId="8" hidden="1">'P8'!$E$9</definedName>
    <definedName name="QB_ROW_59340" localSheetId="7" hidden="1">'P9'!$E$10</definedName>
    <definedName name="QB_ROW_594270" localSheetId="19" hidden="1">'TFI &amp; TeKSS- Jul 3 - Jul 30'!#REF!</definedName>
    <definedName name="QB_ROW_596270" localSheetId="17" hidden="1">'TFI - Jan 2nd to 29th -  QB '!$H$108</definedName>
    <definedName name="QB_ROW_596270" localSheetId="19" hidden="1">'TFI &amp; TeKSS- Jul 3 - Jul 30'!#REF!</definedName>
    <definedName name="QB_ROW_599270" localSheetId="17" hidden="1">'TFI - Jan 2nd to 29th -  QB '!$H$94</definedName>
    <definedName name="QB_ROW_599270" localSheetId="19" hidden="1">'TFI &amp; TeKSS- Jul 3 - Jul 30'!#REF!</definedName>
    <definedName name="QB_ROW_60060" localSheetId="10" hidden="1">'P6'!$G$29</definedName>
    <definedName name="QB_ROW_60060" localSheetId="8" hidden="1">'P8'!$G$27</definedName>
    <definedName name="QB_ROW_60060" localSheetId="7" hidden="1">'P9'!$G$30</definedName>
    <definedName name="QB_ROW_60360" localSheetId="10" hidden="1">'P6'!$G$47</definedName>
    <definedName name="QB_ROW_60360" localSheetId="8" hidden="1">'P8'!$G$115</definedName>
    <definedName name="QB_ROW_60360" localSheetId="7" hidden="1">'P9'!$G$127</definedName>
    <definedName name="QB_ROW_610270" localSheetId="19" hidden="1">'TFI &amp; TeKSS- Jul 3 - Jul 30'!#REF!</definedName>
    <definedName name="QB_ROW_61070" localSheetId="8" hidden="1">'P8'!$H$68</definedName>
    <definedName name="QB_ROW_61070" localSheetId="7" hidden="1">'P9'!$H$74</definedName>
    <definedName name="QB_ROW_611050" localSheetId="17" hidden="1">'TFI - Jan 2nd to 29th -  QB '!$F$103</definedName>
    <definedName name="QB_ROW_611050" localSheetId="19" hidden="1">'TFI &amp; TeKSS- Jul 3 - Jul 30'!#REF!</definedName>
    <definedName name="QB_ROW_611350" localSheetId="17" hidden="1">'TFI - Jan 2nd to 29th -  QB '!$F$134</definedName>
    <definedName name="QB_ROW_611350" localSheetId="19" hidden="1">'TFI &amp; TeKSS- Jul 3 - Jul 30'!#REF!</definedName>
    <definedName name="QB_ROW_612060" localSheetId="17" hidden="1">'TFI - Jan 2nd to 29th -  QB '!$G$121</definedName>
    <definedName name="QB_ROW_612060" localSheetId="19" hidden="1">'TFI &amp; TeKSS- Jul 3 - Jul 30'!#REF!</definedName>
    <definedName name="QB_ROW_612270" localSheetId="17" hidden="1">'TFI - Jan 2nd to 29th -  QB '!$H$124</definedName>
    <definedName name="QB_ROW_612360" localSheetId="17" hidden="1">'TFI - Jan 2nd to 29th -  QB '!$G$125</definedName>
    <definedName name="QB_ROW_612360" localSheetId="19" hidden="1">'TFI &amp; TeKSS- Jul 3 - Jul 30'!#REF!</definedName>
    <definedName name="QB_ROW_613270" localSheetId="19" hidden="1">'TFI &amp; TeKSS- Jul 3 - Jul 30'!#REF!</definedName>
    <definedName name="QB_ROW_61370" localSheetId="10" hidden="1">'P6'!$H$38</definedName>
    <definedName name="QB_ROW_61370" localSheetId="8" hidden="1">'P8'!$H$72</definedName>
    <definedName name="QB_ROW_61370" localSheetId="7" hidden="1">'P9'!$H$79</definedName>
    <definedName name="QB_ROW_614060" localSheetId="19" hidden="1">'TFI &amp; TeKSS- Jul 3 - Jul 30'!#REF!</definedName>
    <definedName name="QB_ROW_614360" localSheetId="19" hidden="1">'TFI &amp; TeKSS- Jul 3 - Jul 30'!#REF!</definedName>
    <definedName name="QB_ROW_615270" localSheetId="19" hidden="1">'TFI &amp; TeKSS- Jul 3 - Jul 30'!#REF!</definedName>
    <definedName name="QB_ROW_616270" localSheetId="19" hidden="1">'TFI &amp; TeKSS- Jul 3 - Jul 30'!#REF!</definedName>
    <definedName name="QB_ROW_618270" localSheetId="19" hidden="1">'TFI &amp; TeKSS- Jul 3 - Jul 30'!#REF!</definedName>
    <definedName name="QB_ROW_619270" localSheetId="19" hidden="1">'TFI &amp; TeKSS- Jul 3 - Jul 30'!#REF!</definedName>
    <definedName name="QB_ROW_62280" localSheetId="7" hidden="1">'P9'!$I$76</definedName>
    <definedName name="QB_ROW_628270" localSheetId="19" hidden="1">'TFI &amp; TeKSS- Jul 3 - Jul 30'!#REF!</definedName>
    <definedName name="QB_ROW_629270" localSheetId="17" hidden="1">'TFI - Jan 2nd to 29th -  QB '!$H$122</definedName>
    <definedName name="QB_ROW_629270" localSheetId="19" hidden="1">'TFI &amp; TeKSS- Jul 3 - Jul 30'!#REF!</definedName>
    <definedName name="QB_ROW_632270" localSheetId="19" hidden="1">'TFI &amp; TeKSS- Jul 3 - Jul 30'!#REF!</definedName>
    <definedName name="QB_ROW_63280" localSheetId="8" hidden="1">'P8'!$I$69</definedName>
    <definedName name="QB_ROW_63280" localSheetId="7" hidden="1">'P9'!$I$75</definedName>
    <definedName name="QB_ROW_633050" localSheetId="17" hidden="1">'TFI - Jan 2nd to 29th -  QB '!$F$135</definedName>
    <definedName name="QB_ROW_633050" localSheetId="19" hidden="1">'TFI &amp; TeKSS- Jul 3 - Jul 30'!#REF!</definedName>
    <definedName name="QB_ROW_633350" localSheetId="17" hidden="1">'TFI - Jan 2nd to 29th -  QB '!$F$148</definedName>
    <definedName name="QB_ROW_633350" localSheetId="19" hidden="1">'TFI &amp; TeKSS- Jul 3 - Jul 30'!#REF!</definedName>
    <definedName name="QB_ROW_637270" localSheetId="17" hidden="1">'TFI - Jan 2nd to 29th -  QB '!$H$145</definedName>
    <definedName name="QB_ROW_637270" localSheetId="19" hidden="1">'TFI &amp; TeKSS- Jul 3 - Jul 30'!#REF!</definedName>
    <definedName name="QB_ROW_639050" localSheetId="19" hidden="1">'TFI &amp; TeKSS- Jul 3 - Jul 30'!#REF!</definedName>
    <definedName name="QB_ROW_639350" localSheetId="19" hidden="1">'TFI &amp; TeKSS- Jul 3 - Jul 30'!#REF!</definedName>
    <definedName name="QB_ROW_642260" localSheetId="19" hidden="1">'TFI &amp; TeKSS- Jul 3 - Jul 30'!#REF!</definedName>
    <definedName name="QB_ROW_64280" localSheetId="8" hidden="1">'P8'!$I$70</definedName>
    <definedName name="QB_ROW_64280" localSheetId="7" hidden="1">'P9'!$I$77</definedName>
    <definedName name="QB_ROW_644270" localSheetId="17" hidden="1">'TFI - Jan 2nd to 29th -  QB '!$H$137</definedName>
    <definedName name="QB_ROW_644270" localSheetId="19" hidden="1">'TFI &amp; TeKSS- Jul 3 - Jul 30'!#REF!</definedName>
    <definedName name="QB_ROW_646250" localSheetId="17" hidden="1">'TFI - Jan 2nd to 29th -  QB '!$F$8</definedName>
    <definedName name="QB_ROW_65280" localSheetId="8" hidden="1">'P8'!$I$71</definedName>
    <definedName name="QB_ROW_65280" localSheetId="7" hidden="1">'P9'!$I$78</definedName>
    <definedName name="QB_ROW_659270" localSheetId="19" hidden="1">'TFI &amp; TeKSS- Jul 3 - Jul 30'!#REF!</definedName>
    <definedName name="QB_ROW_66070" localSheetId="8" hidden="1">'P8'!$H$84</definedName>
    <definedName name="QB_ROW_66070" localSheetId="7" hidden="1">'P9'!$H$92</definedName>
    <definedName name="QB_ROW_66370" localSheetId="10" hidden="1">'P6'!$H$41</definedName>
    <definedName name="QB_ROW_66370" localSheetId="8" hidden="1">'P8'!$H$88</definedName>
    <definedName name="QB_ROW_66370" localSheetId="7" hidden="1">'P9'!$H$96</definedName>
    <definedName name="QB_ROW_671050" localSheetId="17" hidden="1">'TFI - Jan 2nd to 29th -  QB '!$F$12</definedName>
    <definedName name="QB_ROW_671050" localSheetId="19" hidden="1">'TFI &amp; TeKSS- Jul 3 - Jul 30'!#REF!</definedName>
    <definedName name="QB_ROW_671350" localSheetId="17" hidden="1">'TFI - Jan 2nd to 29th -  QB '!$F$23</definedName>
    <definedName name="QB_ROW_671350" localSheetId="19" hidden="1">'TFI &amp; TeKSS- Jul 3 - Jul 30'!#REF!</definedName>
    <definedName name="QB_ROW_672260" localSheetId="17" hidden="1">'TFI - Jan 2nd to 29th -  QB '!$G$13</definedName>
    <definedName name="QB_ROW_672260" localSheetId="19" hidden="1">'TFI &amp; TeKSS- Jul 3 - Jul 30'!#REF!</definedName>
    <definedName name="QB_ROW_67280" localSheetId="8" hidden="1">'P8'!$I$85</definedName>
    <definedName name="QB_ROW_67280" localSheetId="7" hidden="1">'P9'!$I$93</definedName>
    <definedName name="QB_ROW_673260" localSheetId="17" hidden="1">'TFI - Jan 2nd to 29th -  QB '!$G$15</definedName>
    <definedName name="QB_ROW_673260" localSheetId="19" hidden="1">'TFI &amp; TeKSS- Jul 3 - Jul 30'!#REF!</definedName>
    <definedName name="QB_ROW_675260" localSheetId="17" hidden="1">'TFI - Jan 2nd to 29th -  QB '!$G$18</definedName>
    <definedName name="QB_ROW_675260" localSheetId="19" hidden="1">'TFI &amp; TeKSS- Jul 3 - Jul 30'!#REF!</definedName>
    <definedName name="QB_ROW_676260" localSheetId="17" hidden="1">'TFI - Jan 2nd to 29th -  QB '!$G$19</definedName>
    <definedName name="QB_ROW_676260" localSheetId="19" hidden="1">'TFI &amp; TeKSS- Jul 3 - Jul 30'!#REF!</definedName>
    <definedName name="QB_ROW_677260" localSheetId="17" hidden="1">'TFI - Jan 2nd to 29th -  QB '!$G$16</definedName>
    <definedName name="QB_ROW_677260" localSheetId="19" hidden="1">'TFI &amp; TeKSS- Jul 3 - Jul 30'!#REF!</definedName>
    <definedName name="QB_ROW_678260" localSheetId="17" hidden="1">'TFI - Jan 2nd to 29th -  QB '!$G$14</definedName>
    <definedName name="QB_ROW_678260" localSheetId="19" hidden="1">'TFI &amp; TeKSS- Jul 3 - Jul 30'!#REF!</definedName>
    <definedName name="QB_ROW_681260" localSheetId="17" hidden="1">'TFI - Jan 2nd to 29th -  QB '!$G$17</definedName>
    <definedName name="QB_ROW_681260" localSheetId="19" hidden="1">'TFI &amp; TeKSS- Jul 3 - Jul 30'!#REF!</definedName>
    <definedName name="QB_ROW_685260" localSheetId="17" hidden="1">'TFI - Jan 2nd to 29th -  QB '!$G$21</definedName>
    <definedName name="QB_ROW_685260" localSheetId="19" hidden="1">'TFI &amp; TeKSS- Jul 3 - Jul 30'!#REF!</definedName>
    <definedName name="QB_ROW_686260" localSheetId="17" hidden="1">'TFI - Jan 2nd to 29th -  QB '!$G$22</definedName>
    <definedName name="QB_ROW_686260" localSheetId="19" hidden="1">'TFI &amp; TeKSS- Jul 3 - Jul 30'!#REF!</definedName>
    <definedName name="QB_ROW_689260" localSheetId="17" hidden="1">'TFI - Jan 2nd to 29th -  QB '!$G$20</definedName>
    <definedName name="QB_ROW_689260" localSheetId="19" hidden="1">'TFI &amp; TeKSS- Jul 3 - Jul 30'!#REF!</definedName>
    <definedName name="QB_ROW_690270" localSheetId="19" hidden="1">'TFI &amp; TeKSS- Jul 3 - Jul 30'!#REF!</definedName>
    <definedName name="QB_ROW_692270" localSheetId="19" hidden="1">'TFI &amp; TeKSS- Jul 3 - Jul 30'!#REF!</definedName>
    <definedName name="QB_ROW_69280" localSheetId="8" hidden="1">'P8'!$I$86</definedName>
    <definedName name="QB_ROW_69280" localSheetId="7" hidden="1">'P9'!$I$94</definedName>
    <definedName name="QB_ROW_696260" localSheetId="17" hidden="1">'TFI - Jan 2nd to 29th -  QB '!$G$36</definedName>
    <definedName name="QB_ROW_696260" localSheetId="19" hidden="1">'TFI &amp; TeKSS- Jul 3 - Jul 30'!#REF!</definedName>
    <definedName name="QB_ROW_697260" localSheetId="19" hidden="1">'TFI &amp; TeKSS- Jul 3 - Jul 30'!#REF!</definedName>
    <definedName name="QB_ROW_698260" localSheetId="19" hidden="1">'TFI &amp; TeKSS- Jul 3 - Jul 30'!#REF!</definedName>
    <definedName name="QB_ROW_699260" localSheetId="19" hidden="1">'TFI &amp; TeKSS- Jul 3 - Jul 30'!#REF!</definedName>
    <definedName name="QB_ROW_700260" localSheetId="19" hidden="1">'TFI &amp; TeKSS- Jul 3 - Jul 30'!#REF!</definedName>
    <definedName name="QB_ROW_701260" localSheetId="19" hidden="1">'TFI &amp; TeKSS- Jul 3 - Jul 30'!#REF!</definedName>
    <definedName name="QB_ROW_70280" localSheetId="8" hidden="1">'P8'!$I$87</definedName>
    <definedName name="QB_ROW_70280" localSheetId="7" hidden="1">'P9'!$I$95</definedName>
    <definedName name="QB_ROW_703260" localSheetId="19" hidden="1">'TFI &amp; TeKSS- Jul 3 - Jul 30'!#REF!</definedName>
    <definedName name="QB_ROW_704260" localSheetId="19" hidden="1">'TFI &amp; TeKSS- Jul 3 - Jul 30'!#REF!</definedName>
    <definedName name="QB_ROW_706260" localSheetId="17" hidden="1">'TFI - Jan 2nd to 29th -  QB '!$G$37</definedName>
    <definedName name="QB_ROW_706260" localSheetId="19" hidden="1">'TFI &amp; TeKSS- Jul 3 - Jul 30'!#REF!</definedName>
    <definedName name="QB_ROW_707260" localSheetId="17" hidden="1">'TFI - Jan 2nd to 29th -  QB '!$G$38</definedName>
    <definedName name="QB_ROW_707260" localSheetId="19" hidden="1">'TFI &amp; TeKSS- Jul 3 - Jul 30'!#REF!</definedName>
    <definedName name="QB_ROW_708260" localSheetId="17" hidden="1">'TFI - Jan 2nd to 29th -  QB '!$G$43</definedName>
    <definedName name="QB_ROW_709260" localSheetId="17" hidden="1">'TFI - Jan 2nd to 29th -  QB '!$G$44</definedName>
    <definedName name="QB_ROW_71070" localSheetId="8" hidden="1">'P8'!$H$48</definedName>
    <definedName name="QB_ROW_71070" localSheetId="7" hidden="1">'P9'!$H$51</definedName>
    <definedName name="QB_ROW_713270" localSheetId="17" hidden="1">'TFI - Jan 2nd to 29th -  QB '!$H$123</definedName>
    <definedName name="QB_ROW_713270" localSheetId="19" hidden="1">'TFI &amp; TeKSS- Jul 3 - Jul 30'!#REF!</definedName>
    <definedName name="QB_ROW_71370" localSheetId="10" hidden="1">'P6'!$H$35</definedName>
    <definedName name="QB_ROW_71370" localSheetId="8" hidden="1">'P8'!$H$52</definedName>
    <definedName name="QB_ROW_71370" localSheetId="7" hidden="1">'P9'!$H$55</definedName>
    <definedName name="QB_ROW_719050" localSheetId="17" hidden="1">'TFI - Jan 2nd to 29th -  QB '!$F$149</definedName>
    <definedName name="QB_ROW_719050" localSheetId="19" hidden="1">'TFI &amp; TeKSS- Jul 3 - Jul 30'!#REF!</definedName>
    <definedName name="QB_ROW_719350" localSheetId="17" hidden="1">'TFI - Jan 2nd to 29th -  QB '!$F$171</definedName>
    <definedName name="QB_ROW_719350" localSheetId="19" hidden="1">'TFI &amp; TeKSS- Jul 3 - Jul 30'!#REF!</definedName>
    <definedName name="QB_ROW_722060" localSheetId="19" hidden="1">'TFI &amp; TeKSS- Jul 3 - Jul 30'!#REF!</definedName>
    <definedName name="QB_ROW_722360" localSheetId="19" hidden="1">'TFI &amp; TeKSS- Jul 3 - Jul 30'!#REF!</definedName>
    <definedName name="QB_ROW_72280" localSheetId="8" hidden="1">'P8'!$I$49</definedName>
    <definedName name="QB_ROW_72280" localSheetId="7" hidden="1">'P9'!$I$52</definedName>
    <definedName name="QB_ROW_723270" localSheetId="19" hidden="1">'TFI &amp; TeKSS- Jul 3 - Jul 30'!#REF!</definedName>
    <definedName name="QB_ROW_724270" localSheetId="19" hidden="1">'TFI &amp; TeKSS- Jul 3 - Jul 30'!#REF!</definedName>
    <definedName name="QB_ROW_726270" localSheetId="19" hidden="1">'TFI &amp; TeKSS- Jul 3 - Jul 30'!#REF!</definedName>
    <definedName name="QB_ROW_727270" localSheetId="19" hidden="1">'TFI &amp; TeKSS- Jul 3 - Jul 30'!#REF!</definedName>
    <definedName name="QB_ROW_729270" localSheetId="19" hidden="1">'TFI &amp; TeKSS- Jul 3 - Jul 30'!#REF!</definedName>
    <definedName name="QB_ROW_736270" localSheetId="19" hidden="1">'TFI &amp; TeKSS- Jul 3 - Jul 30'!#REF!</definedName>
    <definedName name="QB_ROW_740050" localSheetId="17" hidden="1">'TFI - Jan 2nd to 29th -  QB '!$F$172</definedName>
    <definedName name="QB_ROW_740050" localSheetId="19" hidden="1">'TFI &amp; TeKSS- Jul 3 - Jul 30'!#REF!</definedName>
    <definedName name="QB_ROW_740350" localSheetId="17" hidden="1">'TFI - Jan 2nd to 29th -  QB '!$F$189</definedName>
    <definedName name="QB_ROW_740350" localSheetId="19" hidden="1">'TFI &amp; TeKSS- Jul 3 - Jul 30'!#REF!</definedName>
    <definedName name="QB_ROW_741060" localSheetId="17" hidden="1">'TFI - Jan 2nd to 29th -  QB '!$G$173</definedName>
    <definedName name="QB_ROW_741060" localSheetId="19" hidden="1">'TFI &amp; TeKSS- Jul 3 - Jul 30'!#REF!</definedName>
    <definedName name="QB_ROW_741360" localSheetId="17" hidden="1">'TFI - Jan 2nd to 29th -  QB '!$G$179</definedName>
    <definedName name="QB_ROW_741360" localSheetId="19" hidden="1">'TFI &amp; TeKSS- Jul 3 - Jul 30'!#REF!</definedName>
    <definedName name="QB_ROW_742070" localSheetId="17" hidden="1">'TFI - Jan 2nd to 29th -  QB '!$H$174</definedName>
    <definedName name="QB_ROW_742070" localSheetId="19" hidden="1">'TFI &amp; TeKSS- Jul 3 - Jul 30'!#REF!</definedName>
    <definedName name="QB_ROW_742280" localSheetId="17" hidden="1">'TFI - Jan 2nd to 29th -  QB '!$I$177</definedName>
    <definedName name="QB_ROW_742280" localSheetId="19" hidden="1">'TFI &amp; TeKSS- Jul 3 - Jul 30'!#REF!</definedName>
    <definedName name="QB_ROW_742370" localSheetId="17" hidden="1">'TFI - Jan 2nd to 29th -  QB '!$H$178</definedName>
    <definedName name="QB_ROW_742370" localSheetId="19" hidden="1">'TFI &amp; TeKSS- Jul 3 - Jul 30'!#REF!</definedName>
    <definedName name="QB_ROW_74280" localSheetId="8" hidden="1">'P8'!$I$50</definedName>
    <definedName name="QB_ROW_74280" localSheetId="7" hidden="1">'P9'!$I$53</definedName>
    <definedName name="QB_ROW_743060" localSheetId="17" hidden="1">'TFI - Jan 2nd to 29th -  QB '!$G$180</definedName>
    <definedName name="QB_ROW_743060" localSheetId="19" hidden="1">'TFI &amp; TeKSS- Jul 3 - Jul 30'!#REF!</definedName>
    <definedName name="QB_ROW_743360" localSheetId="17" hidden="1">'TFI - Jan 2nd to 29th -  QB '!$G$183</definedName>
    <definedName name="QB_ROW_743360" localSheetId="19" hidden="1">'TFI &amp; TeKSS- Jul 3 - Jul 30'!#REF!</definedName>
    <definedName name="QB_ROW_744270" localSheetId="17" hidden="1">'TFI - Jan 2nd to 29th -  QB '!$H$181</definedName>
    <definedName name="QB_ROW_752060" localSheetId="19" hidden="1">'TFI &amp; TeKSS- Jul 3 - Jul 30'!#REF!</definedName>
    <definedName name="QB_ROW_752360" localSheetId="19" hidden="1">'TFI &amp; TeKSS- Jul 3 - Jul 30'!#REF!</definedName>
    <definedName name="QB_ROW_75280" localSheetId="8" hidden="1">'P8'!$I$51</definedName>
    <definedName name="QB_ROW_75280" localSheetId="7" hidden="1">'P9'!$I$54</definedName>
    <definedName name="QB_ROW_753270" localSheetId="19" hidden="1">'TFI &amp; TeKSS- Jul 3 - Jul 30'!#REF!</definedName>
    <definedName name="QB_ROW_754270" localSheetId="19" hidden="1">'TFI &amp; TeKSS- Jul 3 - Jul 30'!#REF!</definedName>
    <definedName name="QB_ROW_755270" localSheetId="19" hidden="1">'TFI &amp; TeKSS- Jul 3 - Jul 30'!#REF!</definedName>
    <definedName name="QB_ROW_757060" localSheetId="17" hidden="1">'TFI - Jan 2nd to 29th -  QB '!$G$136</definedName>
    <definedName name="QB_ROW_757060" localSheetId="19" hidden="1">'TFI &amp; TeKSS- Jul 3 - Jul 30'!#REF!</definedName>
    <definedName name="QB_ROW_757360" localSheetId="17" hidden="1">'TFI - Jan 2nd to 29th -  QB '!$G$140</definedName>
    <definedName name="QB_ROW_757360" localSheetId="19" hidden="1">'TFI &amp; TeKSS- Jul 3 - Jul 30'!#REF!</definedName>
    <definedName name="QB_ROW_758060" localSheetId="17" hidden="1">'TFI - Jan 2nd to 29th -  QB '!$G$144</definedName>
    <definedName name="QB_ROW_758060" localSheetId="19" hidden="1">'TFI &amp; TeKSS- Jul 3 - Jul 30'!#REF!</definedName>
    <definedName name="QB_ROW_758360" localSheetId="17" hidden="1">'TFI - Jan 2nd to 29th -  QB '!$G$147</definedName>
    <definedName name="QB_ROW_758360" localSheetId="19" hidden="1">'TFI &amp; TeKSS- Jul 3 - Jul 30'!#REF!</definedName>
    <definedName name="QB_ROW_759060" localSheetId="19" hidden="1">'TFI &amp; TeKSS- Jul 3 - Jul 30'!#REF!</definedName>
    <definedName name="QB_ROW_759360" localSheetId="19" hidden="1">'TFI &amp; TeKSS- Jul 3 - Jul 30'!#REF!</definedName>
    <definedName name="QB_ROW_76070" localSheetId="8" hidden="1">'P8'!$H$28</definedName>
    <definedName name="QB_ROW_76070" localSheetId="7" hidden="1">'P9'!$H$31</definedName>
    <definedName name="QB_ROW_761060" localSheetId="17" hidden="1">'TFI - Jan 2nd to 29th -  QB '!$G$150</definedName>
    <definedName name="QB_ROW_761360" localSheetId="17" hidden="1">'TFI - Jan 2nd to 29th -  QB '!$G$152</definedName>
    <definedName name="QB_ROW_763270" localSheetId="17" hidden="1">'TFI - Jan 2nd to 29th -  QB '!$H$138</definedName>
    <definedName name="QB_ROW_76370" localSheetId="10" hidden="1">'P6'!$H$30</definedName>
    <definedName name="QB_ROW_76370" localSheetId="8" hidden="1">'P8'!$H$32</definedName>
    <definedName name="QB_ROW_76370" localSheetId="7" hidden="1">'P9'!$H$36</definedName>
    <definedName name="QB_ROW_764270" localSheetId="17" hidden="1">'TFI - Jan 2nd to 29th -  QB '!$H$139</definedName>
    <definedName name="QB_ROW_765270" localSheetId="17" hidden="1">'TFI - Jan 2nd to 29th -  QB '!$H$151</definedName>
    <definedName name="QB_ROW_767270" localSheetId="19" hidden="1">'TFI &amp; TeKSS- Jul 3 - Jul 30'!#REF!</definedName>
    <definedName name="QB_ROW_77280" localSheetId="7" hidden="1">'P9'!$I$33</definedName>
    <definedName name="QB_ROW_774270" localSheetId="19" hidden="1">'TFI &amp; TeKSS- Jul 3 - Jul 30'!#REF!</definedName>
    <definedName name="QB_ROW_776280" localSheetId="17" hidden="1">'TFI - Jan 2nd to 29th -  QB '!$I$176</definedName>
    <definedName name="QB_ROW_777280" localSheetId="17" hidden="1">'TFI - Jan 2nd to 29th -  QB '!$I$175</definedName>
    <definedName name="QB_ROW_777280" localSheetId="19" hidden="1">'TFI &amp; TeKSS- Jul 3 - Jul 30'!#REF!</definedName>
    <definedName name="QB_ROW_779270" localSheetId="19" hidden="1">'TFI &amp; TeKSS- Jul 3 - Jul 30'!#REF!</definedName>
    <definedName name="QB_ROW_78280" localSheetId="8" hidden="1">'P8'!$I$29</definedName>
    <definedName name="QB_ROW_78280" localSheetId="7" hidden="1">'P9'!$I$32</definedName>
    <definedName name="QB_ROW_786270" localSheetId="19" hidden="1">'TFI &amp; TeKSS- Jul 3 - Jul 30'!#REF!</definedName>
    <definedName name="QB_ROW_788260" localSheetId="17" hidden="1">'TFI - Jan 2nd to 29th -  QB '!$G$35</definedName>
    <definedName name="QB_ROW_788260" localSheetId="19" hidden="1">'TFI &amp; TeKSS- Jul 3 - Jul 30'!#REF!</definedName>
    <definedName name="QB_ROW_79280" localSheetId="8" hidden="1">'P8'!$I$30</definedName>
    <definedName name="QB_ROW_79280" localSheetId="7" hidden="1">'P9'!$I$34</definedName>
    <definedName name="QB_ROW_80280" localSheetId="8" hidden="1">'P8'!$I$31</definedName>
    <definedName name="QB_ROW_80280" localSheetId="7" hidden="1">'P9'!$I$35</definedName>
    <definedName name="QB_ROW_805050" localSheetId="17" hidden="1">'TFI - Jan 2nd to 29th -  QB '!$F$190</definedName>
    <definedName name="QB_ROW_805350" localSheetId="17" hidden="1">'TFI - Jan 2nd to 29th -  QB '!$F$192</definedName>
    <definedName name="QB_ROW_806260" localSheetId="17" hidden="1">'TFI - Jan 2nd to 29th -  QB '!$G$191</definedName>
    <definedName name="QB_ROW_81070" localSheetId="8" hidden="1">'P8'!$H$63</definedName>
    <definedName name="QB_ROW_81070" localSheetId="7" hidden="1">'P9'!$H$68</definedName>
    <definedName name="QB_ROW_81370" localSheetId="10" hidden="1">'P6'!$H$37</definedName>
    <definedName name="QB_ROW_81370" localSheetId="8" hidden="1">'P8'!$H$67</definedName>
    <definedName name="QB_ROW_81370" localSheetId="7" hidden="1">'P9'!$H$73</definedName>
    <definedName name="QB_ROW_82280" localSheetId="7" hidden="1">'P9'!$I$70</definedName>
    <definedName name="QB_ROW_83280" localSheetId="8" hidden="1">'P8'!$I$64</definedName>
    <definedName name="QB_ROW_83280" localSheetId="7" hidden="1">'P9'!$I$69</definedName>
    <definedName name="QB_ROW_84280" localSheetId="8" hidden="1">'P8'!$I$65</definedName>
    <definedName name="QB_ROW_84280" localSheetId="7" hidden="1">'P9'!$I$71</definedName>
    <definedName name="QB_ROW_85280" localSheetId="8" hidden="1">'P8'!$I$66</definedName>
    <definedName name="QB_ROW_85280" localSheetId="7" hidden="1">'P9'!$I$72</definedName>
    <definedName name="QB_ROW_86321" localSheetId="10" hidden="1">'P6'!$C$13</definedName>
    <definedName name="QB_ROW_86321" localSheetId="8" hidden="1">'P8'!$C$14</definedName>
    <definedName name="QB_ROW_86321" localSheetId="7" hidden="1">'P9'!$C$12</definedName>
    <definedName name="QB_ROW_86321" localSheetId="17" hidden="1">'TFI - Jan 2nd to 29th -  QB '!$C$61</definedName>
    <definedName name="QB_ROW_86321" localSheetId="19" hidden="1">'TFI &amp; TeKSS- Jul 3 - Jul 30'!#REF!</definedName>
    <definedName name="QB_ROW_87031" localSheetId="8" hidden="1">'P8'!$D$11</definedName>
    <definedName name="QB_ROW_87031" localSheetId="17" hidden="1">'TFI - Jan 2nd to 29th -  QB '!$D$26</definedName>
    <definedName name="QB_ROW_87031" localSheetId="19" hidden="1">'TFI &amp; TeKSS- Jul 3 - Jul 30'!#REF!</definedName>
    <definedName name="QB_ROW_87331" localSheetId="8" hidden="1">'P8'!$D$13</definedName>
    <definedName name="QB_ROW_87331" localSheetId="17" hidden="1">'TFI - Jan 2nd to 29th -  QB '!$D$60</definedName>
    <definedName name="QB_ROW_87331" localSheetId="19" hidden="1">'TFI &amp; TeKSS- Jul 3 - Jul 30'!#REF!</definedName>
    <definedName name="QB_ROW_91070" localSheetId="8" hidden="1">'P8'!$H$53</definedName>
    <definedName name="QB_ROW_91070" localSheetId="7" hidden="1">'P9'!$H$56</definedName>
    <definedName name="QB_ROW_91370" localSheetId="10" hidden="1">'P6'!$H$36</definedName>
    <definedName name="QB_ROW_91370" localSheetId="8" hidden="1">'P8'!$H$58</definedName>
    <definedName name="QB_ROW_91370" localSheetId="7" hidden="1">'P9'!$H$61</definedName>
    <definedName name="QB_ROW_92280" localSheetId="8" hidden="1">'P8'!$I$55</definedName>
    <definedName name="QB_ROW_92280" localSheetId="7" hidden="1">'P9'!$I$58</definedName>
    <definedName name="QB_ROW_9240" localSheetId="8" hidden="1">'P8'!$E$12</definedName>
    <definedName name="QB_ROW_93280" localSheetId="8" hidden="1">'P8'!$I$54</definedName>
    <definedName name="QB_ROW_93280" localSheetId="7" hidden="1">'P9'!$I$57</definedName>
    <definedName name="QB_ROW_94280" localSheetId="8" hidden="1">'P8'!$I$56</definedName>
    <definedName name="QB_ROW_94280" localSheetId="7" hidden="1">'P9'!$I$59</definedName>
    <definedName name="QB_ROW_95280" localSheetId="8" hidden="1">'P8'!$I$57</definedName>
    <definedName name="QB_ROW_95280" localSheetId="7" hidden="1">'P9'!$I$60</definedName>
    <definedName name="QBCANSUPPORTUPDATE" localSheetId="10">TRUE</definedName>
    <definedName name="QBCANSUPPORTUPDATE" localSheetId="8">TRUE</definedName>
    <definedName name="QBCANSUPPORTUPDATE" localSheetId="7">TRUE</definedName>
    <definedName name="QBCANSUPPORTUPDATE" localSheetId="17">TRUE</definedName>
    <definedName name="QBCANSUPPORTUPDATE" localSheetId="19">TRUE</definedName>
    <definedName name="QBCOMPANYFILENAME" localSheetId="10">"\\SRV-QBWOX-001\QuickBooks\QB-TKSS\TeKnowledge Shared Services (Pvt) Ltd.QBW"</definedName>
    <definedName name="QBCOMPANYFILENAME" localSheetId="8">"\\SRV-QBWOX-001\QuickBooks\QB-TKSS\TeKnowledge Shared Services (Pvt) Ltd.QBW"</definedName>
    <definedName name="QBCOMPANYFILENAME" localSheetId="7">"\\SRV-QBWOX-001\QuickBooks\QB-TKSS\TeKnowledge Shared Services (Pvt) Ltd.QBW"</definedName>
    <definedName name="QBCOMPANYFILENAME" localSheetId="17">"\\SRV-QBWOX-001\QuickBooks\QB-TFI-SL\TFI-SL.QBW"</definedName>
    <definedName name="QBCOMPANYFILENAME" localSheetId="19">"\\SRV-QBWOX-001\QuickBooks\QB-TFI-SL\TFI-SL.QBW"</definedName>
    <definedName name="QBENDDATE" localSheetId="10">20160630</definedName>
    <definedName name="QBENDDATE" localSheetId="8">20160825</definedName>
    <definedName name="QBENDDATE" localSheetId="7">20160929</definedName>
    <definedName name="QBENDDATE" localSheetId="17">20150129</definedName>
    <definedName name="QBENDDATE" localSheetId="19">20150226</definedName>
    <definedName name="QBHEADERSONSCREEN" localSheetId="10">FALSE</definedName>
    <definedName name="QBHEADERSONSCREEN" localSheetId="8">FALSE</definedName>
    <definedName name="QBHEADERSONSCREEN" localSheetId="7">FALSE</definedName>
    <definedName name="QBHEADERSONSCREEN" localSheetId="17">FALSE</definedName>
    <definedName name="QBHEADERSONSCREEN" localSheetId="19">FALSE</definedName>
    <definedName name="QBMETADATASIZE" localSheetId="10">5785</definedName>
    <definedName name="QBMETADATASIZE" localSheetId="8">5785</definedName>
    <definedName name="QBMETADATASIZE" localSheetId="7">5785</definedName>
    <definedName name="QBMETADATASIZE" localSheetId="17">5785</definedName>
    <definedName name="QBMETADATASIZE" localSheetId="19">5785</definedName>
    <definedName name="QBPRESERVECOLOR" localSheetId="10">TRUE</definedName>
    <definedName name="QBPRESERVECOLOR" localSheetId="8">TRUE</definedName>
    <definedName name="QBPRESERVECOLOR" localSheetId="7">TRUE</definedName>
    <definedName name="QBPRESERVECOLOR" localSheetId="17">TRUE</definedName>
    <definedName name="QBPRESERVECOLOR" localSheetId="19">TRUE</definedName>
    <definedName name="QBPRESERVEFONT" localSheetId="10">TRUE</definedName>
    <definedName name="QBPRESERVEFONT" localSheetId="8">TRUE</definedName>
    <definedName name="QBPRESERVEFONT" localSheetId="7">TRUE</definedName>
    <definedName name="QBPRESERVEFONT" localSheetId="17">TRUE</definedName>
    <definedName name="QBPRESERVEFONT" localSheetId="19">TRUE</definedName>
    <definedName name="QBPRESERVEROWHEIGHT" localSheetId="10">TRUE</definedName>
    <definedName name="QBPRESERVEROWHEIGHT" localSheetId="8">TRUE</definedName>
    <definedName name="QBPRESERVEROWHEIGHT" localSheetId="7">TRUE</definedName>
    <definedName name="QBPRESERVEROWHEIGHT" localSheetId="17">TRUE</definedName>
    <definedName name="QBPRESERVEROWHEIGHT" localSheetId="19">TRUE</definedName>
    <definedName name="QBPRESERVESPACE" localSheetId="10">TRUE</definedName>
    <definedName name="QBPRESERVESPACE" localSheetId="8">TRUE</definedName>
    <definedName name="QBPRESERVESPACE" localSheetId="7">TRUE</definedName>
    <definedName name="QBPRESERVESPACE" localSheetId="17">TRUE</definedName>
    <definedName name="QBPRESERVESPACE" localSheetId="19">TRUE</definedName>
    <definedName name="QBREPORTCOLAXIS" localSheetId="10">0</definedName>
    <definedName name="QBREPORTCOLAXIS" localSheetId="8">0</definedName>
    <definedName name="QBREPORTCOLAXIS" localSheetId="7">0</definedName>
    <definedName name="QBREPORTCOLAXIS" localSheetId="17">0</definedName>
    <definedName name="QBREPORTCOLAXIS" localSheetId="19">0</definedName>
    <definedName name="QBREPORTCOMPANYID" localSheetId="10">"17bd790dcc7f4be595f1527e8c49a7d2"</definedName>
    <definedName name="QBREPORTCOMPANYID" localSheetId="8">"17bd790dcc7f4be595f1527e8c49a7d2"</definedName>
    <definedName name="QBREPORTCOMPANYID" localSheetId="7">"17bd790dcc7f4be595f1527e8c49a7d2"</definedName>
    <definedName name="QBREPORTCOMPANYID" localSheetId="17">"e9b894c4907c4b609f78f1fc62702593"</definedName>
    <definedName name="QBREPORTCOMPANYID" localSheetId="19">"e9b894c4907c4b609f78f1fc62702593"</definedName>
    <definedName name="QBREPORTCOMPARECOL_ANNUALBUDGET" localSheetId="10">FALSE</definedName>
    <definedName name="QBREPORTCOMPARECOL_ANNUALBUDGET" localSheetId="8">FALSE</definedName>
    <definedName name="QBREPORTCOMPARECOL_ANNUALBUDGET" localSheetId="7">FALSE</definedName>
    <definedName name="QBREPORTCOMPARECOL_ANNUALBUDGET" localSheetId="17">FALSE</definedName>
    <definedName name="QBREPORTCOMPARECOL_ANNUALBUDGET" localSheetId="19">FALSE</definedName>
    <definedName name="QBREPORTCOMPARECOL_AVGCOGS" localSheetId="10">FALSE</definedName>
    <definedName name="QBREPORTCOMPARECOL_AVGCOGS" localSheetId="8">FALSE</definedName>
    <definedName name="QBREPORTCOMPARECOL_AVGCOGS" localSheetId="7">FALSE</definedName>
    <definedName name="QBREPORTCOMPARECOL_AVGCOGS" localSheetId="17">FALSE</definedName>
    <definedName name="QBREPORTCOMPARECOL_AVGCOGS" localSheetId="19">FALSE</definedName>
    <definedName name="QBREPORTCOMPARECOL_AVGPRICE" localSheetId="10">FALSE</definedName>
    <definedName name="QBREPORTCOMPARECOL_AVGPRICE" localSheetId="8">FALSE</definedName>
    <definedName name="QBREPORTCOMPARECOL_AVGPRICE" localSheetId="7">FALSE</definedName>
    <definedName name="QBREPORTCOMPARECOL_AVGPRICE" localSheetId="17">FALSE</definedName>
    <definedName name="QBREPORTCOMPARECOL_AVGPRICE" localSheetId="19">FALSE</definedName>
    <definedName name="QBREPORTCOMPARECOL_BUDDIFF" localSheetId="10">FALSE</definedName>
    <definedName name="QBREPORTCOMPARECOL_BUDDIFF" localSheetId="8">FALSE</definedName>
    <definedName name="QBREPORTCOMPARECOL_BUDDIFF" localSheetId="7">FALSE</definedName>
    <definedName name="QBREPORTCOMPARECOL_BUDDIFF" localSheetId="17">FALSE</definedName>
    <definedName name="QBREPORTCOMPARECOL_BUDDIFF" localSheetId="19">FALSE</definedName>
    <definedName name="QBREPORTCOMPARECOL_BUDGET" localSheetId="10">FALSE</definedName>
    <definedName name="QBREPORTCOMPARECOL_BUDGET" localSheetId="8">FALSE</definedName>
    <definedName name="QBREPORTCOMPARECOL_BUDGET" localSheetId="7">FALSE</definedName>
    <definedName name="QBREPORTCOMPARECOL_BUDGET" localSheetId="17">FALSE</definedName>
    <definedName name="QBREPORTCOMPARECOL_BUDGET" localSheetId="19">FALSE</definedName>
    <definedName name="QBREPORTCOMPARECOL_BUDPCT" localSheetId="10">FALSE</definedName>
    <definedName name="QBREPORTCOMPARECOL_BUDPCT" localSheetId="8">FALSE</definedName>
    <definedName name="QBREPORTCOMPARECOL_BUDPCT" localSheetId="7">FALSE</definedName>
    <definedName name="QBREPORTCOMPARECOL_BUDPCT" localSheetId="17">FALSE</definedName>
    <definedName name="QBREPORTCOMPARECOL_BUDPCT" localSheetId="19">FALSE</definedName>
    <definedName name="QBREPORTCOMPARECOL_COGS" localSheetId="10">FALSE</definedName>
    <definedName name="QBREPORTCOMPARECOL_COGS" localSheetId="8">FALSE</definedName>
    <definedName name="QBREPORTCOMPARECOL_COGS" localSheetId="7">FALSE</definedName>
    <definedName name="QBREPORTCOMPARECOL_COGS" localSheetId="17">FALSE</definedName>
    <definedName name="QBREPORTCOMPARECOL_COGS" localSheetId="19">FALSE</definedName>
    <definedName name="QBREPORTCOMPARECOL_EXCLUDEAMOUNT" localSheetId="10">FALSE</definedName>
    <definedName name="QBREPORTCOMPARECOL_EXCLUDEAMOUNT" localSheetId="8">FALSE</definedName>
    <definedName name="QBREPORTCOMPARECOL_EXCLUDEAMOUNT" localSheetId="7">FALSE</definedName>
    <definedName name="QBREPORTCOMPARECOL_EXCLUDEAMOUNT" localSheetId="17">FALSE</definedName>
    <definedName name="QBREPORTCOMPARECOL_EXCLUDEAMOUNT" localSheetId="19">FALSE</definedName>
    <definedName name="QBREPORTCOMPARECOL_EXCLUDECURPERIOD" localSheetId="10">FALSE</definedName>
    <definedName name="QBREPORTCOMPARECOL_EXCLUDECURPERIOD" localSheetId="8">FALSE</definedName>
    <definedName name="QBREPORTCOMPARECOL_EXCLUDECURPERIOD" localSheetId="7">FALSE</definedName>
    <definedName name="QBREPORTCOMPARECOL_EXCLUDECURPERIOD" localSheetId="17">FALSE</definedName>
    <definedName name="QBREPORTCOMPARECOL_EXCLUDECURPERIOD" localSheetId="19">FALSE</definedName>
    <definedName name="QBREPORTCOMPARECOL_FORECAST" localSheetId="10">FALSE</definedName>
    <definedName name="QBREPORTCOMPARECOL_FORECAST" localSheetId="8">FALSE</definedName>
    <definedName name="QBREPORTCOMPARECOL_FORECAST" localSheetId="7">FALSE</definedName>
    <definedName name="QBREPORTCOMPARECOL_FORECAST" localSheetId="17">FALSE</definedName>
    <definedName name="QBREPORTCOMPARECOL_FORECAST" localSheetId="19">FALSE</definedName>
    <definedName name="QBREPORTCOMPARECOL_GROSSMARGIN" localSheetId="10">FALSE</definedName>
    <definedName name="QBREPORTCOMPARECOL_GROSSMARGIN" localSheetId="8">FALSE</definedName>
    <definedName name="QBREPORTCOMPARECOL_GROSSMARGIN" localSheetId="7">FALSE</definedName>
    <definedName name="QBREPORTCOMPARECOL_GROSSMARGIN" localSheetId="17">FALSE</definedName>
    <definedName name="QBREPORTCOMPARECOL_GROSSMARGIN" localSheetId="19">FALSE</definedName>
    <definedName name="QBREPORTCOMPARECOL_GROSSMARGINPCT" localSheetId="10">FALSE</definedName>
    <definedName name="QBREPORTCOMPARECOL_GROSSMARGINPCT" localSheetId="8">FALSE</definedName>
    <definedName name="QBREPORTCOMPARECOL_GROSSMARGINPCT" localSheetId="7">FALSE</definedName>
    <definedName name="QBREPORTCOMPARECOL_GROSSMARGINPCT" localSheetId="17">FALSE</definedName>
    <definedName name="QBREPORTCOMPARECOL_GROSSMARGINPCT" localSheetId="19">FALSE</definedName>
    <definedName name="QBREPORTCOMPARECOL_HOURS" localSheetId="10">FALSE</definedName>
    <definedName name="QBREPORTCOMPARECOL_HOURS" localSheetId="8">FALSE</definedName>
    <definedName name="QBREPORTCOMPARECOL_HOURS" localSheetId="7">FALSE</definedName>
    <definedName name="QBREPORTCOMPARECOL_HOURS" localSheetId="17">FALSE</definedName>
    <definedName name="QBREPORTCOMPARECOL_HOURS" localSheetId="19">FALSE</definedName>
    <definedName name="QBREPORTCOMPARECOL_PCTCOL" localSheetId="10">FALSE</definedName>
    <definedName name="QBREPORTCOMPARECOL_PCTCOL" localSheetId="8">FALSE</definedName>
    <definedName name="QBREPORTCOMPARECOL_PCTCOL" localSheetId="7">FALSE</definedName>
    <definedName name="QBREPORTCOMPARECOL_PCTCOL" localSheetId="17">FALSE</definedName>
    <definedName name="QBREPORTCOMPARECOL_PCTCOL" localSheetId="19">FALSE</definedName>
    <definedName name="QBREPORTCOMPARECOL_PCTEXPENSE" localSheetId="10">FALSE</definedName>
    <definedName name="QBREPORTCOMPARECOL_PCTEXPENSE" localSheetId="8">FALSE</definedName>
    <definedName name="QBREPORTCOMPARECOL_PCTEXPENSE" localSheetId="7">FALSE</definedName>
    <definedName name="QBREPORTCOMPARECOL_PCTEXPENSE" localSheetId="17">FALSE</definedName>
    <definedName name="QBREPORTCOMPARECOL_PCTEXPENSE" localSheetId="19">FALSE</definedName>
    <definedName name="QBREPORTCOMPARECOL_PCTINCOME" localSheetId="10">TRUE</definedName>
    <definedName name="QBREPORTCOMPARECOL_PCTINCOME" localSheetId="8">FALSE</definedName>
    <definedName name="QBREPORTCOMPARECOL_PCTINCOME" localSheetId="7">FALSE</definedName>
    <definedName name="QBREPORTCOMPARECOL_PCTINCOME" localSheetId="17">FALSE</definedName>
    <definedName name="QBREPORTCOMPARECOL_PCTINCOME" localSheetId="19">FALSE</definedName>
    <definedName name="QBREPORTCOMPARECOL_PCTOFSALES" localSheetId="10">FALSE</definedName>
    <definedName name="QBREPORTCOMPARECOL_PCTOFSALES" localSheetId="8">FALSE</definedName>
    <definedName name="QBREPORTCOMPARECOL_PCTOFSALES" localSheetId="7">FALSE</definedName>
    <definedName name="QBREPORTCOMPARECOL_PCTOFSALES" localSheetId="17">FALSE</definedName>
    <definedName name="QBREPORTCOMPARECOL_PCTOFSALES" localSheetId="19">FALSE</definedName>
    <definedName name="QBREPORTCOMPARECOL_PCTROW" localSheetId="10">FALSE</definedName>
    <definedName name="QBREPORTCOMPARECOL_PCTROW" localSheetId="8">FALSE</definedName>
    <definedName name="QBREPORTCOMPARECOL_PCTROW" localSheetId="7">FALSE</definedName>
    <definedName name="QBREPORTCOMPARECOL_PCTROW" localSheetId="17">FALSE</definedName>
    <definedName name="QBREPORTCOMPARECOL_PCTROW" localSheetId="19">FALSE</definedName>
    <definedName name="QBREPORTCOMPARECOL_PPDIFF" localSheetId="10">FALSE</definedName>
    <definedName name="QBREPORTCOMPARECOL_PPDIFF" localSheetId="8">FALSE</definedName>
    <definedName name="QBREPORTCOMPARECOL_PPDIFF" localSheetId="7">FALSE</definedName>
    <definedName name="QBREPORTCOMPARECOL_PPDIFF" localSheetId="17">FALSE</definedName>
    <definedName name="QBREPORTCOMPARECOL_PPDIFF" localSheetId="19">FALSE</definedName>
    <definedName name="QBREPORTCOMPARECOL_PPPCT" localSheetId="10">FALSE</definedName>
    <definedName name="QBREPORTCOMPARECOL_PPPCT" localSheetId="8">FALSE</definedName>
    <definedName name="QBREPORTCOMPARECOL_PPPCT" localSheetId="7">FALSE</definedName>
    <definedName name="QBREPORTCOMPARECOL_PPPCT" localSheetId="17">FALSE</definedName>
    <definedName name="QBREPORTCOMPARECOL_PPPCT" localSheetId="19">FALSE</definedName>
    <definedName name="QBREPORTCOMPARECOL_PREVPERIOD" localSheetId="10">FALSE</definedName>
    <definedName name="QBREPORTCOMPARECOL_PREVPERIOD" localSheetId="8">FALSE</definedName>
    <definedName name="QBREPORTCOMPARECOL_PREVPERIOD" localSheetId="7">FALSE</definedName>
    <definedName name="QBREPORTCOMPARECOL_PREVPERIOD" localSheetId="17">FALSE</definedName>
    <definedName name="QBREPORTCOMPARECOL_PREVPERIOD" localSheetId="19">FALSE</definedName>
    <definedName name="QBREPORTCOMPARECOL_PREVYEAR" localSheetId="10">FALSE</definedName>
    <definedName name="QBREPORTCOMPARECOL_PREVYEAR" localSheetId="8">FALSE</definedName>
    <definedName name="QBREPORTCOMPARECOL_PREVYEAR" localSheetId="7">FALSE</definedName>
    <definedName name="QBREPORTCOMPARECOL_PREVYEAR" localSheetId="17">FALSE</definedName>
    <definedName name="QBREPORTCOMPARECOL_PREVYEAR" localSheetId="19">FALSE</definedName>
    <definedName name="QBREPORTCOMPARECOL_PYDIFF" localSheetId="10">FALSE</definedName>
    <definedName name="QBREPORTCOMPARECOL_PYDIFF" localSheetId="8">FALSE</definedName>
    <definedName name="QBREPORTCOMPARECOL_PYDIFF" localSheetId="7">FALSE</definedName>
    <definedName name="QBREPORTCOMPARECOL_PYDIFF" localSheetId="17">FALSE</definedName>
    <definedName name="QBREPORTCOMPARECOL_PYDIFF" localSheetId="19">FALSE</definedName>
    <definedName name="QBREPORTCOMPARECOL_PYPCT" localSheetId="10">FALSE</definedName>
    <definedName name="QBREPORTCOMPARECOL_PYPCT" localSheetId="8">FALSE</definedName>
    <definedName name="QBREPORTCOMPARECOL_PYPCT" localSheetId="7">FALSE</definedName>
    <definedName name="QBREPORTCOMPARECOL_PYPCT" localSheetId="17">FALSE</definedName>
    <definedName name="QBREPORTCOMPARECOL_PYPCT" localSheetId="19">FALSE</definedName>
    <definedName name="QBREPORTCOMPARECOL_QTY" localSheetId="10">FALSE</definedName>
    <definedName name="QBREPORTCOMPARECOL_QTY" localSheetId="8">FALSE</definedName>
    <definedName name="QBREPORTCOMPARECOL_QTY" localSheetId="7">FALSE</definedName>
    <definedName name="QBREPORTCOMPARECOL_QTY" localSheetId="17">FALSE</definedName>
    <definedName name="QBREPORTCOMPARECOL_QTY" localSheetId="19">FALSE</definedName>
    <definedName name="QBREPORTCOMPARECOL_RATE" localSheetId="10">FALSE</definedName>
    <definedName name="QBREPORTCOMPARECOL_RATE" localSheetId="8">FALSE</definedName>
    <definedName name="QBREPORTCOMPARECOL_RATE" localSheetId="7">FALSE</definedName>
    <definedName name="QBREPORTCOMPARECOL_RATE" localSheetId="17">FALSE</definedName>
    <definedName name="QBREPORTCOMPARECOL_RATE" localSheetId="19">FALSE</definedName>
    <definedName name="QBREPORTCOMPARECOL_TRIPBILLEDMILES" localSheetId="10">FALSE</definedName>
    <definedName name="QBREPORTCOMPARECOL_TRIPBILLEDMILES" localSheetId="8">FALSE</definedName>
    <definedName name="QBREPORTCOMPARECOL_TRIPBILLEDMILES" localSheetId="7">FALSE</definedName>
    <definedName name="QBREPORTCOMPARECOL_TRIPBILLEDMILES" localSheetId="17">FALSE</definedName>
    <definedName name="QBREPORTCOMPARECOL_TRIPBILLEDMILES" localSheetId="19">FALSE</definedName>
    <definedName name="QBREPORTCOMPARECOL_TRIPBILLINGAMOUNT" localSheetId="10">FALSE</definedName>
    <definedName name="QBREPORTCOMPARECOL_TRIPBILLINGAMOUNT" localSheetId="8">FALSE</definedName>
    <definedName name="QBREPORTCOMPARECOL_TRIPBILLINGAMOUNT" localSheetId="7">FALSE</definedName>
    <definedName name="QBREPORTCOMPARECOL_TRIPBILLINGAMOUNT" localSheetId="17">FALSE</definedName>
    <definedName name="QBREPORTCOMPARECOL_TRIPBILLINGAMOUNT" localSheetId="19">FALSE</definedName>
    <definedName name="QBREPORTCOMPARECOL_TRIPMILES" localSheetId="10">FALSE</definedName>
    <definedName name="QBREPORTCOMPARECOL_TRIPMILES" localSheetId="8">FALSE</definedName>
    <definedName name="QBREPORTCOMPARECOL_TRIPMILES" localSheetId="7">FALSE</definedName>
    <definedName name="QBREPORTCOMPARECOL_TRIPMILES" localSheetId="17">FALSE</definedName>
    <definedName name="QBREPORTCOMPARECOL_TRIPMILES" localSheetId="19">FALSE</definedName>
    <definedName name="QBREPORTCOMPARECOL_TRIPNOTBILLABLEMILES" localSheetId="10">FALSE</definedName>
    <definedName name="QBREPORTCOMPARECOL_TRIPNOTBILLABLEMILES" localSheetId="8">FALSE</definedName>
    <definedName name="QBREPORTCOMPARECOL_TRIPNOTBILLABLEMILES" localSheetId="7">FALSE</definedName>
    <definedName name="QBREPORTCOMPARECOL_TRIPNOTBILLABLEMILES" localSheetId="17">FALSE</definedName>
    <definedName name="QBREPORTCOMPARECOL_TRIPNOTBILLABLEMILES" localSheetId="19">FALSE</definedName>
    <definedName name="QBREPORTCOMPARECOL_TRIPTAXDEDUCTIBLEAMOUNT" localSheetId="10">FALSE</definedName>
    <definedName name="QBREPORTCOMPARECOL_TRIPTAXDEDUCTIBLEAMOUNT" localSheetId="8">FALSE</definedName>
    <definedName name="QBREPORTCOMPARECOL_TRIPTAXDEDUCTIBLEAMOUNT" localSheetId="7">FALSE</definedName>
    <definedName name="QBREPORTCOMPARECOL_TRIPTAXDEDUCTIBLEAMOUNT" localSheetId="17">FALSE</definedName>
    <definedName name="QBREPORTCOMPARECOL_TRIPTAXDEDUCTIBLEAMOUNT" localSheetId="19">FALSE</definedName>
    <definedName name="QBREPORTCOMPARECOL_TRIPUNBILLEDMILES" localSheetId="10">FALSE</definedName>
    <definedName name="QBREPORTCOMPARECOL_TRIPUNBILLEDMILES" localSheetId="8">FALSE</definedName>
    <definedName name="QBREPORTCOMPARECOL_TRIPUNBILLEDMILES" localSheetId="7">FALSE</definedName>
    <definedName name="QBREPORTCOMPARECOL_TRIPUNBILLEDMILES" localSheetId="17">FALSE</definedName>
    <definedName name="QBREPORTCOMPARECOL_TRIPUNBILLEDMILES" localSheetId="19">FALSE</definedName>
    <definedName name="QBREPORTCOMPARECOL_YTD" localSheetId="10">FALSE</definedName>
    <definedName name="QBREPORTCOMPARECOL_YTD" localSheetId="8">FALSE</definedName>
    <definedName name="QBREPORTCOMPARECOL_YTD" localSheetId="7">FALSE</definedName>
    <definedName name="QBREPORTCOMPARECOL_YTD" localSheetId="17">FALSE</definedName>
    <definedName name="QBREPORTCOMPARECOL_YTD" localSheetId="19">FALSE</definedName>
    <definedName name="QBREPORTCOMPARECOL_YTDBUDGET" localSheetId="10">FALSE</definedName>
    <definedName name="QBREPORTCOMPARECOL_YTDBUDGET" localSheetId="8">FALSE</definedName>
    <definedName name="QBREPORTCOMPARECOL_YTDBUDGET" localSheetId="7">FALSE</definedName>
    <definedName name="QBREPORTCOMPARECOL_YTDBUDGET" localSheetId="17">FALSE</definedName>
    <definedName name="QBREPORTCOMPARECOL_YTDBUDGET" localSheetId="19">FALSE</definedName>
    <definedName name="QBREPORTCOMPARECOL_YTDPCT" localSheetId="10">FALSE</definedName>
    <definedName name="QBREPORTCOMPARECOL_YTDPCT" localSheetId="8">FALSE</definedName>
    <definedName name="QBREPORTCOMPARECOL_YTDPCT" localSheetId="7">FALSE</definedName>
    <definedName name="QBREPORTCOMPARECOL_YTDPCT" localSheetId="17">FALSE</definedName>
    <definedName name="QBREPORTCOMPARECOL_YTDPCT" localSheetId="19">FALSE</definedName>
    <definedName name="QBREPORTROWAXIS" localSheetId="10">11</definedName>
    <definedName name="QBREPORTROWAXIS" localSheetId="8">11</definedName>
    <definedName name="QBREPORTROWAXIS" localSheetId="7">11</definedName>
    <definedName name="QBREPORTROWAXIS" localSheetId="17">11</definedName>
    <definedName name="QBREPORTROWAXIS" localSheetId="19">11</definedName>
    <definedName name="QBREPORTSUBCOLAXIS" localSheetId="10">24</definedName>
    <definedName name="QBREPORTSUBCOLAXIS" localSheetId="8">0</definedName>
    <definedName name="QBREPORTSUBCOLAXIS" localSheetId="7">0</definedName>
    <definedName name="QBREPORTSUBCOLAXIS" localSheetId="17">0</definedName>
    <definedName name="QBREPORTSUBCOLAXIS" localSheetId="19">0</definedName>
    <definedName name="QBREPORTTYPE" localSheetId="10">0</definedName>
    <definedName name="QBREPORTTYPE" localSheetId="8">0</definedName>
    <definedName name="QBREPORTTYPE" localSheetId="7">0</definedName>
    <definedName name="QBREPORTTYPE" localSheetId="17">0</definedName>
    <definedName name="QBREPORTTYPE" localSheetId="19">0</definedName>
    <definedName name="QBROWHEADERS" localSheetId="10">8</definedName>
    <definedName name="QBROWHEADERS" localSheetId="8">9</definedName>
    <definedName name="QBROWHEADERS" localSheetId="7">9</definedName>
    <definedName name="QBROWHEADERS" localSheetId="17">9</definedName>
    <definedName name="QBROWHEADERS" localSheetId="19">9</definedName>
    <definedName name="QBSTARTDATE" localSheetId="10">20160527</definedName>
    <definedName name="QBSTARTDATE" localSheetId="8">20160729</definedName>
    <definedName name="QBSTARTDATE" localSheetId="7">20160826</definedName>
    <definedName name="QBSTARTDATE" localSheetId="17">20150102</definedName>
    <definedName name="QBSTARTDATE" localSheetId="19">20150130</definedName>
  </definedNames>
  <calcPr calcId="152511"/>
</workbook>
</file>

<file path=xl/calcChain.xml><?xml version="1.0" encoding="utf-8"?>
<calcChain xmlns="http://schemas.openxmlformats.org/spreadsheetml/2006/main">
  <c r="J7" i="53" l="1"/>
  <c r="J10" i="53" s="1"/>
  <c r="J11" i="53" s="1"/>
  <c r="K7" i="51"/>
  <c r="O16" i="33"/>
  <c r="O11" i="33"/>
  <c r="R9" i="53"/>
  <c r="R5" i="53"/>
  <c r="R4" i="53"/>
  <c r="J20" i="53"/>
  <c r="J19" i="53"/>
  <c r="J22" i="53" s="1"/>
  <c r="R3" i="53"/>
  <c r="J169" i="53"/>
  <c r="J163" i="53"/>
  <c r="J153" i="53"/>
  <c r="J156" i="53" s="1"/>
  <c r="J148" i="53"/>
  <c r="J145" i="53"/>
  <c r="J138" i="53"/>
  <c r="J128" i="53"/>
  <c r="J122" i="53"/>
  <c r="J116" i="53"/>
  <c r="J110" i="53"/>
  <c r="J104" i="53"/>
  <c r="J98" i="53"/>
  <c r="J93" i="53"/>
  <c r="J87" i="53"/>
  <c r="J81" i="53"/>
  <c r="J75" i="53"/>
  <c r="J69" i="53"/>
  <c r="J63" i="53"/>
  <c r="J57" i="53"/>
  <c r="J52" i="53"/>
  <c r="J46" i="53"/>
  <c r="J41" i="53"/>
  <c r="J38" i="53"/>
  <c r="J129" i="53" s="1"/>
  <c r="J26" i="53"/>
  <c r="J12" i="53" l="1"/>
  <c r="O7" i="33"/>
  <c r="J133" i="53"/>
  <c r="J164" i="53" s="1"/>
  <c r="J170" i="53" s="1"/>
  <c r="J171" i="53" l="1"/>
  <c r="J172" i="53" s="1"/>
  <c r="P7" i="33" l="1"/>
  <c r="L147" i="53" l="1"/>
  <c r="R6" i="53"/>
  <c r="R10" i="53" l="1"/>
  <c r="L143" i="52"/>
  <c r="K126" i="51"/>
  <c r="J143" i="52"/>
  <c r="P16" i="33" l="1"/>
  <c r="O17" i="33"/>
  <c r="O13" i="33"/>
  <c r="P11" i="33"/>
  <c r="O12" i="33"/>
  <c r="M16" i="33"/>
  <c r="M11" i="33"/>
  <c r="M13" i="33" s="1"/>
  <c r="M7" i="33"/>
  <c r="P13" i="33" l="1"/>
  <c r="O14" i="33"/>
  <c r="O19" i="33"/>
  <c r="O20" i="33" s="1"/>
  <c r="M14" i="33"/>
  <c r="M17" i="33"/>
  <c r="M19" i="33"/>
  <c r="M20" i="33" s="1"/>
  <c r="M12" i="33"/>
  <c r="I7" i="48" l="1"/>
  <c r="I8" i="49"/>
  <c r="I7" i="50"/>
  <c r="J7" i="51"/>
  <c r="M12" i="52"/>
  <c r="N11" i="33"/>
  <c r="R3" i="52"/>
  <c r="R6" i="52"/>
  <c r="J167" i="52" l="1"/>
  <c r="J161" i="52"/>
  <c r="J151" i="52"/>
  <c r="J154" i="52" s="1"/>
  <c r="J146" i="52"/>
  <c r="J136" i="52"/>
  <c r="J126" i="52"/>
  <c r="J120" i="52"/>
  <c r="J114" i="52"/>
  <c r="J108" i="52"/>
  <c r="J102" i="52"/>
  <c r="J96" i="52"/>
  <c r="J91" i="52"/>
  <c r="J85" i="52"/>
  <c r="J79" i="52"/>
  <c r="J73" i="52"/>
  <c r="J67" i="52"/>
  <c r="J61" i="52"/>
  <c r="J55" i="52"/>
  <c r="J50" i="52"/>
  <c r="J44" i="52"/>
  <c r="J39" i="52"/>
  <c r="J36" i="52"/>
  <c r="J127" i="52" s="1"/>
  <c r="J24" i="52"/>
  <c r="J20" i="52"/>
  <c r="J10" i="52"/>
  <c r="J11" i="52" s="1"/>
  <c r="J12" i="52" l="1"/>
  <c r="N7" i="33"/>
  <c r="J131" i="52"/>
  <c r="J162" i="52" s="1"/>
  <c r="J168" i="52" s="1"/>
  <c r="J169" i="52" l="1"/>
  <c r="J170" i="52" s="1"/>
  <c r="R9" i="52"/>
  <c r="Q9" i="51"/>
  <c r="L9" i="50"/>
  <c r="L10" i="50"/>
  <c r="Q3" i="51"/>
  <c r="Q6" i="51" s="1"/>
  <c r="L3" i="50"/>
  <c r="J142" i="51"/>
  <c r="J138" i="51"/>
  <c r="J132" i="51"/>
  <c r="J129" i="51"/>
  <c r="J122" i="51"/>
  <c r="J126" i="51" s="1"/>
  <c r="J114" i="51"/>
  <c r="J109" i="51"/>
  <c r="J104" i="51"/>
  <c r="J98" i="51"/>
  <c r="J93" i="51"/>
  <c r="J88" i="51"/>
  <c r="J83" i="51"/>
  <c r="J78" i="51"/>
  <c r="J72" i="51"/>
  <c r="J67" i="51"/>
  <c r="J62" i="51"/>
  <c r="J58" i="51"/>
  <c r="J52" i="51"/>
  <c r="J47" i="51"/>
  <c r="J42" i="51"/>
  <c r="J37" i="51"/>
  <c r="J115" i="51" s="1"/>
  <c r="J32" i="51"/>
  <c r="J21" i="51"/>
  <c r="J13" i="51"/>
  <c r="J9" i="51"/>
  <c r="J10" i="51" s="1"/>
  <c r="J14" i="51" s="1"/>
  <c r="R10" i="52" l="1"/>
  <c r="N16" i="33"/>
  <c r="N13" i="33"/>
  <c r="Q10" i="51"/>
  <c r="J118" i="51"/>
  <c r="J139" i="51" s="1"/>
  <c r="J143" i="51" s="1"/>
  <c r="J144" i="51" s="1"/>
  <c r="J145" i="51" s="1"/>
  <c r="N12" i="33"/>
  <c r="I10" i="44"/>
  <c r="I10" i="47"/>
  <c r="I10" i="48"/>
  <c r="I10" i="50"/>
  <c r="I11" i="50" s="1"/>
  <c r="L7" i="33" s="1"/>
  <c r="I83" i="49"/>
  <c r="I50" i="49"/>
  <c r="I47" i="49"/>
  <c r="I22" i="49"/>
  <c r="I12" i="50"/>
  <c r="L11" i="33"/>
  <c r="L13" i="33" s="1"/>
  <c r="L16" i="33"/>
  <c r="O4" i="48"/>
  <c r="Q6" i="49"/>
  <c r="Q5" i="49"/>
  <c r="L6" i="50"/>
  <c r="N16" i="48"/>
  <c r="P47" i="49"/>
  <c r="Q8" i="49"/>
  <c r="K11" i="33"/>
  <c r="K13" i="33" s="1"/>
  <c r="O5" i="48"/>
  <c r="O6" i="48"/>
  <c r="J11" i="33"/>
  <c r="J13" i="33" s="1"/>
  <c r="O3" i="48"/>
  <c r="I82" i="49"/>
  <c r="I78" i="49"/>
  <c r="I68" i="49"/>
  <c r="I72" i="49"/>
  <c r="I63" i="49"/>
  <c r="I56" i="49"/>
  <c r="I54" i="49"/>
  <c r="I25" i="49"/>
  <c r="I11" i="49"/>
  <c r="I12" i="49" s="1"/>
  <c r="K7" i="33" s="1"/>
  <c r="I79" i="49"/>
  <c r="Q11" i="49"/>
  <c r="I47" i="47"/>
  <c r="Q12" i="49"/>
  <c r="K16" i="33"/>
  <c r="K8" i="48"/>
  <c r="I48" i="46"/>
  <c r="I48" i="48"/>
  <c r="I36" i="47"/>
  <c r="K12" i="46"/>
  <c r="K8" i="47"/>
  <c r="I81" i="48"/>
  <c r="I77" i="48"/>
  <c r="I70" i="48"/>
  <c r="I67" i="48"/>
  <c r="I55" i="48"/>
  <c r="I60" i="48"/>
  <c r="I50" i="48"/>
  <c r="I26" i="48"/>
  <c r="I21" i="48"/>
  <c r="I11" i="48"/>
  <c r="I12" i="48" s="1"/>
  <c r="I78" i="48"/>
  <c r="I82" i="48"/>
  <c r="O9" i="48"/>
  <c r="O10" i="48"/>
  <c r="J16" i="33"/>
  <c r="O12" i="48"/>
  <c r="O5" i="47"/>
  <c r="I80" i="47"/>
  <c r="I76" i="47"/>
  <c r="I70" i="47"/>
  <c r="I67" i="47"/>
  <c r="I54" i="47"/>
  <c r="I60" i="47"/>
  <c r="I26" i="47"/>
  <c r="I20" i="47"/>
  <c r="I11" i="47"/>
  <c r="I12" i="47"/>
  <c r="I7" i="33"/>
  <c r="O3" i="47"/>
  <c r="I49" i="47"/>
  <c r="I77" i="47"/>
  <c r="I81" i="47"/>
  <c r="I82" i="47"/>
  <c r="I83" i="47"/>
  <c r="O6" i="47"/>
  <c r="O4" i="47"/>
  <c r="O5" i="46"/>
  <c r="O4" i="46"/>
  <c r="I83" i="46"/>
  <c r="J83" i="44"/>
  <c r="I78" i="46"/>
  <c r="I73" i="46"/>
  <c r="I68" i="46"/>
  <c r="I55" i="46"/>
  <c r="I61" i="46"/>
  <c r="O3" i="46"/>
  <c r="I28" i="46"/>
  <c r="I23" i="46"/>
  <c r="I10" i="46"/>
  <c r="I11" i="46"/>
  <c r="I12" i="46"/>
  <c r="H7" i="33"/>
  <c r="O5" i="45"/>
  <c r="O4" i="45"/>
  <c r="I82" i="45"/>
  <c r="I77" i="45"/>
  <c r="I72" i="45"/>
  <c r="I68" i="45"/>
  <c r="I55" i="45"/>
  <c r="I61" i="45"/>
  <c r="I48" i="45"/>
  <c r="O3" i="45"/>
  <c r="O6" i="45"/>
  <c r="G11" i="33"/>
  <c r="I27" i="45"/>
  <c r="I22" i="45"/>
  <c r="I10" i="45"/>
  <c r="I11" i="45"/>
  <c r="I12" i="45"/>
  <c r="G7" i="33"/>
  <c r="I50" i="46"/>
  <c r="I79" i="46"/>
  <c r="I84" i="46"/>
  <c r="I85" i="46"/>
  <c r="I86" i="46"/>
  <c r="I50" i="45"/>
  <c r="I78" i="45"/>
  <c r="I83" i="45"/>
  <c r="O9" i="45"/>
  <c r="O9" i="47"/>
  <c r="O10" i="47"/>
  <c r="I11" i="33"/>
  <c r="I12" i="33" s="1"/>
  <c r="O5" i="44"/>
  <c r="O4" i="44"/>
  <c r="I83" i="44"/>
  <c r="I78" i="44"/>
  <c r="I72" i="44"/>
  <c r="I68" i="44"/>
  <c r="I55" i="44"/>
  <c r="I61" i="44"/>
  <c r="I48" i="44"/>
  <c r="O3" i="44"/>
  <c r="O6" i="44"/>
  <c r="F11" i="33"/>
  <c r="I28" i="44"/>
  <c r="I23" i="44"/>
  <c r="I11" i="44"/>
  <c r="I12" i="44"/>
  <c r="F7" i="33"/>
  <c r="I84" i="45"/>
  <c r="I85" i="45"/>
  <c r="I16" i="33"/>
  <c r="O12" i="47"/>
  <c r="O6" i="46"/>
  <c r="H11" i="33"/>
  <c r="H12" i="33"/>
  <c r="I50" i="44"/>
  <c r="I79" i="44"/>
  <c r="I84" i="44"/>
  <c r="I17" i="33"/>
  <c r="O9" i="46"/>
  <c r="O10" i="46"/>
  <c r="H16" i="33"/>
  <c r="H17" i="33"/>
  <c r="I85" i="44"/>
  <c r="I86" i="44"/>
  <c r="O9" i="44"/>
  <c r="H13" i="33"/>
  <c r="H14" i="33" s="1"/>
  <c r="P9" i="33"/>
  <c r="G13" i="33"/>
  <c r="G12" i="33"/>
  <c r="O10" i="44"/>
  <c r="F16" i="33"/>
  <c r="F17" i="33" s="1"/>
  <c r="C20" i="33"/>
  <c r="B20" i="33"/>
  <c r="J406" i="43"/>
  <c r="J354" i="43"/>
  <c r="J348" i="43"/>
  <c r="J342" i="43"/>
  <c r="J336" i="43"/>
  <c r="J330" i="43"/>
  <c r="J324" i="43"/>
  <c r="J318" i="43"/>
  <c r="J312" i="43"/>
  <c r="J306" i="43"/>
  <c r="J300" i="43"/>
  <c r="J293" i="43"/>
  <c r="J285" i="43"/>
  <c r="J286" i="43"/>
  <c r="J287" i="43"/>
  <c r="J273" i="43"/>
  <c r="J274" i="43"/>
  <c r="J259" i="43"/>
  <c r="J260" i="43"/>
  <c r="N247" i="43"/>
  <c r="L247" i="43"/>
  <c r="N246" i="43"/>
  <c r="L246" i="43"/>
  <c r="J245" i="43"/>
  <c r="N245" i="43"/>
  <c r="J244" i="43"/>
  <c r="J242" i="43"/>
  <c r="N241" i="43"/>
  <c r="N242" i="43"/>
  <c r="L241" i="43"/>
  <c r="L242" i="43"/>
  <c r="J238" i="43"/>
  <c r="J239" i="43"/>
  <c r="N237" i="43"/>
  <c r="L237" i="43"/>
  <c r="N236" i="43"/>
  <c r="N238" i="43"/>
  <c r="L236" i="43"/>
  <c r="N234" i="43"/>
  <c r="L234" i="43"/>
  <c r="N233" i="43"/>
  <c r="L233" i="43"/>
  <c r="J231" i="43"/>
  <c r="N230" i="43"/>
  <c r="L230" i="43"/>
  <c r="N229" i="43"/>
  <c r="L229" i="43"/>
  <c r="N228" i="43"/>
  <c r="L228" i="43"/>
  <c r="N227" i="43"/>
  <c r="L227" i="43"/>
  <c r="J225" i="43"/>
  <c r="N224" i="43"/>
  <c r="L224" i="43"/>
  <c r="N223" i="43"/>
  <c r="L223" i="43"/>
  <c r="N222" i="43"/>
  <c r="L222" i="43"/>
  <c r="N221" i="43"/>
  <c r="L221" i="43"/>
  <c r="N220" i="43"/>
  <c r="N225" i="43"/>
  <c r="L220" i="43"/>
  <c r="J218" i="43"/>
  <c r="N217" i="43"/>
  <c r="L217" i="43"/>
  <c r="N216" i="43"/>
  <c r="L216" i="43"/>
  <c r="N215" i="43"/>
  <c r="L215" i="43"/>
  <c r="N214" i="43"/>
  <c r="L214" i="43"/>
  <c r="N213" i="43"/>
  <c r="L213" i="43"/>
  <c r="N212" i="43"/>
  <c r="L212" i="43"/>
  <c r="N211" i="43"/>
  <c r="L211" i="43"/>
  <c r="N210" i="43"/>
  <c r="L210" i="43"/>
  <c r="J208" i="43"/>
  <c r="N207" i="43"/>
  <c r="N208" i="43"/>
  <c r="L207" i="43"/>
  <c r="L208" i="43"/>
  <c r="J200" i="43"/>
  <c r="J204" i="43"/>
  <c r="J195" i="43"/>
  <c r="J191" i="43"/>
  <c r="J187" i="43"/>
  <c r="J180" i="43"/>
  <c r="J182" i="43"/>
  <c r="J173" i="43"/>
  <c r="J168" i="43"/>
  <c r="J164" i="43"/>
  <c r="J161" i="43"/>
  <c r="J155" i="43"/>
  <c r="J149" i="43"/>
  <c r="J146" i="43"/>
  <c r="J140" i="43"/>
  <c r="J137" i="43"/>
  <c r="J131" i="43"/>
  <c r="J127" i="43"/>
  <c r="J121" i="43"/>
  <c r="J115" i="43"/>
  <c r="J105" i="43"/>
  <c r="J101" i="43"/>
  <c r="J92" i="43"/>
  <c r="J84" i="43"/>
  <c r="J78" i="43"/>
  <c r="J67" i="43"/>
  <c r="J70" i="43"/>
  <c r="J53" i="43"/>
  <c r="J50" i="43"/>
  <c r="J42" i="43"/>
  <c r="J36" i="43"/>
  <c r="J24" i="43"/>
  <c r="J14" i="43"/>
  <c r="J15" i="43"/>
  <c r="J16" i="43"/>
  <c r="N218" i="43"/>
  <c r="L225" i="43"/>
  <c r="N231" i="43"/>
  <c r="L238" i="43"/>
  <c r="L239" i="43"/>
  <c r="J248" i="43"/>
  <c r="L244" i="43"/>
  <c r="N239" i="43"/>
  <c r="J355" i="43"/>
  <c r="J361" i="43"/>
  <c r="J407" i="43"/>
  <c r="J408" i="43"/>
  <c r="J141" i="43"/>
  <c r="J106" i="43"/>
  <c r="J150" i="43"/>
  <c r="J192" i="43"/>
  <c r="L218" i="43"/>
  <c r="L231" i="43"/>
  <c r="J55" i="43"/>
  <c r="J56" i="43"/>
  <c r="J57" i="43"/>
  <c r="J174" i="43"/>
  <c r="J249" i="43"/>
  <c r="J275" i="43"/>
  <c r="N244" i="43"/>
  <c r="N248" i="43"/>
  <c r="N249" i="43"/>
  <c r="L245" i="43"/>
  <c r="L248" i="43"/>
  <c r="L249" i="43"/>
  <c r="J250" i="43"/>
  <c r="J251" i="43"/>
  <c r="J252" i="43"/>
  <c r="J276" i="43"/>
  <c r="L250" i="43"/>
  <c r="L251" i="43"/>
  <c r="J191" i="39"/>
  <c r="J183" i="39"/>
  <c r="J184" i="39"/>
  <c r="J176" i="39"/>
  <c r="J170" i="39"/>
  <c r="J160" i="39"/>
  <c r="J153" i="39"/>
  <c r="J148" i="39"/>
  <c r="J145" i="39"/>
  <c r="J139" i="39"/>
  <c r="J140" i="39"/>
  <c r="J132" i="39"/>
  <c r="J129" i="39"/>
  <c r="J123" i="39"/>
  <c r="J116" i="39"/>
  <c r="J117" i="39"/>
  <c r="J111" i="39"/>
  <c r="J108" i="39"/>
  <c r="J104" i="39"/>
  <c r="J100" i="39"/>
  <c r="J94" i="39"/>
  <c r="J85" i="39"/>
  <c r="J79" i="39"/>
  <c r="J73" i="39"/>
  <c r="J62" i="39"/>
  <c r="J65" i="39"/>
  <c r="J48" i="39"/>
  <c r="J40" i="39"/>
  <c r="J34" i="39"/>
  <c r="J23" i="39"/>
  <c r="J13" i="39"/>
  <c r="J14" i="39"/>
  <c r="J15" i="39"/>
  <c r="J149" i="39"/>
  <c r="J133" i="39"/>
  <c r="J49" i="39"/>
  <c r="J50" i="39"/>
  <c r="J87" i="39"/>
  <c r="J112" i="39"/>
  <c r="J192" i="39"/>
  <c r="J51" i="39"/>
  <c r="J193" i="39"/>
  <c r="J194" i="39"/>
  <c r="J195" i="39"/>
  <c r="J196" i="39"/>
  <c r="N16" i="26"/>
  <c r="N15" i="26"/>
  <c r="N14" i="26"/>
  <c r="N13" i="26"/>
  <c r="N12" i="26"/>
  <c r="N11" i="26"/>
  <c r="N10" i="26"/>
  <c r="N26" i="26"/>
  <c r="N33" i="26"/>
  <c r="N32" i="26"/>
  <c r="N31" i="26"/>
  <c r="N30" i="26"/>
  <c r="N29" i="26"/>
  <c r="M29" i="26"/>
  <c r="J8" i="34"/>
  <c r="I8" i="34"/>
  <c r="H8" i="34"/>
  <c r="G8" i="34"/>
  <c r="F8" i="34"/>
  <c r="E8" i="34"/>
  <c r="D8" i="34"/>
  <c r="C8" i="34"/>
  <c r="B8" i="34"/>
  <c r="J42" i="30"/>
  <c r="I42" i="30"/>
  <c r="H42" i="30"/>
  <c r="G42" i="30"/>
  <c r="F42" i="30"/>
  <c r="E42" i="30"/>
  <c r="D42" i="30"/>
  <c r="C42" i="30"/>
  <c r="B42" i="30"/>
  <c r="J217" i="26"/>
  <c r="M30" i="26"/>
  <c r="C7" i="31"/>
  <c r="K7" i="31"/>
  <c r="C22" i="29"/>
  <c r="B8" i="29"/>
  <c r="C14" i="31"/>
  <c r="J202" i="26"/>
  <c r="K202" i="26"/>
  <c r="L202" i="26"/>
  <c r="L203" i="26"/>
  <c r="J213" i="26"/>
  <c r="M26" i="26"/>
  <c r="J207" i="26"/>
  <c r="M33" i="26"/>
  <c r="J188" i="26"/>
  <c r="J183" i="26"/>
  <c r="J170" i="26"/>
  <c r="J166" i="26"/>
  <c r="J163" i="26"/>
  <c r="J157" i="26"/>
  <c r="J147" i="26"/>
  <c r="J143" i="26"/>
  <c r="J83" i="26"/>
  <c r="J116" i="26"/>
  <c r="K108" i="26"/>
  <c r="K109" i="26"/>
  <c r="K107" i="26"/>
  <c r="K105" i="26"/>
  <c r="J55" i="26"/>
  <c r="P25" i="27"/>
  <c r="O25" i="27"/>
  <c r="N25" i="27"/>
  <c r="M25" i="27"/>
  <c r="L25" i="27"/>
  <c r="K25" i="27"/>
  <c r="J25" i="27"/>
  <c r="I25" i="27"/>
  <c r="H25" i="27"/>
  <c r="G25" i="27"/>
  <c r="F25" i="27"/>
  <c r="E25" i="27"/>
  <c r="D25" i="27"/>
  <c r="C25" i="27"/>
  <c r="B25" i="27"/>
  <c r="R23" i="27"/>
  <c r="P22" i="27"/>
  <c r="O22" i="27"/>
  <c r="N22" i="27"/>
  <c r="M22" i="27"/>
  <c r="L22" i="27"/>
  <c r="K22" i="27"/>
  <c r="J22" i="27"/>
  <c r="I22" i="27"/>
  <c r="H22" i="27"/>
  <c r="G22" i="27"/>
  <c r="F22" i="27"/>
  <c r="E22" i="27"/>
  <c r="D22" i="27"/>
  <c r="C22" i="27"/>
  <c r="B22" i="27"/>
  <c r="R19" i="27"/>
  <c r="R28" i="27"/>
  <c r="R18" i="27"/>
  <c r="P17" i="27"/>
  <c r="O17" i="27"/>
  <c r="N17" i="27"/>
  <c r="M17" i="27"/>
  <c r="L17" i="27"/>
  <c r="K17" i="27"/>
  <c r="J17" i="27"/>
  <c r="I17" i="27"/>
  <c r="H17" i="27"/>
  <c r="G17" i="27"/>
  <c r="F17" i="27"/>
  <c r="E17" i="27"/>
  <c r="D17" i="27"/>
  <c r="C17" i="27"/>
  <c r="B17" i="27"/>
  <c r="P15" i="27"/>
  <c r="O15" i="27"/>
  <c r="N15" i="27"/>
  <c r="M15" i="27"/>
  <c r="L15" i="27"/>
  <c r="K15" i="27"/>
  <c r="J15" i="27"/>
  <c r="I15" i="27"/>
  <c r="H15" i="27"/>
  <c r="G15" i="27"/>
  <c r="F15" i="27"/>
  <c r="E15" i="27"/>
  <c r="D15" i="27"/>
  <c r="C15" i="27"/>
  <c r="B15" i="27"/>
  <c r="R13" i="27"/>
  <c r="R11" i="27"/>
  <c r="P10" i="27"/>
  <c r="O10" i="27"/>
  <c r="N10" i="27"/>
  <c r="M10" i="27"/>
  <c r="L10" i="27"/>
  <c r="K10" i="27"/>
  <c r="J10" i="27"/>
  <c r="I10" i="27"/>
  <c r="H10" i="27"/>
  <c r="G10" i="27"/>
  <c r="F10" i="27"/>
  <c r="E10" i="27"/>
  <c r="D10" i="27"/>
  <c r="C10" i="27"/>
  <c r="B10" i="27"/>
  <c r="R9" i="27"/>
  <c r="P8" i="27"/>
  <c r="O8" i="27"/>
  <c r="N8" i="27"/>
  <c r="N12" i="27" s="1"/>
  <c r="M8" i="27"/>
  <c r="M12" i="27" s="1"/>
  <c r="L8" i="27"/>
  <c r="K8" i="27"/>
  <c r="J8" i="27"/>
  <c r="J12" i="27" s="1"/>
  <c r="I8" i="27"/>
  <c r="I12" i="27" s="1"/>
  <c r="H8" i="27"/>
  <c r="G8" i="27"/>
  <c r="F8" i="27"/>
  <c r="E8" i="27"/>
  <c r="E12" i="27"/>
  <c r="D8" i="27"/>
  <c r="C8" i="27"/>
  <c r="B8" i="27"/>
  <c r="B12" i="27"/>
  <c r="P6" i="27"/>
  <c r="O6" i="27"/>
  <c r="O9" i="27" s="1"/>
  <c r="N6" i="27"/>
  <c r="M6" i="27"/>
  <c r="L6" i="27"/>
  <c r="K6" i="27"/>
  <c r="J6" i="27"/>
  <c r="I6" i="27"/>
  <c r="H6" i="27"/>
  <c r="G6" i="27"/>
  <c r="G9" i="27" s="1"/>
  <c r="F6" i="27"/>
  <c r="E6" i="27"/>
  <c r="D6" i="27"/>
  <c r="C6" i="27"/>
  <c r="C23" i="27" s="1"/>
  <c r="B6" i="27"/>
  <c r="M14" i="26"/>
  <c r="M15" i="26"/>
  <c r="M10" i="26"/>
  <c r="M11" i="26"/>
  <c r="M16" i="26"/>
  <c r="M12" i="26"/>
  <c r="R25" i="27"/>
  <c r="R26" i="27"/>
  <c r="M13" i="26"/>
  <c r="M3" i="26"/>
  <c r="B2" i="29"/>
  <c r="M7" i="26"/>
  <c r="B6" i="29"/>
  <c r="M5" i="26"/>
  <c r="B4" i="29"/>
  <c r="E15" i="6"/>
  <c r="M4" i="26"/>
  <c r="B3" i="29"/>
  <c r="M23" i="26"/>
  <c r="M6" i="26"/>
  <c r="B5" i="29"/>
  <c r="B13" i="29"/>
  <c r="B14" i="29"/>
  <c r="B11" i="29"/>
  <c r="B15" i="29"/>
  <c r="B12" i="29"/>
  <c r="B10" i="29"/>
  <c r="B16" i="29"/>
  <c r="C9" i="27"/>
  <c r="K9" i="27"/>
  <c r="I19" i="27"/>
  <c r="I20" i="27" s="1"/>
  <c r="M19" i="27"/>
  <c r="M20" i="27" s="1"/>
  <c r="K12" i="27"/>
  <c r="K13" i="27" s="1"/>
  <c r="D12" i="27"/>
  <c r="D13" i="27" s="1"/>
  <c r="L12" i="27"/>
  <c r="L13" i="27" s="1"/>
  <c r="P12" i="27"/>
  <c r="P13" i="27" s="1"/>
  <c r="G23" i="27"/>
  <c r="O23" i="27"/>
  <c r="K26" i="27"/>
  <c r="B13" i="27"/>
  <c r="F9" i="27"/>
  <c r="G12" i="27"/>
  <c r="G13" i="27"/>
  <c r="H12" i="27"/>
  <c r="H13" i="27"/>
  <c r="E19" i="27"/>
  <c r="E28" i="27"/>
  <c r="K23" i="27"/>
  <c r="C26" i="27"/>
  <c r="G26" i="27"/>
  <c r="O26" i="27"/>
  <c r="B19" i="27"/>
  <c r="B20" i="27" s="1"/>
  <c r="F19" i="27"/>
  <c r="F20" i="27" s="1"/>
  <c r="J19" i="27"/>
  <c r="J20" i="27" s="1"/>
  <c r="N19" i="27"/>
  <c r="N20" i="27" s="1"/>
  <c r="C18" i="27"/>
  <c r="G18" i="27"/>
  <c r="K18" i="27"/>
  <c r="O18" i="27"/>
  <c r="P26" i="27"/>
  <c r="M9" i="27"/>
  <c r="L11" i="27"/>
  <c r="C19" i="27"/>
  <c r="C20" i="27"/>
  <c r="G19" i="27"/>
  <c r="G20" i="27"/>
  <c r="K19" i="27"/>
  <c r="K20" i="27"/>
  <c r="O19" i="27"/>
  <c r="O20" i="27"/>
  <c r="D18" i="27"/>
  <c r="H18" i="27"/>
  <c r="L18" i="27"/>
  <c r="P18" i="27"/>
  <c r="D23" i="27"/>
  <c r="H23" i="27"/>
  <c r="L23" i="27"/>
  <c r="P23" i="27"/>
  <c r="D26" i="27"/>
  <c r="H26" i="27"/>
  <c r="L26" i="27"/>
  <c r="B11" i="27"/>
  <c r="F11" i="27"/>
  <c r="J11" i="27"/>
  <c r="N11" i="27"/>
  <c r="O12" i="27"/>
  <c r="O13" i="27" s="1"/>
  <c r="D16" i="27"/>
  <c r="H16" i="27"/>
  <c r="L16" i="27"/>
  <c r="P16" i="27"/>
  <c r="Q25" i="27"/>
  <c r="D9" i="27"/>
  <c r="H9" i="27"/>
  <c r="L9" i="27"/>
  <c r="P9" i="27"/>
  <c r="C11" i="27"/>
  <c r="G11" i="27"/>
  <c r="K11" i="27"/>
  <c r="O11" i="27"/>
  <c r="C12" i="27"/>
  <c r="C13" i="27"/>
  <c r="B18" i="27"/>
  <c r="F18" i="27"/>
  <c r="J18" i="27"/>
  <c r="N18" i="27"/>
  <c r="B23" i="27"/>
  <c r="F23" i="27"/>
  <c r="J23" i="27"/>
  <c r="N23" i="27"/>
  <c r="B26" i="27"/>
  <c r="F26" i="27"/>
  <c r="J26" i="27"/>
  <c r="N26" i="27"/>
  <c r="K110" i="26"/>
  <c r="E26" i="27"/>
  <c r="M26" i="27"/>
  <c r="E13" i="27"/>
  <c r="Q8" i="27"/>
  <c r="J16" i="27"/>
  <c r="E9" i="27"/>
  <c r="Q10" i="27"/>
  <c r="I11" i="27"/>
  <c r="M11" i="27"/>
  <c r="D11" i="27"/>
  <c r="N16" i="27"/>
  <c r="E18" i="27"/>
  <c r="I18" i="27"/>
  <c r="M18" i="27"/>
  <c r="E23" i="27"/>
  <c r="I23" i="27"/>
  <c r="M23" i="27"/>
  <c r="I9" i="27"/>
  <c r="H11" i="27"/>
  <c r="E16" i="27"/>
  <c r="I16" i="27"/>
  <c r="M16" i="27"/>
  <c r="B16" i="27"/>
  <c r="F16" i="27"/>
  <c r="I26" i="27"/>
  <c r="Q6" i="27"/>
  <c r="Q26" i="27" s="1"/>
  <c r="P11" i="27"/>
  <c r="B9" i="27"/>
  <c r="J9" i="27"/>
  <c r="N9" i="27"/>
  <c r="E11" i="27"/>
  <c r="G16" i="27"/>
  <c r="O16" i="27"/>
  <c r="F12" i="27"/>
  <c r="F13" i="27"/>
  <c r="Q15" i="27"/>
  <c r="Q17" i="27"/>
  <c r="D19" i="27"/>
  <c r="D20" i="27"/>
  <c r="H19" i="27"/>
  <c r="H20" i="27"/>
  <c r="L19" i="27"/>
  <c r="L20" i="27"/>
  <c r="P19" i="27"/>
  <c r="P20" i="27"/>
  <c r="C16" i="27"/>
  <c r="K16" i="27"/>
  <c r="R20" i="27"/>
  <c r="Q22" i="27"/>
  <c r="Q23" i="27" s="1"/>
  <c r="M17" i="26"/>
  <c r="E20" i="27"/>
  <c r="C5" i="31"/>
  <c r="K5" i="31"/>
  <c r="K8" i="31"/>
  <c r="O28" i="27"/>
  <c r="B17" i="29"/>
  <c r="B18" i="29"/>
  <c r="G28" i="27"/>
  <c r="B28" i="27"/>
  <c r="L28" i="27"/>
  <c r="K28" i="27"/>
  <c r="C28" i="27"/>
  <c r="F28" i="27"/>
  <c r="Q18" i="27"/>
  <c r="P28" i="27"/>
  <c r="D28" i="27"/>
  <c r="Q19" i="27"/>
  <c r="Q20" i="27" s="1"/>
  <c r="H28" i="27"/>
  <c r="Q9" i="27"/>
  <c r="C15" i="31"/>
  <c r="E17" i="6"/>
  <c r="C9" i="31"/>
  <c r="C10" i="31"/>
  <c r="C17" i="31"/>
  <c r="C18" i="31"/>
  <c r="K17" i="31"/>
  <c r="K18" i="31"/>
  <c r="E19" i="6"/>
  <c r="M19" i="6"/>
  <c r="C11" i="31"/>
  <c r="C12" i="31"/>
  <c r="K9" i="31"/>
  <c r="K10" i="31"/>
  <c r="J239" i="26"/>
  <c r="J235" i="26"/>
  <c r="J236" i="26"/>
  <c r="J226" i="26"/>
  <c r="M32" i="26"/>
  <c r="J220" i="26"/>
  <c r="M31" i="26"/>
  <c r="J192" i="26"/>
  <c r="M25" i="26"/>
  <c r="J178" i="26"/>
  <c r="J179" i="26"/>
  <c r="J152" i="26"/>
  <c r="J171" i="26"/>
  <c r="J140" i="26"/>
  <c r="J133" i="26"/>
  <c r="J130" i="26"/>
  <c r="J125" i="26"/>
  <c r="J120" i="26"/>
  <c r="J110" i="26"/>
  <c r="J101" i="26"/>
  <c r="J95" i="26"/>
  <c r="J88" i="26"/>
  <c r="J72" i="26"/>
  <c r="J75" i="26"/>
  <c r="J58" i="26"/>
  <c r="J47" i="26"/>
  <c r="J40" i="26"/>
  <c r="J33" i="26"/>
  <c r="J23" i="26"/>
  <c r="J24" i="26"/>
  <c r="J25" i="26"/>
  <c r="M15" i="6"/>
  <c r="M17" i="6"/>
  <c r="M20" i="26"/>
  <c r="E10" i="6"/>
  <c r="M24" i="26"/>
  <c r="J189" i="26"/>
  <c r="J134" i="26"/>
  <c r="M21" i="26"/>
  <c r="J148" i="26"/>
  <c r="M22" i="26"/>
  <c r="J227" i="26"/>
  <c r="E6" i="6"/>
  <c r="K11" i="31"/>
  <c r="K12" i="31"/>
  <c r="J102" i="26"/>
  <c r="J240" i="26"/>
  <c r="J59" i="26"/>
  <c r="J60" i="26"/>
  <c r="M34" i="26"/>
  <c r="E22" i="6"/>
  <c r="M6" i="6"/>
  <c r="E16" i="6"/>
  <c r="E18" i="6"/>
  <c r="M18" i="6"/>
  <c r="J61" i="26"/>
  <c r="E8" i="6"/>
  <c r="M20" i="6"/>
  <c r="M16" i="6"/>
  <c r="E11" i="6"/>
  <c r="M10" i="6"/>
  <c r="M11" i="6"/>
  <c r="E20" i="6"/>
  <c r="J228" i="26"/>
  <c r="E9" i="6"/>
  <c r="E12" i="6"/>
  <c r="M8" i="6"/>
  <c r="M9" i="6"/>
  <c r="E25" i="6"/>
  <c r="J229" i="26"/>
  <c r="K172" i="4"/>
  <c r="K103" i="4"/>
  <c r="B28" i="5"/>
  <c r="C27" i="5"/>
  <c r="B25" i="5"/>
  <c r="C24" i="5"/>
  <c r="B21" i="5"/>
  <c r="B30" i="5"/>
  <c r="B20" i="5"/>
  <c r="C19" i="5"/>
  <c r="B18" i="5"/>
  <c r="C17" i="5"/>
  <c r="C18" i="5"/>
  <c r="C14" i="5"/>
  <c r="C12" i="5"/>
  <c r="C10" i="5"/>
  <c r="C8" i="5"/>
  <c r="L321" i="4"/>
  <c r="J319" i="4"/>
  <c r="J315" i="4"/>
  <c r="J316" i="4"/>
  <c r="J302" i="4"/>
  <c r="J291" i="4"/>
  <c r="J288" i="4"/>
  <c r="J282" i="4"/>
  <c r="J273" i="4"/>
  <c r="J267" i="4"/>
  <c r="J249" i="4"/>
  <c r="J259" i="4"/>
  <c r="J241" i="4"/>
  <c r="J229" i="4"/>
  <c r="J220" i="4"/>
  <c r="J212" i="4"/>
  <c r="J207" i="4"/>
  <c r="J198" i="4"/>
  <c r="J191" i="4"/>
  <c r="J186" i="4"/>
  <c r="J179" i="4"/>
  <c r="J213" i="4"/>
  <c r="J166" i="4"/>
  <c r="J157" i="4"/>
  <c r="J144" i="4"/>
  <c r="J134" i="4"/>
  <c r="J127" i="4"/>
  <c r="J115" i="4"/>
  <c r="J109" i="4"/>
  <c r="L96" i="4"/>
  <c r="J93" i="4"/>
  <c r="J85" i="4"/>
  <c r="D17" i="5"/>
  <c r="J77" i="4"/>
  <c r="D12" i="5"/>
  <c r="E12" i="5"/>
  <c r="J67" i="4"/>
  <c r="J70" i="4"/>
  <c r="J54" i="4"/>
  <c r="J47" i="4"/>
  <c r="J43" i="4"/>
  <c r="J36" i="4"/>
  <c r="J30" i="4"/>
  <c r="J31" i="4"/>
  <c r="J37" i="4"/>
  <c r="C12" i="2"/>
  <c r="C14" i="2"/>
  <c r="C17" i="2"/>
  <c r="C19" i="2"/>
  <c r="C24" i="2"/>
  <c r="C27" i="2"/>
  <c r="C10" i="2"/>
  <c r="C8" i="2"/>
  <c r="C20" i="2"/>
  <c r="B28" i="2"/>
  <c r="B25" i="2"/>
  <c r="B21" i="2"/>
  <c r="B22" i="2"/>
  <c r="B20" i="2"/>
  <c r="B18" i="2"/>
  <c r="K172" i="3"/>
  <c r="K305" i="3"/>
  <c r="K103" i="3"/>
  <c r="Q6" i="1"/>
  <c r="J319" i="3"/>
  <c r="J316" i="3"/>
  <c r="J315" i="3"/>
  <c r="J302" i="3"/>
  <c r="J291" i="3"/>
  <c r="J288" i="3"/>
  <c r="J282" i="3"/>
  <c r="J273" i="3"/>
  <c r="J267" i="3"/>
  <c r="J249" i="3"/>
  <c r="J259" i="3"/>
  <c r="J241" i="3"/>
  <c r="J229" i="3"/>
  <c r="J220" i="3"/>
  <c r="J212" i="3"/>
  <c r="J207" i="3"/>
  <c r="J198" i="3"/>
  <c r="J191" i="3"/>
  <c r="J186" i="3"/>
  <c r="J179" i="3"/>
  <c r="J166" i="3"/>
  <c r="J157" i="3"/>
  <c r="J144" i="3"/>
  <c r="J134" i="3"/>
  <c r="J127" i="3"/>
  <c r="J115" i="3"/>
  <c r="J109" i="3"/>
  <c r="J93" i="3"/>
  <c r="J85" i="3"/>
  <c r="D17" i="2"/>
  <c r="E17" i="2"/>
  <c r="C15" i="1"/>
  <c r="J77" i="3"/>
  <c r="D12" i="2"/>
  <c r="E12" i="2"/>
  <c r="J67" i="3"/>
  <c r="J70" i="3"/>
  <c r="J54" i="3"/>
  <c r="J47" i="3"/>
  <c r="J43" i="3"/>
  <c r="J36" i="3"/>
  <c r="J30" i="3"/>
  <c r="J31" i="3"/>
  <c r="B17" i="1"/>
  <c r="B15" i="1"/>
  <c r="B8" i="1"/>
  <c r="C25" i="2"/>
  <c r="J117" i="4"/>
  <c r="J221" i="4"/>
  <c r="J305" i="4"/>
  <c r="J306" i="4"/>
  <c r="J304" i="4"/>
  <c r="C25" i="5"/>
  <c r="K305" i="4"/>
  <c r="J117" i="3"/>
  <c r="J320" i="3"/>
  <c r="D19" i="5"/>
  <c r="E19" i="5"/>
  <c r="C28" i="5"/>
  <c r="J213" i="3"/>
  <c r="J94" i="3"/>
  <c r="J95" i="3"/>
  <c r="D10" i="2"/>
  <c r="E10" i="2"/>
  <c r="C21" i="5"/>
  <c r="J320" i="4"/>
  <c r="B22" i="5"/>
  <c r="E13" i="6"/>
  <c r="M12" i="6"/>
  <c r="M13" i="6"/>
  <c r="K14" i="31"/>
  <c r="K15" i="31"/>
  <c r="J230" i="26"/>
  <c r="J241" i="26"/>
  <c r="J37" i="3"/>
  <c r="J96" i="3"/>
  <c r="B30" i="2"/>
  <c r="B31" i="2"/>
  <c r="C18" i="2"/>
  <c r="J221" i="3"/>
  <c r="B22" i="1"/>
  <c r="J304" i="3"/>
  <c r="C21" i="2"/>
  <c r="C22" i="2"/>
  <c r="D19" i="2"/>
  <c r="E19" i="2"/>
  <c r="E21" i="2"/>
  <c r="J94" i="4"/>
  <c r="J95" i="4"/>
  <c r="D10" i="5"/>
  <c r="D14" i="5"/>
  <c r="C20" i="5"/>
  <c r="D8" i="5"/>
  <c r="E8" i="5"/>
  <c r="B6" i="6"/>
  <c r="D8" i="2"/>
  <c r="E8" i="2"/>
  <c r="C6" i="1"/>
  <c r="C16" i="1"/>
  <c r="B6" i="1"/>
  <c r="B16" i="1"/>
  <c r="C28" i="2"/>
  <c r="B10" i="1"/>
  <c r="B12" i="1"/>
  <c r="B25" i="1"/>
  <c r="B26" i="1"/>
  <c r="B19" i="1"/>
  <c r="E17" i="5"/>
  <c r="B15" i="6"/>
  <c r="B10" i="6"/>
  <c r="C10" i="1"/>
  <c r="E14" i="2"/>
  <c r="E15" i="2"/>
  <c r="F14" i="2"/>
  <c r="D14" i="2"/>
  <c r="C8" i="1"/>
  <c r="D18" i="2"/>
  <c r="D21" i="5"/>
  <c r="D24" i="5"/>
  <c r="D30" i="5"/>
  <c r="B23" i="1"/>
  <c r="E10" i="5"/>
  <c r="E14" i="5"/>
  <c r="D20" i="2"/>
  <c r="C11" i="1"/>
  <c r="B20" i="1"/>
  <c r="K306" i="3"/>
  <c r="D13" i="2"/>
  <c r="E18" i="2"/>
  <c r="F17" i="2"/>
  <c r="Q15" i="1"/>
  <c r="E20" i="2"/>
  <c r="F19" i="2"/>
  <c r="Q17" i="1"/>
  <c r="Q18" i="1"/>
  <c r="C17" i="1"/>
  <c r="C19" i="1"/>
  <c r="C20" i="1"/>
  <c r="B18" i="1"/>
  <c r="D21" i="2"/>
  <c r="D22" i="2"/>
  <c r="C30" i="5"/>
  <c r="C22" i="5"/>
  <c r="B11" i="1"/>
  <c r="E23" i="6"/>
  <c r="E27" i="6"/>
  <c r="M22" i="6"/>
  <c r="M23" i="6"/>
  <c r="J243" i="26"/>
  <c r="J244" i="26"/>
  <c r="D25" i="5"/>
  <c r="J305" i="3"/>
  <c r="J306" i="3"/>
  <c r="D24" i="2"/>
  <c r="E24" i="2"/>
  <c r="J96" i="4"/>
  <c r="K96" i="4"/>
  <c r="C30" i="2"/>
  <c r="C31" i="2"/>
  <c r="D11" i="5"/>
  <c r="D13" i="5"/>
  <c r="E24" i="5"/>
  <c r="B22" i="6"/>
  <c r="B23" i="6"/>
  <c r="D18" i="5"/>
  <c r="E13" i="2"/>
  <c r="F12" i="2"/>
  <c r="Q10" i="1"/>
  <c r="Q11" i="1"/>
  <c r="E22" i="2"/>
  <c r="F21" i="2"/>
  <c r="F22" i="2"/>
  <c r="D11" i="2"/>
  <c r="B9" i="1"/>
  <c r="E11" i="2"/>
  <c r="F10" i="2"/>
  <c r="E13" i="5"/>
  <c r="F12" i="5"/>
  <c r="F13" i="5"/>
  <c r="D22" i="5"/>
  <c r="B11" i="6"/>
  <c r="D20" i="5"/>
  <c r="E18" i="5"/>
  <c r="F17" i="5"/>
  <c r="F18" i="5"/>
  <c r="B16" i="6"/>
  <c r="E21" i="5"/>
  <c r="E22" i="5"/>
  <c r="F21" i="5"/>
  <c r="F22" i="5"/>
  <c r="B17" i="6"/>
  <c r="E20" i="5"/>
  <c r="F19" i="5"/>
  <c r="F20" i="5"/>
  <c r="F15" i="2"/>
  <c r="F20" i="2"/>
  <c r="E11" i="5"/>
  <c r="F10" i="5"/>
  <c r="F11" i="5"/>
  <c r="B8" i="6"/>
  <c r="B13" i="1"/>
  <c r="B28" i="1"/>
  <c r="D15" i="5"/>
  <c r="D15" i="2"/>
  <c r="C18" i="1"/>
  <c r="C9" i="1"/>
  <c r="C12" i="1"/>
  <c r="D25" i="2"/>
  <c r="F18" i="2"/>
  <c r="F13" i="2"/>
  <c r="J307" i="4"/>
  <c r="J321" i="4"/>
  <c r="M321" i="4"/>
  <c r="D30" i="2"/>
  <c r="E26" i="6"/>
  <c r="M25" i="6"/>
  <c r="M26" i="6"/>
  <c r="M96" i="4"/>
  <c r="E25" i="5"/>
  <c r="F24" i="5"/>
  <c r="F25" i="5"/>
  <c r="J307" i="3"/>
  <c r="J321" i="3"/>
  <c r="D27" i="2"/>
  <c r="F11" i="2"/>
  <c r="Q8" i="1"/>
  <c r="Q9" i="1"/>
  <c r="C13" i="1"/>
  <c r="C22" i="1"/>
  <c r="C23" i="1"/>
  <c r="E25" i="2"/>
  <c r="F24" i="2"/>
  <c r="Q16" i="1"/>
  <c r="Q19" i="1"/>
  <c r="Q20" i="1"/>
  <c r="E15" i="5"/>
  <c r="F14" i="5"/>
  <c r="E30" i="5"/>
  <c r="B9" i="6"/>
  <c r="B12" i="6"/>
  <c r="B18" i="6"/>
  <c r="B19" i="6"/>
  <c r="B20" i="6"/>
  <c r="E30" i="2"/>
  <c r="D27" i="5"/>
  <c r="D32" i="5"/>
  <c r="D31" i="2"/>
  <c r="D28" i="2"/>
  <c r="E27" i="2"/>
  <c r="E27" i="5"/>
  <c r="E32" i="5"/>
  <c r="D28" i="5"/>
  <c r="Q12" i="1"/>
  <c r="Q13" i="1"/>
  <c r="C28" i="1"/>
  <c r="B13" i="6"/>
  <c r="F30" i="5"/>
  <c r="F15" i="5"/>
  <c r="Q22" i="1"/>
  <c r="Q23" i="1"/>
  <c r="F25" i="2"/>
  <c r="F30" i="2"/>
  <c r="E28" i="2"/>
  <c r="F27" i="2"/>
  <c r="C25" i="1"/>
  <c r="C26" i="1"/>
  <c r="E31" i="2"/>
  <c r="B25" i="6"/>
  <c r="B26" i="6"/>
  <c r="E28" i="5"/>
  <c r="F27" i="5"/>
  <c r="F28" i="5"/>
  <c r="Q28" i="1"/>
  <c r="Q25" i="1"/>
  <c r="Q26" i="1"/>
  <c r="F28" i="2"/>
  <c r="F31" i="2"/>
  <c r="F32" i="5"/>
  <c r="O10" i="45"/>
  <c r="G16" i="33"/>
  <c r="G17" i="33" l="1"/>
  <c r="N17" i="33"/>
  <c r="N19" i="33"/>
  <c r="N20" i="33" s="1"/>
  <c r="I28" i="27"/>
  <c r="I13" i="27"/>
  <c r="Q12" i="27"/>
  <c r="Q13" i="27" s="1"/>
  <c r="M13" i="27"/>
  <c r="M28" i="27"/>
  <c r="J28" i="27"/>
  <c r="J13" i="27"/>
  <c r="N28" i="27"/>
  <c r="N13" i="27"/>
  <c r="Q11" i="27"/>
  <c r="Q16" i="27"/>
  <c r="F12" i="33"/>
  <c r="G14" i="33"/>
  <c r="G19" i="33"/>
  <c r="G20" i="33" s="1"/>
  <c r="H19" i="33"/>
  <c r="H20" i="33" s="1"/>
  <c r="J7" i="33"/>
  <c r="J17" i="33" s="1"/>
  <c r="I83" i="48"/>
  <c r="I84" i="48" s="1"/>
  <c r="K50" i="49"/>
  <c r="K34" i="49"/>
  <c r="I13" i="49"/>
  <c r="I84" i="49" s="1"/>
  <c r="I85" i="49" s="1"/>
  <c r="K85" i="49" s="1"/>
  <c r="K75" i="49"/>
  <c r="K12" i="49"/>
  <c r="K79" i="49"/>
  <c r="K83" i="49"/>
  <c r="K27" i="49"/>
  <c r="K28" i="49"/>
  <c r="K45" i="49"/>
  <c r="K17" i="49"/>
  <c r="K38" i="49"/>
  <c r="K56" i="49"/>
  <c r="K72" i="49"/>
  <c r="K24" i="49"/>
  <c r="K55" i="49"/>
  <c r="K78" i="49"/>
  <c r="K60" i="49"/>
  <c r="K82" i="49"/>
  <c r="K18" i="49"/>
  <c r="K35" i="49"/>
  <c r="K58" i="49"/>
  <c r="K74" i="49"/>
  <c r="K36" i="49"/>
  <c r="K33" i="49"/>
  <c r="K48" i="49"/>
  <c r="K25" i="49"/>
  <c r="K42" i="49"/>
  <c r="K61" i="49"/>
  <c r="K77" i="49"/>
  <c r="K32" i="49"/>
  <c r="K59" i="49"/>
  <c r="K8" i="49"/>
  <c r="K63" i="49"/>
  <c r="K6" i="49"/>
  <c r="K22" i="49"/>
  <c r="K39" i="49"/>
  <c r="K62" i="49"/>
  <c r="K81" i="49"/>
  <c r="K20" i="49"/>
  <c r="K41" i="49"/>
  <c r="K9" i="49"/>
  <c r="K49" i="49"/>
  <c r="K69" i="49"/>
  <c r="K47" i="49"/>
  <c r="K21" i="49"/>
  <c r="K76" i="49"/>
  <c r="K31" i="49"/>
  <c r="K54" i="49"/>
  <c r="K70" i="49"/>
  <c r="K17" i="33"/>
  <c r="K44" i="49"/>
  <c r="K37" i="49"/>
  <c r="K53" i="49"/>
  <c r="K30" i="49"/>
  <c r="K46" i="49"/>
  <c r="K65" i="49"/>
  <c r="K7" i="49"/>
  <c r="K40" i="49"/>
  <c r="K71" i="49"/>
  <c r="K11" i="49"/>
  <c r="K68" i="49"/>
  <c r="K10" i="49"/>
  <c r="K26" i="49"/>
  <c r="K43" i="49"/>
  <c r="K67" i="49"/>
  <c r="L19" i="33"/>
  <c r="L20" i="33" s="1"/>
  <c r="L12" i="33"/>
  <c r="L14" i="33"/>
  <c r="L17" i="33"/>
  <c r="N14" i="33"/>
  <c r="K19" i="33"/>
  <c r="K20" i="33" s="1"/>
  <c r="K14" i="33"/>
  <c r="I13" i="33"/>
  <c r="I14" i="33" s="1"/>
  <c r="K12" i="33"/>
  <c r="F13" i="33"/>
  <c r="P12" i="33" l="1"/>
  <c r="I87" i="45"/>
  <c r="I88" i="45" s="1"/>
  <c r="Q28" i="27"/>
  <c r="J12" i="33"/>
  <c r="J19" i="33"/>
  <c r="J20" i="33" s="1"/>
  <c r="J14" i="33"/>
  <c r="K13" i="49"/>
  <c r="K84" i="49"/>
  <c r="F14" i="33"/>
  <c r="F19" i="33"/>
  <c r="F20" i="33" s="1"/>
  <c r="I19" i="33"/>
  <c r="I20" i="33" s="1"/>
  <c r="P17" i="33" l="1"/>
  <c r="P19" i="33"/>
  <c r="P20" i="33" s="1"/>
  <c r="I86" i="48"/>
  <c r="P14" i="33"/>
</calcChain>
</file>

<file path=xl/comments1.xml><?xml version="1.0" encoding="utf-8"?>
<comments xmlns="http://schemas.openxmlformats.org/spreadsheetml/2006/main">
  <authors>
    <author>Chathurangani</author>
  </authors>
  <commentList>
    <comment ref="K11" authorId="0" shapeId="0">
      <text>
        <r>
          <rPr>
            <sz val="9"/>
            <color indexed="81"/>
            <rFont val="Tahoma"/>
            <family val="2"/>
          </rPr>
          <t xml:space="preserve">Annual Bonus Provision $4.3K 
</t>
        </r>
      </text>
    </comment>
    <comment ref="N16" authorId="0" shapeId="0">
      <text>
        <r>
          <rPr>
            <b/>
            <sz val="9"/>
            <color indexed="81"/>
            <rFont val="Tahoma"/>
            <charset val="1"/>
          </rPr>
          <t>Chathu:</t>
        </r>
        <r>
          <rPr>
            <sz val="9"/>
            <color indexed="81"/>
            <rFont val="Tahoma"/>
            <charset val="1"/>
          </rPr>
          <t xml:space="preserve">
Incresed communication expenseS by USD 1.45</t>
        </r>
      </text>
    </comment>
  </commentList>
</comments>
</file>

<file path=xl/comments2.xml><?xml version="1.0" encoding="utf-8"?>
<comments xmlns="http://schemas.openxmlformats.org/spreadsheetml/2006/main">
  <authors>
    <author>Malsha Nirmani</author>
  </authors>
  <commentList>
    <comment ref="J142" authorId="0" shapeId="0">
      <text>
        <r>
          <rPr>
            <b/>
            <sz val="9"/>
            <color indexed="81"/>
            <rFont val="Tahoma"/>
            <family val="2"/>
          </rPr>
          <t>Malsha Nirmani:</t>
        </r>
        <r>
          <rPr>
            <sz val="9"/>
            <color indexed="81"/>
            <rFont val="Tahoma"/>
            <family val="2"/>
          </rPr>
          <t xml:space="preserve">
Added last month amount</t>
        </r>
      </text>
    </comment>
    <comment ref="J154" authorId="0" shapeId="0">
      <text>
        <r>
          <rPr>
            <b/>
            <sz val="9"/>
            <color indexed="81"/>
            <rFont val="Tahoma"/>
            <family val="2"/>
          </rPr>
          <t>Malsha Nirmani:</t>
        </r>
        <r>
          <rPr>
            <sz val="9"/>
            <color indexed="81"/>
            <rFont val="Tahoma"/>
            <family val="2"/>
          </rPr>
          <t xml:space="preserve">
Added last month expense</t>
        </r>
      </text>
    </comment>
    <comment ref="J158" authorId="0" shapeId="0">
      <text>
        <r>
          <rPr>
            <b/>
            <sz val="9"/>
            <color indexed="81"/>
            <rFont val="Tahoma"/>
            <family val="2"/>
          </rPr>
          <t>Malsha Nirmani:</t>
        </r>
        <r>
          <rPr>
            <sz val="9"/>
            <color indexed="81"/>
            <rFont val="Tahoma"/>
            <family val="2"/>
          </rPr>
          <t xml:space="preserve">
added last month bill
</t>
        </r>
      </text>
    </comment>
    <comment ref="J161" authorId="0" shapeId="0">
      <text>
        <r>
          <rPr>
            <b/>
            <sz val="9"/>
            <color indexed="81"/>
            <rFont val="Tahoma"/>
            <family val="2"/>
          </rPr>
          <t>Malsha Nirmani:</t>
        </r>
        <r>
          <rPr>
            <sz val="9"/>
            <color indexed="81"/>
            <rFont val="Tahoma"/>
            <family val="2"/>
          </rPr>
          <t xml:space="preserve">
last month bill</t>
        </r>
      </text>
    </comment>
    <comment ref="J167" authorId="0" shapeId="0">
      <text>
        <r>
          <rPr>
            <b/>
            <sz val="9"/>
            <color indexed="81"/>
            <rFont val="Tahoma"/>
            <family val="2"/>
          </rPr>
          <t>Malsha Nirmani:</t>
        </r>
        <r>
          <rPr>
            <sz val="9"/>
            <color indexed="81"/>
            <rFont val="Tahoma"/>
            <family val="2"/>
          </rPr>
          <t xml:space="preserve">
last month amount</t>
        </r>
      </text>
    </comment>
  </commentList>
</comments>
</file>

<file path=xl/comments3.xml><?xml version="1.0" encoding="utf-8"?>
<comments xmlns="http://schemas.openxmlformats.org/spreadsheetml/2006/main">
  <authors>
    <author>Chathurangani</author>
  </authors>
  <commentList>
    <comment ref="I9" authorId="0" shapeId="0">
      <text>
        <r>
          <rPr>
            <b/>
            <sz val="9"/>
            <color indexed="81"/>
            <rFont val="Tahoma"/>
            <family val="2"/>
          </rPr>
          <t>Chathurangani:</t>
        </r>
        <r>
          <rPr>
            <sz val="9"/>
            <color indexed="81"/>
            <rFont val="Tahoma"/>
            <family val="2"/>
          </rPr>
          <t xml:space="preserve">
Operation suspended since April 2016</t>
        </r>
      </text>
    </comment>
  </commentList>
</comments>
</file>

<file path=xl/comments4.xml><?xml version="1.0" encoding="utf-8"?>
<comments xmlns="http://schemas.openxmlformats.org/spreadsheetml/2006/main">
  <authors>
    <author>Abhirami Thavarajah</author>
  </authors>
  <commentList>
    <comment ref="E17" authorId="0" shapeId="0">
      <text>
        <r>
          <rPr>
            <b/>
            <sz val="9"/>
            <color indexed="81"/>
            <rFont val="Tahoma"/>
            <family val="2"/>
          </rPr>
          <t>Abhirami Thavarajah:</t>
        </r>
        <r>
          <rPr>
            <sz val="9"/>
            <color indexed="81"/>
            <rFont val="Tahoma"/>
            <family val="2"/>
          </rPr>
          <t xml:space="preserve">
Please refer note - 01 - in the sheet " TFI - Jan 2nd to 29th".
Included only Farms related salary including Niluka, excluding all head office realted salary and Director's fee.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Abhirami Thavarajah:</t>
        </r>
        <r>
          <rPr>
            <sz val="9"/>
            <color indexed="81"/>
            <rFont val="Tahoma"/>
            <family val="2"/>
          </rPr>
          <t xml:space="preserve">
please refer note - 02 - in the sheet " TFI - Jan 2nd to 29th"</t>
        </r>
      </text>
    </comment>
  </commentList>
</comments>
</file>

<file path=xl/comments5.xml><?xml version="1.0" encoding="utf-8"?>
<comments xmlns="http://schemas.openxmlformats.org/spreadsheetml/2006/main">
  <authors>
    <author>Abhirami Thavarajah</author>
  </authors>
  <commentList>
    <comment ref="N2" authorId="0" shapeId="0">
      <text>
        <r>
          <rPr>
            <b/>
            <sz val="9"/>
            <color indexed="81"/>
            <rFont val="Tahoma"/>
            <family val="2"/>
          </rPr>
          <t>Abhirami Thavarajah:</t>
        </r>
        <r>
          <rPr>
            <sz val="9"/>
            <color indexed="81"/>
            <rFont val="Tahoma"/>
            <family val="2"/>
          </rPr>
          <t xml:space="preserve">
Given by Sam</t>
        </r>
      </text>
    </comment>
    <comment ref="N19" authorId="0" shapeId="0">
      <text>
        <r>
          <rPr>
            <b/>
            <sz val="9"/>
            <color indexed="81"/>
            <rFont val="Tahoma"/>
            <family val="2"/>
          </rPr>
          <t>Abhirami Thavarajah:</t>
        </r>
        <r>
          <rPr>
            <sz val="9"/>
            <color indexed="81"/>
            <rFont val="Tahoma"/>
            <family val="2"/>
          </rPr>
          <t xml:space="preserve">
Given by Sam</t>
        </r>
      </text>
    </comment>
    <comment ref="M29" authorId="0" shapeId="0">
      <text>
        <r>
          <rPr>
            <b/>
            <sz val="9"/>
            <color indexed="81"/>
            <rFont val="Tahoma"/>
            <family val="2"/>
          </rPr>
          <t>Abhirami Thavarajah:</t>
        </r>
        <r>
          <rPr>
            <sz val="9"/>
            <color indexed="81"/>
            <rFont val="Tahoma"/>
            <family val="2"/>
          </rPr>
          <t xml:space="preserve">
professional fees has been directly identified separately for TFI and TeKSS, so included full TFI amount to TFI</t>
        </r>
      </text>
    </comment>
    <comment ref="J49" authorId="0" shapeId="0">
      <text>
        <r>
          <rPr>
            <b/>
            <sz val="9"/>
            <color indexed="81"/>
            <rFont val="Tahoma"/>
            <family val="2"/>
          </rPr>
          <t>Abhirami Thavarajah:</t>
        </r>
        <r>
          <rPr>
            <sz val="9"/>
            <color indexed="81"/>
            <rFont val="Tahoma"/>
            <family val="2"/>
          </rPr>
          <t xml:space="preserve">
manually added as it was not updated yet in QB.</t>
        </r>
      </text>
    </comment>
    <comment ref="J77" authorId="0" shapeId="0">
      <text>
        <r>
          <rPr>
            <b/>
            <sz val="9"/>
            <color indexed="81"/>
            <rFont val="Tahoma"/>
            <family val="2"/>
          </rPr>
          <t>Abhirami Thavarajah:</t>
        </r>
        <r>
          <rPr>
            <sz val="9"/>
            <color indexed="81"/>
            <rFont val="Tahoma"/>
            <family val="2"/>
          </rPr>
          <t xml:space="preserve">
manually added as it was not updated yet in QB</t>
        </r>
      </text>
    </comment>
    <comment ref="J112" authorId="0" shapeId="0">
      <text>
        <r>
          <rPr>
            <b/>
            <sz val="9"/>
            <color indexed="81"/>
            <rFont val="Tahoma"/>
            <family val="2"/>
          </rPr>
          <t>Abhirami Thavarajah:</t>
        </r>
        <r>
          <rPr>
            <sz val="9"/>
            <color indexed="81"/>
            <rFont val="Tahoma"/>
            <family val="2"/>
          </rPr>
          <t xml:space="preserve">
manually added as it was not updated yet in QB.</t>
        </r>
      </text>
    </comment>
    <comment ref="J142" authorId="0" shapeId="0">
      <text>
        <r>
          <rPr>
            <b/>
            <sz val="9"/>
            <color indexed="81"/>
            <rFont val="Tahoma"/>
            <family val="2"/>
          </rPr>
          <t>Abhirami Thavarajah:</t>
        </r>
        <r>
          <rPr>
            <sz val="9"/>
            <color indexed="81"/>
            <rFont val="Tahoma"/>
            <family val="2"/>
          </rPr>
          <t xml:space="preserve">
manually added as it was not updated yet in QB. Taken last month figure for this month too.</t>
        </r>
      </text>
    </comment>
    <comment ref="J146" authorId="0" shapeId="0">
      <text>
        <r>
          <rPr>
            <b/>
            <sz val="9"/>
            <color indexed="81"/>
            <rFont val="Tahoma"/>
            <family val="2"/>
          </rPr>
          <t>Abhirami Thavarajah:</t>
        </r>
        <r>
          <rPr>
            <sz val="9"/>
            <color indexed="81"/>
            <rFont val="Tahoma"/>
            <family val="2"/>
          </rPr>
          <t xml:space="preserve">
manually added as it was not updated yet in QB. Taken last month figure for this month too.</t>
        </r>
      </text>
    </comment>
    <comment ref="J153" authorId="0" shapeId="0">
      <text>
        <r>
          <rPr>
            <b/>
            <sz val="9"/>
            <color indexed="81"/>
            <rFont val="Tahoma"/>
            <family val="2"/>
          </rPr>
          <t>Abhirami Thavarajah:</t>
        </r>
        <r>
          <rPr>
            <sz val="9"/>
            <color indexed="81"/>
            <rFont val="Tahoma"/>
            <family val="2"/>
          </rPr>
          <t xml:space="preserve">
Manually added as it was not updated yet in QB. Taken last month figure for this month.</t>
        </r>
      </text>
    </comment>
    <comment ref="J159" authorId="0" shapeId="0">
      <text>
        <r>
          <rPr>
            <b/>
            <sz val="9"/>
            <color indexed="81"/>
            <rFont val="Tahoma"/>
            <family val="2"/>
          </rPr>
          <t>Abhirami Thavarajah:</t>
        </r>
        <r>
          <rPr>
            <sz val="9"/>
            <color indexed="81"/>
            <rFont val="Tahoma"/>
            <family val="2"/>
          </rPr>
          <t xml:space="preserve">
manually added as it was not updated yet in QB. Taken last month figure for this month too.</t>
        </r>
      </text>
    </comment>
    <comment ref="J164" authorId="0" shapeId="0">
      <text>
        <r>
          <rPr>
            <b/>
            <sz val="9"/>
            <color indexed="81"/>
            <rFont val="Tahoma"/>
            <family val="2"/>
          </rPr>
          <t>Abhirami Thavarajah:</t>
        </r>
        <r>
          <rPr>
            <sz val="9"/>
            <color indexed="81"/>
            <rFont val="Tahoma"/>
            <family val="2"/>
          </rPr>
          <t xml:space="preserve">
Manually added as it was not updated yet in QB. Taken last month figure for this month.</t>
        </r>
      </text>
    </comment>
    <comment ref="J167" authorId="0" shapeId="0">
      <text>
        <r>
          <rPr>
            <b/>
            <sz val="9"/>
            <color indexed="81"/>
            <rFont val="Tahoma"/>
            <family val="2"/>
          </rPr>
          <t>Abhirami Thavarajah:</t>
        </r>
        <r>
          <rPr>
            <sz val="9"/>
            <color indexed="81"/>
            <rFont val="Tahoma"/>
            <family val="2"/>
          </rPr>
          <t xml:space="preserve">
Manually added as it was not updated yet in QB. Taken last month figure for this month.</t>
        </r>
      </text>
    </comment>
    <comment ref="J182" authorId="0" shapeId="0">
      <text>
        <r>
          <rPr>
            <b/>
            <sz val="9"/>
            <color indexed="81"/>
            <rFont val="Tahoma"/>
            <family val="2"/>
          </rPr>
          <t>Abhirami Thavarajah:</t>
        </r>
        <r>
          <rPr>
            <sz val="9"/>
            <color indexed="81"/>
            <rFont val="Tahoma"/>
            <family val="2"/>
          </rPr>
          <t xml:space="preserve">
Manually added as it was not updated yet in QB. Taken last month figure for this month.</t>
        </r>
      </text>
    </comment>
    <comment ref="J184" authorId="0" shapeId="0">
      <text>
        <r>
          <rPr>
            <b/>
            <sz val="9"/>
            <color indexed="81"/>
            <rFont val="Tahoma"/>
            <family val="2"/>
          </rPr>
          <t>Abhirami Thavarajah:</t>
        </r>
        <r>
          <rPr>
            <sz val="9"/>
            <color indexed="81"/>
            <rFont val="Tahoma"/>
            <family val="2"/>
          </rPr>
          <t xml:space="preserve">
Manually added as it was not updated yet in QB. Taken last month figure for this month.</t>
        </r>
      </text>
    </comment>
    <comment ref="J204" authorId="0" shapeId="0">
      <text>
        <r>
          <rPr>
            <b/>
            <sz val="9"/>
            <color indexed="81"/>
            <rFont val="Tahoma"/>
            <family val="2"/>
          </rPr>
          <t>Abhirami Thavarajah:</t>
        </r>
        <r>
          <rPr>
            <sz val="9"/>
            <color indexed="81"/>
            <rFont val="Tahoma"/>
            <family val="2"/>
          </rPr>
          <t xml:space="preserve">
manually added as it was not updated yet in QB. Taken last month figure for this month too.</t>
        </r>
      </text>
    </comment>
    <comment ref="J209" authorId="0" shapeId="0">
      <text>
        <r>
          <rPr>
            <b/>
            <sz val="9"/>
            <color indexed="81"/>
            <rFont val="Tahoma"/>
            <family val="2"/>
          </rPr>
          <t>Abhirami Thavarajah:</t>
        </r>
        <r>
          <rPr>
            <sz val="9"/>
            <color indexed="81"/>
            <rFont val="Tahoma"/>
            <family val="2"/>
          </rPr>
          <t xml:space="preserve">
manually added as it was not updated yet in QB. Taken last month figure for this month.</t>
        </r>
      </text>
    </comment>
    <comment ref="J212" authorId="0" shapeId="0">
      <text>
        <r>
          <rPr>
            <b/>
            <sz val="9"/>
            <color indexed="81"/>
            <rFont val="Tahoma"/>
            <family val="2"/>
          </rPr>
          <t>Abhirami Thavarajah:</t>
        </r>
        <r>
          <rPr>
            <sz val="9"/>
            <color indexed="81"/>
            <rFont val="Tahoma"/>
            <family val="2"/>
          </rPr>
          <t xml:space="preserve">
manually added as it was not updated yet in QB. Taken last month figure for this month too.</t>
        </r>
      </text>
    </comment>
  </commentList>
</comments>
</file>

<file path=xl/comments6.xml><?xml version="1.0" encoding="utf-8"?>
<comments xmlns="http://schemas.openxmlformats.org/spreadsheetml/2006/main">
  <authors>
    <author>Abhirami Thavarajah</author>
  </authors>
  <commentList>
    <comment ref="L3" authorId="0" shapeId="0">
      <text>
        <r>
          <rPr>
            <b/>
            <sz val="9"/>
            <color indexed="81"/>
            <rFont val="Tahoma"/>
            <family val="2"/>
          </rPr>
          <t>Abhirami Thavarajah:</t>
        </r>
        <r>
          <rPr>
            <sz val="9"/>
            <color indexed="81"/>
            <rFont val="Tahoma"/>
            <family val="2"/>
          </rPr>
          <t xml:space="preserve">
Need budget figure from mgt</t>
        </r>
      </text>
    </comment>
    <comment ref="C9" authorId="0" shapeId="0">
      <text>
        <r>
          <rPr>
            <b/>
            <sz val="9"/>
            <color indexed="81"/>
            <rFont val="Tahoma"/>
            <family val="2"/>
          </rPr>
          <t>Abhirami Thavarajah:</t>
        </r>
        <r>
          <rPr>
            <sz val="9"/>
            <color indexed="81"/>
            <rFont val="Tahoma"/>
            <family val="2"/>
          </rPr>
          <t xml:space="preserve">
Please refer note - 01 - in the sheet " TeKSS - Jan 2nd to 29th".
Included only Head office related salary, excluding all farm realted salary salaries and Niluka's salary.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Abhirami Thavarajah:</t>
        </r>
        <r>
          <rPr>
            <sz val="9"/>
            <color indexed="81"/>
            <rFont val="Tahoma"/>
            <family val="2"/>
          </rPr>
          <t xml:space="preserve">
Please refer note - 02 - in the sheet " TeKSS - Jan 2nd to 29th".
</t>
        </r>
      </text>
    </comment>
  </commentList>
</comments>
</file>

<file path=xl/comments7.xml><?xml version="1.0" encoding="utf-8"?>
<comments xmlns="http://schemas.openxmlformats.org/spreadsheetml/2006/main">
  <authors>
    <author>Stanley S</author>
  </authors>
  <commentList>
    <comment ref="J125" authorId="0" shapeId="0">
      <text>
        <r>
          <rPr>
            <b/>
            <sz val="9"/>
            <color indexed="81"/>
            <rFont val="Tahoma"/>
            <family val="2"/>
          </rPr>
          <t>Stanley S:</t>
        </r>
        <r>
          <rPr>
            <sz val="9"/>
            <color indexed="81"/>
            <rFont val="Tahoma"/>
            <family val="2"/>
          </rPr>
          <t xml:space="preserve">
Provision for P7</t>
        </r>
      </text>
    </comment>
    <comment ref="J126" authorId="0" shapeId="0">
      <text>
        <r>
          <rPr>
            <b/>
            <sz val="9"/>
            <color indexed="81"/>
            <rFont val="Tahoma"/>
            <family val="2"/>
          </rPr>
          <t>Stanley S:</t>
        </r>
        <r>
          <rPr>
            <sz val="9"/>
            <color indexed="81"/>
            <rFont val="Tahoma"/>
            <family val="2"/>
          </rPr>
          <t xml:space="preserve">
Provision for P7</t>
        </r>
      </text>
    </comment>
    <comment ref="J136" authorId="0" shapeId="0">
      <text>
        <r>
          <rPr>
            <b/>
            <sz val="9"/>
            <color indexed="81"/>
            <rFont val="Tahoma"/>
            <family val="2"/>
          </rPr>
          <t>Stanley S:</t>
        </r>
        <r>
          <rPr>
            <sz val="9"/>
            <color indexed="81"/>
            <rFont val="Tahoma"/>
            <family val="2"/>
          </rPr>
          <t xml:space="preserve">
Provision for P7
</t>
        </r>
      </text>
    </comment>
    <comment ref="J148" authorId="0" shapeId="0">
      <text>
        <r>
          <rPr>
            <b/>
            <sz val="9"/>
            <color indexed="81"/>
            <rFont val="Tahoma"/>
            <family val="2"/>
          </rPr>
          <t>Stanley S:</t>
        </r>
        <r>
          <rPr>
            <sz val="9"/>
            <color indexed="81"/>
            <rFont val="Tahoma"/>
            <family val="2"/>
          </rPr>
          <t xml:space="preserve">
Provision for P7</t>
        </r>
      </text>
    </comment>
    <comment ref="J177" authorId="0" shapeId="0">
      <text>
        <r>
          <rPr>
            <b/>
            <sz val="9"/>
            <color indexed="81"/>
            <rFont val="Tahoma"/>
            <family val="2"/>
          </rPr>
          <t>Stanley S:</t>
        </r>
        <r>
          <rPr>
            <sz val="9"/>
            <color indexed="81"/>
            <rFont val="Tahoma"/>
            <family val="2"/>
          </rPr>
          <t xml:space="preserve">
Provision for P7</t>
        </r>
      </text>
    </comment>
    <comment ref="F196" authorId="0" shapeId="0">
      <text>
        <r>
          <rPr>
            <b/>
            <sz val="9"/>
            <color indexed="81"/>
            <rFont val="Tahoma"/>
            <family val="2"/>
          </rPr>
          <t>Stanley S:</t>
        </r>
        <r>
          <rPr>
            <sz val="9"/>
            <color indexed="81"/>
            <rFont val="Tahoma"/>
            <family val="2"/>
          </rPr>
          <t xml:space="preserve">
Provision for P7
</t>
        </r>
      </text>
    </comment>
    <comment ref="J220" authorId="0" shapeId="0">
      <text>
        <r>
          <rPr>
            <b/>
            <sz val="9"/>
            <color indexed="81"/>
            <rFont val="Tahoma"/>
            <family val="2"/>
          </rPr>
          <t>Stanley S:</t>
        </r>
        <r>
          <rPr>
            <sz val="9"/>
            <color indexed="81"/>
            <rFont val="Tahoma"/>
            <family val="2"/>
          </rPr>
          <t xml:space="preserve">
Provision made P7
</t>
        </r>
      </text>
    </comment>
    <comment ref="J221" authorId="0" shapeId="0">
      <text>
        <r>
          <rPr>
            <b/>
            <sz val="9"/>
            <color indexed="81"/>
            <rFont val="Tahoma"/>
            <family val="2"/>
          </rPr>
          <t>Stanley S:</t>
        </r>
        <r>
          <rPr>
            <sz val="9"/>
            <color indexed="81"/>
            <rFont val="Tahoma"/>
            <family val="2"/>
          </rPr>
          <t xml:space="preserve">
Provision for P7</t>
        </r>
      </text>
    </comment>
    <comment ref="J222" authorId="0" shapeId="0">
      <text>
        <r>
          <rPr>
            <b/>
            <sz val="9"/>
            <color indexed="81"/>
            <rFont val="Tahoma"/>
            <family val="2"/>
          </rPr>
          <t>Stanley S:</t>
        </r>
        <r>
          <rPr>
            <sz val="9"/>
            <color indexed="81"/>
            <rFont val="Tahoma"/>
            <family val="2"/>
          </rPr>
          <t xml:space="preserve">
Provision for 7</t>
        </r>
      </text>
    </comment>
    <comment ref="J227" authorId="0" shapeId="0">
      <text>
        <r>
          <rPr>
            <b/>
            <sz val="9"/>
            <color indexed="81"/>
            <rFont val="Tahoma"/>
            <family val="2"/>
          </rPr>
          <t>Stanley S:</t>
        </r>
        <r>
          <rPr>
            <sz val="9"/>
            <color indexed="81"/>
            <rFont val="Tahoma"/>
            <family val="2"/>
          </rPr>
          <t xml:space="preserve">
Provision for P7</t>
        </r>
      </text>
    </comment>
    <comment ref="J244" authorId="0" shapeId="0">
      <text>
        <r>
          <rPr>
            <b/>
            <sz val="9"/>
            <color indexed="81"/>
            <rFont val="Tahoma"/>
            <family val="2"/>
          </rPr>
          <t>Stanley S:</t>
        </r>
        <r>
          <rPr>
            <sz val="9"/>
            <color indexed="81"/>
            <rFont val="Tahoma"/>
            <family val="2"/>
          </rPr>
          <t xml:space="preserve">
Actual + provision for P7</t>
        </r>
      </text>
    </comment>
    <comment ref="J245" authorId="0" shapeId="0">
      <text>
        <r>
          <rPr>
            <b/>
            <sz val="9"/>
            <color indexed="81"/>
            <rFont val="Tahoma"/>
            <family val="2"/>
          </rPr>
          <t>Stanley S:</t>
        </r>
        <r>
          <rPr>
            <sz val="9"/>
            <color indexed="81"/>
            <rFont val="Tahoma"/>
            <family val="2"/>
          </rPr>
          <t xml:space="preserve">
Actual + Provision made</t>
        </r>
      </text>
    </comment>
    <comment ref="J377" authorId="0" shapeId="0">
      <text>
        <r>
          <rPr>
            <b/>
            <sz val="9"/>
            <color indexed="81"/>
            <rFont val="Tahoma"/>
            <family val="2"/>
          </rPr>
          <t>Stanley S:</t>
        </r>
        <r>
          <rPr>
            <sz val="9"/>
            <color indexed="81"/>
            <rFont val="Tahoma"/>
            <family val="2"/>
          </rPr>
          <t xml:space="preserve">
Provision made P7
</t>
        </r>
      </text>
    </comment>
    <comment ref="J378" authorId="0" shapeId="0">
      <text>
        <r>
          <rPr>
            <b/>
            <sz val="9"/>
            <color indexed="81"/>
            <rFont val="Tahoma"/>
            <family val="2"/>
          </rPr>
          <t>Stanley S:</t>
        </r>
        <r>
          <rPr>
            <sz val="9"/>
            <color indexed="81"/>
            <rFont val="Tahoma"/>
            <family val="2"/>
          </rPr>
          <t xml:space="preserve">
Provision for P7</t>
        </r>
      </text>
    </comment>
    <comment ref="J379" authorId="0" shapeId="0">
      <text>
        <r>
          <rPr>
            <b/>
            <sz val="9"/>
            <color indexed="81"/>
            <rFont val="Tahoma"/>
            <family val="2"/>
          </rPr>
          <t>Stanley S:</t>
        </r>
        <r>
          <rPr>
            <sz val="9"/>
            <color indexed="81"/>
            <rFont val="Tahoma"/>
            <family val="2"/>
          </rPr>
          <t xml:space="preserve">
Provision for 7</t>
        </r>
      </text>
    </comment>
    <comment ref="J384" authorId="0" shapeId="0">
      <text>
        <r>
          <rPr>
            <b/>
            <sz val="9"/>
            <color indexed="81"/>
            <rFont val="Tahoma"/>
            <family val="2"/>
          </rPr>
          <t>Stanley S:</t>
        </r>
        <r>
          <rPr>
            <sz val="9"/>
            <color indexed="81"/>
            <rFont val="Tahoma"/>
            <family val="2"/>
          </rPr>
          <t xml:space="preserve">
Provision for P7</t>
        </r>
      </text>
    </comment>
  </commentList>
</comments>
</file>

<file path=xl/comments8.xml><?xml version="1.0" encoding="utf-8"?>
<comments xmlns="http://schemas.openxmlformats.org/spreadsheetml/2006/main">
  <authors>
    <author>Abhirami Thavarajah</author>
  </authors>
  <commentList>
    <comment ref="J17" authorId="0" shapeId="0">
      <text>
        <r>
          <rPr>
            <b/>
            <sz val="9"/>
            <color indexed="81"/>
            <rFont val="Tahoma"/>
            <family val="2"/>
          </rPr>
          <t>Abhirami Thavarajah:</t>
        </r>
        <r>
          <rPr>
            <sz val="9"/>
            <color indexed="81"/>
            <rFont val="Tahoma"/>
            <family val="2"/>
          </rPr>
          <t xml:space="preserve">
TeKSS salaries and wages pending, but as an estimale taken the valus of the month May 2nd to june 5th - Rs2,692,675.40</t>
        </r>
      </text>
    </comment>
    <comment ref="K17" authorId="0" shapeId="0">
      <text>
        <r>
          <rPr>
            <b/>
            <sz val="9"/>
            <color indexed="81"/>
            <rFont val="Tahoma"/>
            <family val="2"/>
          </rPr>
          <t>Abhirami Thavarajah:</t>
        </r>
        <r>
          <rPr>
            <sz val="9"/>
            <color indexed="81"/>
            <rFont val="Tahoma"/>
            <family val="2"/>
          </rPr>
          <t xml:space="preserve">
TeKSS salaries and wages pending, but as an estimale taken the valus of the month May 2nd to june 5th - Rs2,692,675.40</t>
        </r>
      </text>
    </comment>
  </commentList>
</comments>
</file>

<file path=xl/sharedStrings.xml><?xml version="1.0" encoding="utf-8"?>
<sst xmlns="http://schemas.openxmlformats.org/spreadsheetml/2006/main" count="3178" uniqueCount="909">
  <si>
    <t>Freight &amp; Custom Cost % of Sales</t>
  </si>
  <si>
    <t>Direct Labor % of Sales</t>
  </si>
  <si>
    <t>Salary % of Sales</t>
  </si>
  <si>
    <t>Total Direct and Salary % of Sales</t>
  </si>
  <si>
    <t>All Overhead $ (minus all labor)</t>
  </si>
  <si>
    <t>Actual</t>
  </si>
  <si>
    <t>Sales $</t>
  </si>
  <si>
    <t>All Overhead % (minus all labor)</t>
  </si>
  <si>
    <t>Net Income $</t>
  </si>
  <si>
    <t>Net Income %</t>
  </si>
  <si>
    <t>Direct Labor $</t>
  </si>
  <si>
    <t>Salary $</t>
  </si>
  <si>
    <t>Jan</t>
  </si>
  <si>
    <t>Feb</t>
  </si>
  <si>
    <t>Tropical Fish International (Pvt) Ltd</t>
  </si>
  <si>
    <t>Mar</t>
  </si>
  <si>
    <t>Apr</t>
  </si>
  <si>
    <t xml:space="preserve">May </t>
  </si>
  <si>
    <t>Jun</t>
  </si>
  <si>
    <t>Jul</t>
  </si>
  <si>
    <t>Aug</t>
  </si>
  <si>
    <t>Sep</t>
  </si>
  <si>
    <t>Oct</t>
  </si>
  <si>
    <t>Nov</t>
  </si>
  <si>
    <t>Dec</t>
  </si>
  <si>
    <t>Total</t>
  </si>
  <si>
    <t>2013     2014</t>
  </si>
  <si>
    <t>Fish/ Product Cost $</t>
  </si>
  <si>
    <t>Fish/ Product Cost % of Sales</t>
  </si>
  <si>
    <t>Total Fish/Prod/Frt/ Cust % of Sales</t>
  </si>
  <si>
    <t>Budget</t>
  </si>
  <si>
    <t>Freight &amp; Custom Cost $</t>
  </si>
  <si>
    <t>Total Fish/Prod/Frt/ Cust $</t>
  </si>
  <si>
    <t>Total Direct and Salary $</t>
  </si>
  <si>
    <t>Monthly Key Performance Metrics- 2014 ($,000)</t>
  </si>
  <si>
    <t>Location: Sri Lanka</t>
  </si>
  <si>
    <t>CIS International</t>
  </si>
  <si>
    <t>Budget 2014- FINAL</t>
  </si>
  <si>
    <t>Av.Exchange Rate:</t>
  </si>
  <si>
    <t>12 Mos(SLRS)</t>
  </si>
  <si>
    <t>12 Mos(US$)</t>
  </si>
  <si>
    <t xml:space="preserve">Sales </t>
  </si>
  <si>
    <t xml:space="preserve">Fish/ Product Cost </t>
  </si>
  <si>
    <t xml:space="preserve">Freight &amp; Custom Cost </t>
  </si>
  <si>
    <t xml:space="preserve">Total Fish/Product/Frt/Custom </t>
  </si>
  <si>
    <t>Total Fish/Product/Frt/Custom % of Sales</t>
  </si>
  <si>
    <t xml:space="preserve">Direct Labor </t>
  </si>
  <si>
    <t xml:space="preserve">Salary </t>
  </si>
  <si>
    <t xml:space="preserve">Total Direct Labor and Salary </t>
  </si>
  <si>
    <t>Total Direct Labor and Salary % of Sales</t>
  </si>
  <si>
    <t xml:space="preserve">All Overhead  (minus all labor) </t>
  </si>
  <si>
    <t xml:space="preserve">Net Income </t>
  </si>
  <si>
    <t>Jan - Dec 13</t>
  </si>
  <si>
    <t>Ordinary Income/Expense</t>
  </si>
  <si>
    <t>Income</t>
  </si>
  <si>
    <t>4000000 · Sales Income</t>
  </si>
  <si>
    <t>4000010 · Tropical Fish Sales</t>
  </si>
  <si>
    <t>4000020 · Live Rocks (Coral) Sales</t>
  </si>
  <si>
    <t>4000040 · Cartoon + Styrofoam Combination</t>
  </si>
  <si>
    <t>4000110 · Packing Income - Reimbusable</t>
  </si>
  <si>
    <t>4000120 · Freight Income - Reimbursable</t>
  </si>
  <si>
    <t>4000130 · Documentation &amp; Handling Income</t>
  </si>
  <si>
    <t>4001000 · Diyatha Uyana - Sales Outlet</t>
  </si>
  <si>
    <t>4001010 · Live Fish Sales</t>
  </si>
  <si>
    <t>4001020 · Accessories Sales - Diyatha  Uy</t>
  </si>
  <si>
    <t>4001060 · Live Fish Purchases</t>
  </si>
  <si>
    <t>4001061 · Fish Feeds - Diyatha Uyana</t>
  </si>
  <si>
    <t>4001062 · Sea Water - Diyatha Uyana</t>
  </si>
  <si>
    <t>4001070 · Accessories Purchases - Diyatha</t>
  </si>
  <si>
    <t>4001090 · Stall Fees &amp; Monthly Charges</t>
  </si>
  <si>
    <t>4001100 · Staff Travelling - Diyatha Uyan</t>
  </si>
  <si>
    <t>4001110 · Staff Meals - Diyatha Uyana</t>
  </si>
  <si>
    <t>4001111 · Staff Welfare - Diyatha Uyana</t>
  </si>
  <si>
    <t>4001120 · Traveling &amp; Transport - Diyatha</t>
  </si>
  <si>
    <t>4001130 · Tools, Equip &amp; Maintanance</t>
  </si>
  <si>
    <t>4001140 · Postage and Printing Charges</t>
  </si>
  <si>
    <t>4001150 · Casual Labour Charges</t>
  </si>
  <si>
    <t>4001160 · Electricity Charges</t>
  </si>
  <si>
    <t>4001170 · Fish Feeds for Fish</t>
  </si>
  <si>
    <t>4001200 · Salary &amp; Wages - Diyatha Uyana</t>
  </si>
  <si>
    <t>4001300 · Packing Material For Diyatha</t>
  </si>
  <si>
    <t>Total 4001000 · Diyatha Uyana - Sales Outlet</t>
  </si>
  <si>
    <t>Total 4000000 · Sales Income</t>
  </si>
  <si>
    <t>4100000 · Services Income</t>
  </si>
  <si>
    <t>4100010 · BackOffice Acc.&amp; IT Consultancy</t>
  </si>
  <si>
    <t>4100020 · Freight Commision Income (7.5%)</t>
  </si>
  <si>
    <t>4100030 · Local Services Income</t>
  </si>
  <si>
    <t>Total 4100000 · Services Income</t>
  </si>
  <si>
    <t>Total Income</t>
  </si>
  <si>
    <t>Cost of Goods Sold</t>
  </si>
  <si>
    <t>5100000 · Cost of Sales</t>
  </si>
  <si>
    <t>5100100 · Opening Stock</t>
  </si>
  <si>
    <t>5100110 · Dried Goods &amp; Salt</t>
  </si>
  <si>
    <t>5100120 · Live Fish</t>
  </si>
  <si>
    <t>Total 5100100 · Opening Stock</t>
  </si>
  <si>
    <t>5100200 · Closing Stock</t>
  </si>
  <si>
    <t>5100210 · Dried Goods &amp; Salt</t>
  </si>
  <si>
    <t>5100220 · Live Fish</t>
  </si>
  <si>
    <t>Total 5100200 · Closing Stock</t>
  </si>
  <si>
    <t>5101000 · Live Fish, Dry Goods &amp; Packing</t>
  </si>
  <si>
    <t>5101010 · Live Fish Purchases</t>
  </si>
  <si>
    <t>5101020 · Dried Goods Purchases</t>
  </si>
  <si>
    <t>5101030 · Salt Purchases</t>
  </si>
  <si>
    <t>5101040 · Packing Materials</t>
  </si>
  <si>
    <t>5101000 · Live Fish, Dry Goods &amp; Packing - Other</t>
  </si>
  <si>
    <t>Total 5101000 · Live Fish, Dry Goods &amp; Packing</t>
  </si>
  <si>
    <t>5102000 · Project Costs (Coral, Cartoon)</t>
  </si>
  <si>
    <t>5102010 · Coral Rock Laying &amp; Harvesting</t>
  </si>
  <si>
    <t>5102011 · Casual Labour Expenses</t>
  </si>
  <si>
    <t>5102012 · Farm Lorry Fuel Expenses</t>
  </si>
  <si>
    <t>5102013 · Transpotation Expenses</t>
  </si>
  <si>
    <t>5102014 · Staff Welfare</t>
  </si>
  <si>
    <t>5102015 · Farm Professional Expenses</t>
  </si>
  <si>
    <t>5102016 · Postage , Printing ,Stationery</t>
  </si>
  <si>
    <t>5102017 · Packing Material</t>
  </si>
  <si>
    <t>5102018 · Monthly Fees - Live Care Taking</t>
  </si>
  <si>
    <t>5102019 · Permit Charges - Live Rock</t>
  </si>
  <si>
    <t>5102010 · Coral Rock Laying &amp; Harvesting - Other</t>
  </si>
  <si>
    <t>Total 5102010 · Coral Rock Laying &amp; Harvesting</t>
  </si>
  <si>
    <t>5102020 · Cardboard Cartoon Boxes</t>
  </si>
  <si>
    <t>5102040 · Construction Machinery Project</t>
  </si>
  <si>
    <t>Total 5102000 · Project Costs (Coral, Cartoon)</t>
  </si>
  <si>
    <t>5103000 · Freight &amp; Handling Charges</t>
  </si>
  <si>
    <t>5103010 · Export Freight  - Live Fish</t>
  </si>
  <si>
    <t>5103011 · Export Freight - Live Rock</t>
  </si>
  <si>
    <t>5103012 · Export Freight - Other</t>
  </si>
  <si>
    <t>5103020 · Handling &amp; Documentation Charge</t>
  </si>
  <si>
    <t>5103030 · Imports Freight Charges</t>
  </si>
  <si>
    <t>Total 5103000 · Freight &amp; Handling Charges</t>
  </si>
  <si>
    <t>5104000 · Direct Labour</t>
  </si>
  <si>
    <t>5104010 · Wages</t>
  </si>
  <si>
    <t>5104020 · Labour EPF</t>
  </si>
  <si>
    <t>5104030 · Labour ETF</t>
  </si>
  <si>
    <t>5104040 · Farm Labour Allowance</t>
  </si>
  <si>
    <t>5104050 · Farm Labour OT @ 1.5/hr</t>
  </si>
  <si>
    <t>5104060 · Farm Labour OT @ 2/hr</t>
  </si>
  <si>
    <t>Total 5104000 · Direct Labour</t>
  </si>
  <si>
    <t>5105000 · Direct Farm Overheads</t>
  </si>
  <si>
    <t>5105010 · Sea Water Pumping/ Transport</t>
  </si>
  <si>
    <t>5105020 · Fresh Water Transport</t>
  </si>
  <si>
    <t>5105030 · Travel Bata - Dry Goods</t>
  </si>
  <si>
    <t>5105040 · Travel Bata - Airport</t>
  </si>
  <si>
    <t>5105050 · Travel Bata - Sea Water</t>
  </si>
  <si>
    <t>5105060 · Travel Bata - Fresh Water</t>
  </si>
  <si>
    <t>Total 5105000 · Direct Farm Overheads</t>
  </si>
  <si>
    <t>Total 5100000 · Cost of Sales</t>
  </si>
  <si>
    <t>Total COGS</t>
  </si>
  <si>
    <t>Gross Profit</t>
  </si>
  <si>
    <t>Expense</t>
  </si>
  <si>
    <t>5000000 · Expenses</t>
  </si>
  <si>
    <t>5200000 · Farm Overheads</t>
  </si>
  <si>
    <t>5201000 · Indirect Expenses</t>
  </si>
  <si>
    <t>5201010 · Farm Generator Expenses</t>
  </si>
  <si>
    <t>5201020 · Farm Electricity Expenses</t>
  </si>
  <si>
    <t>5201030 · Farm Casual Labour Expenses</t>
  </si>
  <si>
    <t>5201040 · Farm Staff Welfare</t>
  </si>
  <si>
    <t>5201041 · Drinking Water  - SL Farm</t>
  </si>
  <si>
    <t>5201050 · Farm Hotel &amp; Lodging Expenses</t>
  </si>
  <si>
    <t>5201051 · Room Charges</t>
  </si>
  <si>
    <t>5201052 · Foods &amp; Beverages</t>
  </si>
  <si>
    <t>Total 5201050 · Farm Hotel &amp; Lodging Expenses</t>
  </si>
  <si>
    <t>5201060 · Shipment Day Meals</t>
  </si>
  <si>
    <t>5201080 · Transpotation Expenses</t>
  </si>
  <si>
    <t>5201090 · Farm Insurance Expenses</t>
  </si>
  <si>
    <t>5201091 · General Fram Insurances</t>
  </si>
  <si>
    <t>5201092 · Vehicle Insurances</t>
  </si>
  <si>
    <t>Total 5201090 · Farm Insurance Expenses</t>
  </si>
  <si>
    <t>5201100 · Farm Professional Expenses</t>
  </si>
  <si>
    <t>Total 5201000 · Indirect Expenses</t>
  </si>
  <si>
    <t>5202000 · Payroll Expenses</t>
  </si>
  <si>
    <t>5202010 · Farm Management Salary</t>
  </si>
  <si>
    <t>5202020 · Farm Management EPF</t>
  </si>
  <si>
    <t>5202030 · Farm Management ETF</t>
  </si>
  <si>
    <t>5202040 · Farm Mgt. Other Allowances</t>
  </si>
  <si>
    <t>5202050 · Farm Mgt. Car &amp; Fuel  Allowance</t>
  </si>
  <si>
    <t>5202060 · Farm Mgt. Performance Bonus</t>
  </si>
  <si>
    <t>5202070 · Farm Compensation</t>
  </si>
  <si>
    <t>5202080 · Farm Excess Comunication</t>
  </si>
  <si>
    <t>Total 5202000 · Payroll Expenses</t>
  </si>
  <si>
    <t>5203000 · Farm Communication Expenses</t>
  </si>
  <si>
    <t>5203020 · Farm Land Line No.034-3448849</t>
  </si>
  <si>
    <t>5203030 · Farm Land Line No.034-2255690</t>
  </si>
  <si>
    <t>5203040 · Farm BroadBand Charges</t>
  </si>
  <si>
    <t>5203060 · Farm Mobile Charges</t>
  </si>
  <si>
    <t>5203070 · VPN Charges - SLT</t>
  </si>
  <si>
    <t>Total 5203000 · Farm Communication Expenses</t>
  </si>
  <si>
    <t>5204000 · Farm Vehicle Expenses</t>
  </si>
  <si>
    <t>5204010 · Vehicle Repair &amp; Maintanance</t>
  </si>
  <si>
    <t>5204020 · Vehicle Registration &amp; Renewal</t>
  </si>
  <si>
    <t>5204030 · Tyres Replacement &amp; Repair</t>
  </si>
  <si>
    <t>5204040 · Farm Vehicle Services Expenses</t>
  </si>
  <si>
    <t>5204050 · Farm Bikes Fuel Expenses</t>
  </si>
  <si>
    <t>5204060 · Farm Van Fuel Expenses</t>
  </si>
  <si>
    <t>5204070 · Farm Lorry Fuel Expenses</t>
  </si>
  <si>
    <t>5204090 · Farm Cab Fuel Expenses</t>
  </si>
  <si>
    <t>Total 5204000 · Farm Vehicle Expenses</t>
  </si>
  <si>
    <t>5205000 · Other Farm Overheads</t>
  </si>
  <si>
    <t>5205010 · Maintenance - Farm Equipments</t>
  </si>
  <si>
    <t>5205020 · Entertainment Expenses</t>
  </si>
  <si>
    <t>5205030 · Farm Tools Expenses</t>
  </si>
  <si>
    <t>5205040 · General Repair &amp; Maintanance</t>
  </si>
  <si>
    <t>5205050 · Postage,Printing &amp; Stationeries</t>
  </si>
  <si>
    <t>5205060 · Security Expenses</t>
  </si>
  <si>
    <t>5205070 · Supplier Visit Expenses</t>
  </si>
  <si>
    <t>5205080 · Depreciations - Buildings</t>
  </si>
  <si>
    <t>5205090 · Depreciations - Motor Vehicles</t>
  </si>
  <si>
    <t>5205100 · Depreciations - Fram Equipments</t>
  </si>
  <si>
    <t>5205990 · Miscellaneous Expenses</t>
  </si>
  <si>
    <t>Total 5205000 · Other Farm Overheads</t>
  </si>
  <si>
    <t>5206000 · Finance &amp; Other Charges</t>
  </si>
  <si>
    <t>5206010 · Long Term Loan Interests</t>
  </si>
  <si>
    <t>5206020 · Short Term Loan Interests</t>
  </si>
  <si>
    <t>5206030 · Lease Interests</t>
  </si>
  <si>
    <t>5206040 · Bank Charges</t>
  </si>
  <si>
    <t>5206060 · Overdraft Interests</t>
  </si>
  <si>
    <t>5206080 · Exhibition &amp; Business Promotion</t>
  </si>
  <si>
    <t>5206110 · Taxes and Levyies</t>
  </si>
  <si>
    <t>Total 5206000 · Finance &amp; Other Charges</t>
  </si>
  <si>
    <t>5210000 · Wadduwa Farm Expenses</t>
  </si>
  <si>
    <t>5211000 · Wadduwa Administration Expense</t>
  </si>
  <si>
    <t>5211010 · Generator Expense - Wadduwa</t>
  </si>
  <si>
    <t>5211011 · Water Moter Fuel Expenses</t>
  </si>
  <si>
    <t>5211020 · Electricity Expenses</t>
  </si>
  <si>
    <t>5211030 · Casual Labour Exp. Wadduwa</t>
  </si>
  <si>
    <t>5211040 · Staff Welfare - Wadduwa</t>
  </si>
  <si>
    <t>5211050 · Water Charges - Wadduwa</t>
  </si>
  <si>
    <t>5211051 · Drinking Water Bottles</t>
  </si>
  <si>
    <t>5211060 · Professional Fees - Wadduwa</t>
  </si>
  <si>
    <t>5211070 · Insurance Expenses - Wadduwa</t>
  </si>
  <si>
    <t>5211080 · Transportation Expenses</t>
  </si>
  <si>
    <t>Total 5211000 · Wadduwa Administration Expense</t>
  </si>
  <si>
    <t>5212000 · Wadduwa Salary Expenses</t>
  </si>
  <si>
    <t>5212010 · Management Salary - Wadduwa</t>
  </si>
  <si>
    <t>5212020 · Management EPF - Wadduwa</t>
  </si>
  <si>
    <t>5212030 · Management ETF - Wadduwa</t>
  </si>
  <si>
    <t>5212040 · Allowances - Wadduwa</t>
  </si>
  <si>
    <t>5212080 · Excess Comminication - Wadduwa</t>
  </si>
  <si>
    <t>Total 5212000 · Wadduwa Salary Expenses</t>
  </si>
  <si>
    <t>5213000 · Communication Expenses - Wadduw</t>
  </si>
  <si>
    <t>5213010 · Mobile Bills - Wadduwa</t>
  </si>
  <si>
    <t>5213020 · Broadband Bills - Wadduwa</t>
  </si>
  <si>
    <t>5213030 · Wadduwa Land Line No.0382285480</t>
  </si>
  <si>
    <t>Total 5213000 · Communication Expenses - Wadduw</t>
  </si>
  <si>
    <t>5214000 · Wadduwa Vehicle Expenses</t>
  </si>
  <si>
    <t>5214020 · Tyres Replacement &amp; Repairs-Wad</t>
  </si>
  <si>
    <t>5214030 · Vehicle Services - Wadduwa</t>
  </si>
  <si>
    <t>5214040 · Fuel Cab - PP-9611 Wadduwa</t>
  </si>
  <si>
    <t>5214050 · Vehicle Insurances</t>
  </si>
  <si>
    <t>5214060 · Fuel for Lorry - LE 6012</t>
  </si>
  <si>
    <t>Total 5214000 · Wadduwa Vehicle Expenses</t>
  </si>
  <si>
    <t>5215000 · Wadduwa Overheads</t>
  </si>
  <si>
    <t>5215030 · Tools &amp; Accessories</t>
  </si>
  <si>
    <t>5215040 · General Repair &amp; Maintanance</t>
  </si>
  <si>
    <t>5215050 · Postage, Printing &amp; Stationery</t>
  </si>
  <si>
    <t>5215060 · Security Expenses - Wadduwa</t>
  </si>
  <si>
    <t>5215070 · Office Rent - Wadduwa</t>
  </si>
  <si>
    <t>5215100 · Depreciations - Buildings @ Wad</t>
  </si>
  <si>
    <t>5215110 · Depriciations - Wadduwa Equipme</t>
  </si>
  <si>
    <t>Total 5215000 · Wadduwa Overheads</t>
  </si>
  <si>
    <t>5216000 · Finance &amp; Others</t>
  </si>
  <si>
    <t>5216010 · Sundry Expenses</t>
  </si>
  <si>
    <t>5216020 · Taxes ,Rate &amp; Levies @ Wadduwa</t>
  </si>
  <si>
    <t>5216030 · Bank Charges @ Wadduwa</t>
  </si>
  <si>
    <t>Total 5216000 · Finance &amp; Others</t>
  </si>
  <si>
    <t>Total 5210000 · Wadduwa Farm Expenses</t>
  </si>
  <si>
    <t>5220000 · Madala Site Expenses</t>
  </si>
  <si>
    <t>5221020 · Water Pumping for Ponds - Madal</t>
  </si>
  <si>
    <t>5222070 · Mobile - Excess Usage</t>
  </si>
  <si>
    <t>5225040 · General Repair &amp; Maintanace-Mad</t>
  </si>
  <si>
    <t>5225060 · Security Expenses-Madala</t>
  </si>
  <si>
    <t>5225100 · Ponds @ Madala - Depreciation</t>
  </si>
  <si>
    <t>Total 5220000 · Madala Site Expenses</t>
  </si>
  <si>
    <t>Total 5200000 · Farm Overheads</t>
  </si>
  <si>
    <t>5230000 · Construction Machinery Expenses</t>
  </si>
  <si>
    <t>5230010 · Rent - Agri-Equipment Yard</t>
  </si>
  <si>
    <t>5230020 · Electricity Expenses - Agri-Equ</t>
  </si>
  <si>
    <t>5230030 · Maintanance - Agri Equipments</t>
  </si>
  <si>
    <t>5230040 · Depriciations - Agri/ Construct</t>
  </si>
  <si>
    <t>5230050 · Insurance  Expenses - Agir</t>
  </si>
  <si>
    <t>5230060 · Security Expenses - Agri-Equip</t>
  </si>
  <si>
    <t>Total 5230000 · Construction Machinery Expenses</t>
  </si>
  <si>
    <t>5300000 · Head Office Expenses</t>
  </si>
  <si>
    <t>5301000 · Payroll Expenses</t>
  </si>
  <si>
    <t>5301010 · Staff Salaries - Head Office</t>
  </si>
  <si>
    <t>5301020 · Performance Bonus</t>
  </si>
  <si>
    <t>5301030 · Fuel &amp; Vehicle Allowance</t>
  </si>
  <si>
    <t>5301040 · Other Allowances</t>
  </si>
  <si>
    <t>5301050 · EPF - Head Office Staff</t>
  </si>
  <si>
    <t>5301060 · ETF - Head Office Staff</t>
  </si>
  <si>
    <t>5301070 · Excess Communication</t>
  </si>
  <si>
    <t>5301080 · Director Fee</t>
  </si>
  <si>
    <t>5301090 · Staff Compansation - Head Offic</t>
  </si>
  <si>
    <t>Total 5301000 · Payroll Expenses</t>
  </si>
  <si>
    <t>5302000 · Direct Administration</t>
  </si>
  <si>
    <t>5302010 · Audit Fees</t>
  </si>
  <si>
    <t>5302020 · Professional Fees</t>
  </si>
  <si>
    <t>5302030 · Staff Welfare</t>
  </si>
  <si>
    <t>5302040 · Insurance Expenses</t>
  </si>
  <si>
    <t>5302041 · Medical Insurance - Staff</t>
  </si>
  <si>
    <t>5302042 · Insurance General &amp; Vehicles</t>
  </si>
  <si>
    <t>Total 5302040 · Insurance Expenses</t>
  </si>
  <si>
    <t>5302050 · Staff Recruitment &amp; Training</t>
  </si>
  <si>
    <t>5302060 · BOI Annual Fees</t>
  </si>
  <si>
    <t>5302070 · Dues &amp; Subscriptions</t>
  </si>
  <si>
    <t>5302080 · Postage,Printing &amp; Stationeries</t>
  </si>
  <si>
    <t>5302090 · Computer Equipment Maintenance</t>
  </si>
  <si>
    <t>5302100 · General Repairs &amp; Maintenance</t>
  </si>
  <si>
    <t>5302110 · Rates and Taxes</t>
  </si>
  <si>
    <t>5302130 · Fuel for Generator</t>
  </si>
  <si>
    <t>5302990 · Miscellaneous Expenses</t>
  </si>
  <si>
    <t>Total 5302000 · Direct Administration</t>
  </si>
  <si>
    <t>5303000 · Communication Expenses</t>
  </si>
  <si>
    <t>5303010 · Land Line No.011-2873980</t>
  </si>
  <si>
    <t>5303020 · Leased Line Charges</t>
  </si>
  <si>
    <t>5303030 · Mobile Bills</t>
  </si>
  <si>
    <t>5303040 · Broadband Bills</t>
  </si>
  <si>
    <t>5303050 · VPN Charges</t>
  </si>
  <si>
    <t>5303070 · VOIP Charges</t>
  </si>
  <si>
    <t>Total 5303000 · Communication Expenses</t>
  </si>
  <si>
    <t>5304000 · Utility Expenses</t>
  </si>
  <si>
    <t>5304010 · Water Bottles - Drinking</t>
  </si>
  <si>
    <t>5304020 · Water Charges</t>
  </si>
  <si>
    <t>5304030 · Rent - Head Office</t>
  </si>
  <si>
    <t>5304040 · Electricity Head Office</t>
  </si>
  <si>
    <t>Total 5304000 · Utility Expenses</t>
  </si>
  <si>
    <t>5305000 · Travelling &amp; Transport</t>
  </si>
  <si>
    <t>5305010 · Vehicle Hire/Lease</t>
  </si>
  <si>
    <t>5305020 · Expatriate Travelling</t>
  </si>
  <si>
    <t>5305030 · Vehicle Maintenance Expenses</t>
  </si>
  <si>
    <t>5305040 · Foreign Travelling</t>
  </si>
  <si>
    <t>5305060 · Travelling Charges</t>
  </si>
  <si>
    <t>5305070 · Vehicle License and Renewals</t>
  </si>
  <si>
    <t>5305080 · Fuel for van</t>
  </si>
  <si>
    <t>Total 5305000 · Travelling &amp; Transport</t>
  </si>
  <si>
    <t>5306000 · Depreciation Expenses</t>
  </si>
  <si>
    <t>5306020 · Motor Vehicles - Depreciations</t>
  </si>
  <si>
    <t>5306030 · Computers &amp; Accessories-Depreci</t>
  </si>
  <si>
    <t>5306040 · Office Equipments-Depreciations</t>
  </si>
  <si>
    <t>5306050 · Furniture &amp; Fittings-Depreciati</t>
  </si>
  <si>
    <t>Total 5306000 · Depreciation Expenses</t>
  </si>
  <si>
    <t>5307000 · Selling &amp; Distribution Expenses</t>
  </si>
  <si>
    <t>5307010 · Advertisment Expenses</t>
  </si>
  <si>
    <t>Total 5307000 · Selling &amp; Distribution Expenses</t>
  </si>
  <si>
    <t>5308000 · Finance &amp; Other Charges</t>
  </si>
  <si>
    <t>5308020 · Bank Charges</t>
  </si>
  <si>
    <t>5308030 · Interest Expense - Overdraft</t>
  </si>
  <si>
    <t>5308040 · Loan Interests Expenses</t>
  </si>
  <si>
    <t>5308050 · Lease Interests Expenses</t>
  </si>
  <si>
    <t>5308070 · Disallowable VAT</t>
  </si>
  <si>
    <t>5308080 · CSR Projects</t>
  </si>
  <si>
    <t>5308100 · Credit Card Charges</t>
  </si>
  <si>
    <t>5309100 · Surcharges &amp; Panalties</t>
  </si>
  <si>
    <t>5308000 · Finance &amp; Other Charges - Other</t>
  </si>
  <si>
    <t>Total 5308000 · Finance &amp; Other Charges</t>
  </si>
  <si>
    <t>5300000 · Head Office Expenses - Other</t>
  </si>
  <si>
    <t>Total 5300000 · Head Office Expenses</t>
  </si>
  <si>
    <t>Total 5000000 · Expenses</t>
  </si>
  <si>
    <t>Total Expense</t>
  </si>
  <si>
    <t>Net Ordinary Income</t>
  </si>
  <si>
    <t>Other Income/Expense</t>
  </si>
  <si>
    <t>Other Income</t>
  </si>
  <si>
    <t>4200000 · Other Income Accounts</t>
  </si>
  <si>
    <t>4200010 · Sales of Discards</t>
  </si>
  <si>
    <t>4200020 · Sales of Produce</t>
  </si>
  <si>
    <t>4200030 · Exchange Gain or Loss</t>
  </si>
  <si>
    <t>4200060 · Claims Against Losses / Damages</t>
  </si>
  <si>
    <t>Total 4200000 · Other Income Accounts</t>
  </si>
  <si>
    <t>Total Other Income</t>
  </si>
  <si>
    <t>Other Expense</t>
  </si>
  <si>
    <t>5400000 · Expenses on Produce Income</t>
  </si>
  <si>
    <t>Total Other Expense</t>
  </si>
  <si>
    <t>Net Other Income</t>
  </si>
  <si>
    <t>Net Income</t>
  </si>
  <si>
    <t>12Mos(US$)</t>
  </si>
  <si>
    <t>5222010 · Supervision Fees - Madala</t>
  </si>
  <si>
    <t>5230000 · Minuwangoda  Farm Expenses</t>
  </si>
  <si>
    <t>5232000 · Minuwangoda Staff Salaries</t>
  </si>
  <si>
    <t>5232010 · Management Salary - Minuwangoda</t>
  </si>
  <si>
    <t>5232020 · EPF Expenses - Minuwangoda</t>
  </si>
  <si>
    <t>5232030 · ETF Expenses - Minuwangoda</t>
  </si>
  <si>
    <t>5232040 · Allowances  - Minuwangoda Staff</t>
  </si>
  <si>
    <t>Total 5232000 · Minuwangoda Staff Salaries</t>
  </si>
  <si>
    <t>Total 5230000 · Minuwangoda  Farm Expenses</t>
  </si>
  <si>
    <t>5241000 · Ingiriya Farm Administration</t>
  </si>
  <si>
    <t>5241040 · Staff Welfare</t>
  </si>
  <si>
    <t>Total 5241000 · Ingiriya Farm Administration</t>
  </si>
  <si>
    <t>5245000 · Ingiriya Farm Overheads</t>
  </si>
  <si>
    <t>5245040 · General Repair &amp; Maintanance</t>
  </si>
  <si>
    <t>Total 5245000 · Ingiriya Farm Overheads</t>
  </si>
  <si>
    <t>5200000 · Wagawatta Farm Expenses</t>
  </si>
  <si>
    <t>5201060 · Horana farm meals &amp; refreshment</t>
  </si>
  <si>
    <t>Total 5200000 · Wagawatta Farm Expenses</t>
  </si>
  <si>
    <t>5221000 · Madala Administration Expense</t>
  </si>
  <si>
    <t>5221020 · Water Pumping for Ponds -Madala</t>
  </si>
  <si>
    <t>5221050 · Mobils Bills - Madala</t>
  </si>
  <si>
    <t>5221060 · Broadband  Bills - Madala</t>
  </si>
  <si>
    <t>Total 5221000 · Madala Administration Expense</t>
  </si>
  <si>
    <t>5222000 · Madala Staff Salaries</t>
  </si>
  <si>
    <t>Total 5222000 · Madala Staff Salaries</t>
  </si>
  <si>
    <t>5225000 · Madala Oveheads</t>
  </si>
  <si>
    <t>Total 5225000 · Madala Oveheads</t>
  </si>
  <si>
    <t>5231000 · Minuwangoda Administration Exp.</t>
  </si>
  <si>
    <t>5231020 · Electricity Expenses</t>
  </si>
  <si>
    <t>5231040 · Staff Welfare - Minuwangoda</t>
  </si>
  <si>
    <t>5231080 · Travelling &amp; Transport Charges</t>
  </si>
  <si>
    <t>Total 5231000 · Minuwangoda Administration Exp.</t>
  </si>
  <si>
    <t>5233000 · Minuwangoda Communication Expe.</t>
  </si>
  <si>
    <t>5233020 · Mobiles and Broadband Bills</t>
  </si>
  <si>
    <t>Total 5233000 · Minuwangoda Communication Expe.</t>
  </si>
  <si>
    <t>5234000 · Minuwangoda Vehicle Expenses</t>
  </si>
  <si>
    <t>Total 5234000 · Minuwangoda Vehicle Expenses</t>
  </si>
  <si>
    <t>5235000 · Minuwangoda  Farm Overheads</t>
  </si>
  <si>
    <t>5235040 · General Repair &amp; Maintanance</t>
  </si>
  <si>
    <t>5235050 · Stationeries &amp; Postage</t>
  </si>
  <si>
    <t>Total 5235000 · Minuwangoda  Farm Overheads</t>
  </si>
  <si>
    <t>5240000 · Horana 2 Rented Farm - Ingiriya</t>
  </si>
  <si>
    <t>5242000 · Horana 2 Farm Salary Expenses</t>
  </si>
  <si>
    <t>5242020 · Management EPF - Horana 2</t>
  </si>
  <si>
    <t>5242030 · Management ETF - Horana 2</t>
  </si>
  <si>
    <t>Total 5242000 · Horana 2 Farm Salary Expenses</t>
  </si>
  <si>
    <t>5245070 · Farm Rent - Horana 2</t>
  </si>
  <si>
    <t>Total 5240000 · Horana 2 Rented Farm - Ingiriya</t>
  </si>
  <si>
    <t>5242010 · Management Salary-Horana 2 Farm</t>
  </si>
  <si>
    <t>47900 · Sales</t>
  </si>
  <si>
    <t>Service Contract Sales</t>
  </si>
  <si>
    <t>Total 47900 · Sales</t>
  </si>
  <si>
    <t>64300 · Meals and Entertainment</t>
  </si>
  <si>
    <t>Service Income - Back Office</t>
  </si>
  <si>
    <t>Staff Salaries and Wages</t>
  </si>
  <si>
    <t>Admin. Dept. Salaries</t>
  </si>
  <si>
    <t>Allowances - Admin Staff</t>
  </si>
  <si>
    <t>Basic Salary - Admin Staff</t>
  </si>
  <si>
    <t>EPF 12% - Admin Staff</t>
  </si>
  <si>
    <t>ETF 3% - Admin Staff</t>
  </si>
  <si>
    <t>Total Admin. Dept. Salaries</t>
  </si>
  <si>
    <t>Finance Dept. Salaries</t>
  </si>
  <si>
    <t>Allowances - Finace Staff</t>
  </si>
  <si>
    <t>Basic Salary - Finace Staff</t>
  </si>
  <si>
    <t>EPF 12% - Finance Staff</t>
  </si>
  <si>
    <t>ETF 3% - Finace Staff</t>
  </si>
  <si>
    <t>Total Finance Dept. Salaries</t>
  </si>
  <si>
    <t>General Management Salaries</t>
  </si>
  <si>
    <t>Allowances - Gen. Mgt. Staff</t>
  </si>
  <si>
    <t>Basic Salary - Gen. Mgt. Staff</t>
  </si>
  <si>
    <t>EPF 12% - Gen. Mgt. Staff</t>
  </si>
  <si>
    <t>ETF 3% - Gen. Mgt. Staff</t>
  </si>
  <si>
    <t>Total General Management Salaries</t>
  </si>
  <si>
    <t>HR Dept. Salaries</t>
  </si>
  <si>
    <t>Allowances - HR Staff</t>
  </si>
  <si>
    <t>Basic Salary - HR Staff</t>
  </si>
  <si>
    <t>EPF 12% - HR Staff</t>
  </si>
  <si>
    <t>ETF 3% - HR Staff</t>
  </si>
  <si>
    <t>Total HR Dept. Salaries</t>
  </si>
  <si>
    <t>IT Department Salaries</t>
  </si>
  <si>
    <t>Allowances - IT Staff</t>
  </si>
  <si>
    <t>Basic Salary - IT Staff</t>
  </si>
  <si>
    <t>EPF 12% - IT Staff</t>
  </si>
  <si>
    <t>ETF 3% - IT Staff</t>
  </si>
  <si>
    <t>Total IT Department Salaries</t>
  </si>
  <si>
    <t>Marketing Dept. Salaries</t>
  </si>
  <si>
    <t>Allowances - Marketing Staff</t>
  </si>
  <si>
    <t>Basic Salary - Marketing Staff</t>
  </si>
  <si>
    <t>EPF 12% - Marketing Staff</t>
  </si>
  <si>
    <t>ETF 3% - Marketing Staff</t>
  </si>
  <si>
    <t>Total Marketing Dept. Salaries</t>
  </si>
  <si>
    <t>Strategic Planing Dept. Salary</t>
  </si>
  <si>
    <t>Allowances - Strategic  Staff</t>
  </si>
  <si>
    <t>Basic Salary - Strategic  Staff</t>
  </si>
  <si>
    <t>EPF 12% - Strategic  Staff</t>
  </si>
  <si>
    <t>ETF 3% - Strategic  Staff</t>
  </si>
  <si>
    <t>Total Strategic Planing Dept. Salary</t>
  </si>
  <si>
    <t>Total Staff Salaries and Wages</t>
  </si>
  <si>
    <t>5241041 · meals &amp; refreshment</t>
  </si>
  <si>
    <t>5241042 · Transpotation Expenses</t>
  </si>
  <si>
    <t>5241040 · Staff Welfare - Other</t>
  </si>
  <si>
    <t>Total 5241040 · Staff Welfare</t>
  </si>
  <si>
    <t xml:space="preserve">Key Performance Metrics- 2015 ($,000) </t>
  </si>
  <si>
    <t>Jan 2nd to 29th</t>
  </si>
  <si>
    <t xml:space="preserve">Actual </t>
  </si>
  <si>
    <t>Jan 2 - 29, 15</t>
  </si>
  <si>
    <t>5102009 · Coral Rock Purchasing</t>
  </si>
  <si>
    <t>5214000 · Wadduwa Vehicle Expenses - Other</t>
  </si>
  <si>
    <t>5270000 · Maldives Export Center</t>
  </si>
  <si>
    <t>5271000 · Hotel &amp; Accomodation Expenses</t>
  </si>
  <si>
    <t>Total 5270000 · Maldives Export Center</t>
  </si>
  <si>
    <t>Jan 3rd-Feb 6th</t>
  </si>
  <si>
    <t>Feb 7th-March 6th</t>
  </si>
  <si>
    <t>March 7th-April 3rd</t>
  </si>
  <si>
    <t>April 4th-May 1st</t>
  </si>
  <si>
    <t>May 2nd - June 5th</t>
  </si>
  <si>
    <t>June 6th  - July 3rd</t>
  </si>
  <si>
    <t>July 4th - July 31st</t>
  </si>
  <si>
    <t>Aug 1st - Sep 4th</t>
  </si>
  <si>
    <t>Sep 5th - Oct 2nd</t>
  </si>
  <si>
    <t>Oct 3rd - Nov 6th</t>
  </si>
  <si>
    <t>Nov 7th  - 4th Dec</t>
  </si>
  <si>
    <t>Dec 5th  - Jan 1st</t>
  </si>
  <si>
    <t>5234010 · Vehicle Maintanance Expenses</t>
  </si>
  <si>
    <t>This was missed and now included</t>
  </si>
  <si>
    <t>Directors Fee</t>
  </si>
  <si>
    <t>Salary Details Components</t>
  </si>
  <si>
    <t>In Rs.</t>
  </si>
  <si>
    <t>In US $  - thousands</t>
  </si>
  <si>
    <t xml:space="preserve">06.Head office </t>
  </si>
  <si>
    <t>07. TeKSS</t>
  </si>
  <si>
    <r>
      <rPr>
        <b/>
        <sz val="11"/>
        <color theme="1"/>
        <rFont val="Calibri"/>
        <family val="2"/>
        <scheme val="minor"/>
      </rPr>
      <t xml:space="preserve">01. </t>
    </r>
    <r>
      <rPr>
        <sz val="11"/>
        <color theme="1"/>
        <rFont val="Calibri"/>
        <family val="2"/>
        <scheme val="minor"/>
      </rPr>
      <t>Wagawatta/Horana farm</t>
    </r>
  </si>
  <si>
    <r>
      <rPr>
        <b/>
        <sz val="11"/>
        <color theme="1"/>
        <rFont val="Calibri"/>
        <family val="2"/>
        <scheme val="minor"/>
      </rPr>
      <t xml:space="preserve">02. </t>
    </r>
    <r>
      <rPr>
        <sz val="11"/>
        <color theme="1"/>
        <rFont val="Calibri"/>
        <family val="2"/>
        <scheme val="minor"/>
      </rPr>
      <t>Wadduwa farm</t>
    </r>
  </si>
  <si>
    <r>
      <rPr>
        <b/>
        <sz val="11"/>
        <color theme="1"/>
        <rFont val="Calibri"/>
        <family val="2"/>
        <scheme val="minor"/>
      </rPr>
      <t>03</t>
    </r>
    <r>
      <rPr>
        <sz val="11"/>
        <color theme="1"/>
        <rFont val="Calibri"/>
        <family val="2"/>
        <scheme val="minor"/>
      </rPr>
      <t>. Madala site/farm</t>
    </r>
  </si>
  <si>
    <r>
      <rPr>
        <b/>
        <sz val="11"/>
        <color theme="1"/>
        <rFont val="Calibri"/>
        <family val="2"/>
        <scheme val="minor"/>
      </rPr>
      <t>04.</t>
    </r>
    <r>
      <rPr>
        <sz val="11"/>
        <color theme="1"/>
        <rFont val="Calibri"/>
        <family val="2"/>
        <scheme val="minor"/>
      </rPr>
      <t xml:space="preserve"> Minuwangoda farm</t>
    </r>
  </si>
  <si>
    <r>
      <rPr>
        <b/>
        <sz val="11"/>
        <color theme="1"/>
        <rFont val="Calibri"/>
        <family val="2"/>
        <scheme val="minor"/>
      </rPr>
      <t>05</t>
    </r>
    <r>
      <rPr>
        <sz val="11"/>
        <color theme="1"/>
        <rFont val="Calibri"/>
        <family val="2"/>
        <scheme val="minor"/>
      </rPr>
      <t>.Horana 2 farm</t>
    </r>
  </si>
  <si>
    <t>in Thousands  - US $</t>
  </si>
  <si>
    <t>Average monthly amount</t>
  </si>
  <si>
    <t>Year</t>
  </si>
  <si>
    <t xml:space="preserve">Actual Total year amount </t>
  </si>
  <si>
    <t>Budgered Total year amount</t>
  </si>
  <si>
    <t>Just to weigh in on this subject. Sam is spot on—SL KPM submitted is for SL on a standalone basis and should continue that way.</t>
  </si>
  <si>
    <t>I would suggest developing 2 additional KPM- 1 for all corporate overhead and 1 for TekSS.</t>
  </si>
  <si>
    <t>Keep in mind if you take this approach- the corporate overhead KPM will show no revenue just expenses. The idea being as you move forward you would take the results of the 3 entities or 4 if you include TekSS and deduct overall corporate expenses leaving the true results for all operation. The other thing I would add and probably the most important part of all this is that  by doing as described each entity can be critiqued and evaluated on an individual basis and I believe this is a very important activity particularly in 2015. Each entity must be held accountable to some measure.   Hope this is of some assistance.</t>
  </si>
  <si>
    <t xml:space="preserve">Bob </t>
  </si>
  <si>
    <r>
      <t>From:</t>
    </r>
    <r>
      <rPr>
        <sz val="10"/>
        <color theme="1"/>
        <rFont val="Tahoma"/>
        <family val="2"/>
      </rPr>
      <t xml:space="preserve"> Sam Samarasinghe [mailto:sam@etropicalfish.com]</t>
    </r>
  </si>
  <si>
    <r>
      <t>Sent:</t>
    </r>
    <r>
      <rPr>
        <sz val="10"/>
        <color theme="1"/>
        <rFont val="Tahoma"/>
        <family val="2"/>
      </rPr>
      <t xml:space="preserve"> Tuesday, February 10, 2015 9:27 PM</t>
    </r>
  </si>
  <si>
    <r>
      <t>To:</t>
    </r>
    <r>
      <rPr>
        <sz val="10"/>
        <color theme="1"/>
        <rFont val="Tahoma"/>
        <family val="2"/>
      </rPr>
      <t xml:space="preserve"> Indrani Wimalasena-SPD; Abhirami Thavarajah-SPD</t>
    </r>
  </si>
  <si>
    <r>
      <t>Cc:</t>
    </r>
    <r>
      <rPr>
        <sz val="10"/>
        <color theme="1"/>
        <rFont val="Tahoma"/>
        <family val="2"/>
      </rPr>
      <t xml:space="preserve"> Rober Gawlik</t>
    </r>
  </si>
  <si>
    <r>
      <t>Subject:</t>
    </r>
    <r>
      <rPr>
        <sz val="10"/>
        <color theme="1"/>
        <rFont val="Tahoma"/>
        <family val="2"/>
      </rPr>
      <t xml:space="preserve"> Abhi: Clarifications re. Farm Direct Costs Re. KPM-SL RE: Amended KPM - TFI Sri Lanka: KPM Sri Lanka</t>
    </r>
  </si>
  <si>
    <t>Abhi</t>
  </si>
  <si>
    <t xml:space="preserve">1. Indrani has given a simple formula to apportion any COMMON costs. </t>
  </si>
  <si>
    <r>
      <t xml:space="preserve">2. For </t>
    </r>
    <r>
      <rPr>
        <b/>
        <sz val="10"/>
        <color rgb="FF000000"/>
        <rFont val="Tahoma"/>
        <family val="2"/>
      </rPr>
      <t>TFI (Farm) direct costs are</t>
    </r>
    <r>
      <rPr>
        <sz val="10"/>
        <color rgb="FF000000"/>
        <rFont val="Tahoma"/>
        <family val="2"/>
      </rPr>
      <t>:</t>
    </r>
  </si>
  <si>
    <t xml:space="preserve">    a. ONLY costs related to the Farm div. - includes ALL farm facilities </t>
  </si>
  <si>
    <t xml:space="preserve">    b. TeKSS can charge an Accounting and Administration Fee - for Head office related Shared Services related to </t>
  </si>
  <si>
    <t xml:space="preserve">         Accounts, IT, Admin, etc. </t>
  </si>
  <si>
    <t>    c. Farm Vehicles - regardless of them being paid by the H/office</t>
  </si>
  <si>
    <t>    d. Farm Payroll</t>
  </si>
  <si>
    <t>    e. Niluka's payroll - Farm Div. Sr. Mgr</t>
  </si>
  <si>
    <t>    f. Farm related Fuel</t>
  </si>
  <si>
    <t xml:space="preserve">    g. Farm Communication costs (Cell Phones, Internet, etc.) </t>
  </si>
  <si>
    <t xml:space="preserve">3. Direct costs related to TeKSS are in NO WAY related to TFI. </t>
  </si>
  <si>
    <t>    a. All head office related Rent, Utilies, etc. (minus Internet &amp; Tel costs directly related to Farm div or TFI.)</t>
  </si>
  <si>
    <t>    b. All Head office Salaries - excluding Niluka</t>
  </si>
  <si>
    <t xml:space="preserve">4. Bob in his KPM's is ref ONLY TFI, as TeKSS comes after we have finalized any and all discrepancies with TFI. </t>
  </si>
  <si>
    <t xml:space="preserve">Pls. get these apportioned and re-send ASAP. </t>
  </si>
  <si>
    <t>Thanks</t>
  </si>
  <si>
    <t xml:space="preserve">Sam. </t>
  </si>
  <si>
    <t>Sam Samarasinghe.</t>
  </si>
  <si>
    <t xml:space="preserve">CIS Int'l Holdings Corp. </t>
  </si>
  <si>
    <t>Gardena, CA. U.S.A</t>
  </si>
  <si>
    <t xml:space="preserve">Sam@etropicalfish.Com </t>
  </si>
  <si>
    <t xml:space="preserve">www.etropicalfish.com </t>
  </si>
  <si>
    <r>
      <t>From:</t>
    </r>
    <r>
      <rPr>
        <sz val="10"/>
        <color rgb="FF000000"/>
        <rFont val="Tahoma"/>
        <family val="2"/>
      </rPr>
      <t xml:space="preserve"> Indrani Wimalasena-SPD</t>
    </r>
  </si>
  <si>
    <r>
      <t>Sent:</t>
    </r>
    <r>
      <rPr>
        <sz val="10"/>
        <color rgb="FF000000"/>
        <rFont val="Tahoma"/>
        <family val="2"/>
      </rPr>
      <t xml:space="preserve"> Wednesday, February 11, 2015 10:34 AM</t>
    </r>
  </si>
  <si>
    <r>
      <t>To:</t>
    </r>
    <r>
      <rPr>
        <sz val="10"/>
        <color rgb="FF000000"/>
        <rFont val="Tahoma"/>
        <family val="2"/>
      </rPr>
      <t xml:space="preserve"> Abhirami Thavarajah-SPD</t>
    </r>
  </si>
  <si>
    <r>
      <t>Cc:</t>
    </r>
    <r>
      <rPr>
        <sz val="10"/>
        <color rgb="FF000000"/>
        <rFont val="Tahoma"/>
        <family val="2"/>
      </rPr>
      <t xml:space="preserve"> Sam Samarasinghe; Rober Gawlik</t>
    </r>
  </si>
  <si>
    <r>
      <t>Subject:</t>
    </r>
    <r>
      <rPr>
        <sz val="10"/>
        <color rgb="FF000000"/>
        <rFont val="Tahoma"/>
        <family val="2"/>
      </rPr>
      <t xml:space="preserve"> Abhi;Pl do obtain further advice from Bob Re: Indrani| Will Look in to it: Abhi:Suggestion re KPM-SL RE: Indrani| I will do and send: Sam;Will do Re: Indrani / Abhi RE:| Amended KPM - TFI Sri Lanka: KPM Sri Lanka</t>
    </r>
  </si>
  <si>
    <t>Sent via BlackBerry® smartphone from Mobitel</t>
  </si>
  <si>
    <t xml:space="preserve">From: Abhirami Thavarajah-SPD &lt;abhiramit@cisintl.com&gt; </t>
  </si>
  <si>
    <r>
      <t xml:space="preserve">Date: </t>
    </r>
    <r>
      <rPr>
        <sz val="12"/>
        <color rgb="FF000000"/>
        <rFont val="Times New Roman"/>
        <family val="1"/>
      </rPr>
      <t>Tue, 10 Feb 2015 17:05:54 +0000</t>
    </r>
  </si>
  <si>
    <t>To: Indrani Wimalasena-SPD&lt;indraniw@cisintl.com&gt;</t>
  </si>
  <si>
    <r>
      <t xml:space="preserve">Cc: </t>
    </r>
    <r>
      <rPr>
        <sz val="12"/>
        <color rgb="FF000000"/>
        <rFont val="Times New Roman"/>
        <family val="1"/>
      </rPr>
      <t>Sam Samarasinghe&lt;sam@etropicalfish.com&gt;; Rober Gawlik&lt;RGawlik@etropicalfish.com&gt;</t>
    </r>
  </si>
  <si>
    <r>
      <t xml:space="preserve">Subject: </t>
    </r>
    <r>
      <rPr>
        <sz val="12"/>
        <color rgb="FF000000"/>
        <rFont val="Times New Roman"/>
        <family val="1"/>
      </rPr>
      <t>Indrani| Will Look in to it: Abhi:Suggestion re KPM-SL RE: Indrani| I will do and send: Sam;Will do Re: Indrani / Abhi RE:| Amended KPM - TFI Sri Lanka: KPM Sri Lanka</t>
    </r>
  </si>
  <si>
    <t>Indrani;</t>
  </si>
  <si>
    <t>Please kind enough to note the responses below:</t>
  </si>
  <si>
    <t>1). I will do 2 KPMs as you suggested.</t>
  </si>
  <si>
    <t>2). Yes, will apportion the common costs on a 80:20 basis among TFI and TeKSS.</t>
  </si>
  <si>
    <t>3). Will look at the budget and discuss with Bob on categorizing the budget accordingly as the budget for  2015 was given to me by Bob.</t>
  </si>
  <si>
    <t>4). Yes, I also noticed, will discuss with Bob on this as the budget figure for 2015 was given to me by him.</t>
  </si>
  <si>
    <t>Thanks and Regards;</t>
  </si>
  <si>
    <t>Abiramy Thavarajah.</t>
  </si>
  <si>
    <r>
      <t>Sent:</t>
    </r>
    <r>
      <rPr>
        <sz val="10"/>
        <color rgb="FF000000"/>
        <rFont val="Tahoma"/>
        <family val="2"/>
      </rPr>
      <t xml:space="preserve"> Tuesday, February 10, 2015 6:30 PM</t>
    </r>
  </si>
  <si>
    <r>
      <t>Subject:</t>
    </r>
    <r>
      <rPr>
        <sz val="10"/>
        <color rgb="FF000000"/>
        <rFont val="Tahoma"/>
        <family val="2"/>
      </rPr>
      <t xml:space="preserve"> Abhi:Suggestion re KPM-SL RE: Indrani| I will do and send: Sam;Will do Re: Indrani / Abhi RE:| Amended KPM - TFI Sri Lanka: KPM Sri Lanka</t>
    </r>
  </si>
  <si>
    <t>Abhi,</t>
  </si>
  <si>
    <t xml:space="preserve">1)I think it will be more clear if you do 2 KPMs –one for TFI &amp; one for consolidated SL(ie TFI+TkSS).           </t>
  </si>
  <si>
    <r>
      <t>2)Presently TkSS revenue of $ 28,850 p.m received from CIS whereas presently TkSS  is being charged a salary cost of $ 20,494/-(</t>
    </r>
    <r>
      <rPr>
        <b/>
        <sz val="11"/>
        <color rgb="FF1F497D"/>
        <rFont val="Calibri"/>
        <family val="2"/>
        <scheme val="minor"/>
      </rPr>
      <t>including Admin,HR,General Mgt,SPD &amp; Marketing</t>
    </r>
    <r>
      <rPr>
        <sz val="11"/>
        <color rgb="FF1F497D"/>
        <rFont val="Calibri"/>
        <family val="2"/>
        <scheme val="minor"/>
      </rPr>
      <t>) with common costs being allocated on a 80:20 basis on average.</t>
    </r>
  </si>
  <si>
    <t>3)Budget also to be categorized accordingly.</t>
  </si>
  <si>
    <t>4)Also observed in the Budget column in  KPM you sent for 2015, salary is only $ 28 k which is a monthly figure giving a Salary/Sales % of only 1.4% but for consol TFI/TeKSS should have been 12times that which would have given this unrealistic figures in the original KPM.Pl recheck &amp; confirm the position.</t>
  </si>
  <si>
    <t>Indrani</t>
  </si>
  <si>
    <r>
      <t>From:</t>
    </r>
    <r>
      <rPr>
        <sz val="10"/>
        <color rgb="FF000000"/>
        <rFont val="Tahoma"/>
        <family val="2"/>
      </rPr>
      <t xml:space="preserve"> Abhirami Thavarajah-SPD</t>
    </r>
  </si>
  <si>
    <r>
      <t>Sent:</t>
    </r>
    <r>
      <rPr>
        <sz val="10"/>
        <color rgb="FF000000"/>
        <rFont val="Tahoma"/>
        <family val="2"/>
      </rPr>
      <t xml:space="preserve"> Tuesday, February 10, 2015 2:40 PM</t>
    </r>
  </si>
  <si>
    <r>
      <t>To:</t>
    </r>
    <r>
      <rPr>
        <sz val="10"/>
        <color rgb="FF000000"/>
        <rFont val="Tahoma"/>
        <family val="2"/>
      </rPr>
      <t xml:space="preserve"> Indrani Wimalasena-SPD</t>
    </r>
  </si>
  <si>
    <r>
      <t>Subject:</t>
    </r>
    <r>
      <rPr>
        <sz val="10"/>
        <color rgb="FF000000"/>
        <rFont val="Tahoma"/>
        <family val="2"/>
      </rPr>
      <t xml:space="preserve"> Indrani| I will do and send: Sam;Will do Re: Indrani / Abhi RE:| Amended KPM - TFI Sri Lanka: KPM Sri Lanka</t>
    </r>
  </si>
  <si>
    <t>As we discussed today, will do it and send again.</t>
  </si>
  <si>
    <t>Regards;</t>
  </si>
  <si>
    <t>Abiramy Thavarajah</t>
  </si>
  <si>
    <r>
      <t>Sent:</t>
    </r>
    <r>
      <rPr>
        <sz val="10"/>
        <color rgb="FF000000"/>
        <rFont val="Tahoma"/>
        <family val="2"/>
      </rPr>
      <t xml:space="preserve"> Tuesday, February 10, 2015 10:01 AM</t>
    </r>
  </si>
  <si>
    <r>
      <t>To:</t>
    </r>
    <r>
      <rPr>
        <sz val="10"/>
        <color rgb="FF000000"/>
        <rFont val="Tahoma"/>
        <family val="2"/>
      </rPr>
      <t xml:space="preserve"> Sam Samarasinghe; Rober Gawlik; Abhirami Thavarajah-SPD</t>
    </r>
  </si>
  <si>
    <r>
      <t>Subject:</t>
    </r>
    <r>
      <rPr>
        <sz val="10"/>
        <color rgb="FF000000"/>
        <rFont val="Tahoma"/>
        <family val="2"/>
      </rPr>
      <t xml:space="preserve"> Sam;Will do Re: Indrani / Abhi RE:| Amended KPM - TFI Sri Lanka: KPM Sri Lanka</t>
    </r>
  </si>
  <si>
    <t xml:space="preserve">From: Sam Samarasinghe &lt;sam@etropicalfish.com&gt; </t>
  </si>
  <si>
    <r>
      <t xml:space="preserve">Date: </t>
    </r>
    <r>
      <rPr>
        <sz val="12"/>
        <color rgb="FF000000"/>
        <rFont val="Times New Roman"/>
        <family val="1"/>
      </rPr>
      <t>Mon, 9 Feb 2015 13:59:13 +0000</t>
    </r>
  </si>
  <si>
    <r>
      <t xml:space="preserve">To: </t>
    </r>
    <r>
      <rPr>
        <sz val="12"/>
        <color rgb="FF000000"/>
        <rFont val="Times New Roman"/>
        <family val="1"/>
      </rPr>
      <t>Rober Gawlik&lt;RGawlik@ca.rr.com&gt;; Abhirami Thavarajah-SPD&lt;abhiramit@cisintl.com&gt;; Indrani Wimalasena-SPD&lt;indraniw@cisintl.com&gt;</t>
    </r>
  </si>
  <si>
    <r>
      <t xml:space="preserve">Subject: </t>
    </r>
    <r>
      <rPr>
        <sz val="12"/>
        <color rgb="FF000000"/>
        <rFont val="Times New Roman"/>
        <family val="1"/>
      </rPr>
      <t>Indrani / Abhi RE:| Amended KPM - TFI Sri Lanka: KPM Sri Lanka</t>
    </r>
  </si>
  <si>
    <t xml:space="preserve">  Appreciate if you review this anomaly, as we need to get these high level numbers right. </t>
  </si>
  <si>
    <t>  Thanks</t>
  </si>
  <si>
    <t xml:space="preserve">  Sam. </t>
  </si>
  <si>
    <r>
      <t>From:</t>
    </r>
    <r>
      <rPr>
        <sz val="10"/>
        <color rgb="FF000000"/>
        <rFont val="Tahoma"/>
        <family val="2"/>
      </rPr>
      <t xml:space="preserve"> Robert Gawlik [RGAWLIK@ca.rr.com]</t>
    </r>
  </si>
  <si>
    <r>
      <t>Sent:</t>
    </r>
    <r>
      <rPr>
        <sz val="10"/>
        <color rgb="FF000000"/>
        <rFont val="Tahoma"/>
        <family val="2"/>
      </rPr>
      <t xml:space="preserve"> Monday, February 09, 2015 6:42 PM</t>
    </r>
  </si>
  <si>
    <r>
      <t>Cc:</t>
    </r>
    <r>
      <rPr>
        <sz val="10"/>
        <color rgb="FF000000"/>
        <rFont val="Tahoma"/>
        <family val="2"/>
      </rPr>
      <t xml:space="preserve"> Sam Samarasinghe</t>
    </r>
  </si>
  <si>
    <r>
      <t>Subject:</t>
    </r>
    <r>
      <rPr>
        <sz val="10"/>
        <color rgb="FF000000"/>
        <rFont val="Tahoma"/>
        <family val="2"/>
      </rPr>
      <t xml:space="preserve"> RE: Bob| Amended KPM - TFI Sri Lanka: KPM Sri Lanka</t>
    </r>
  </si>
  <si>
    <t>Abhirami</t>
  </si>
  <si>
    <t>Still a little confused on the number. It generally seems too high. Are you still including individuals in data processing instead of sri lanka only??</t>
  </si>
  <si>
    <t>We budgeted 28 for the whole year. Something is out of whack. Pls check.</t>
  </si>
  <si>
    <t>From: Abhirami Thavarajah-SPD [mailto:abhiramit@cisintl.com]</t>
  </si>
  <si>
    <r>
      <t>Sent:</t>
    </r>
    <r>
      <rPr>
        <sz val="10"/>
        <color rgb="FF000000"/>
        <rFont val="Tahoma"/>
        <family val="2"/>
      </rPr>
      <t xml:space="preserve"> Sunday, February 08, 2015 10:53 PM</t>
    </r>
  </si>
  <si>
    <r>
      <t>To:</t>
    </r>
    <r>
      <rPr>
        <sz val="10"/>
        <color rgb="FF000000"/>
        <rFont val="Tahoma"/>
        <family val="2"/>
      </rPr>
      <t xml:space="preserve"> Rober Gawlik</t>
    </r>
  </si>
  <si>
    <r>
      <t>Cc:</t>
    </r>
    <r>
      <rPr>
        <sz val="10"/>
        <color rgb="FF000000"/>
        <rFont val="Tahoma"/>
        <family val="2"/>
      </rPr>
      <t xml:space="preserve"> Sam Samarasinghe; Indrani Wimalasena-SPD</t>
    </r>
  </si>
  <si>
    <r>
      <t>Subject:</t>
    </r>
    <r>
      <rPr>
        <sz val="10"/>
        <color rgb="FF000000"/>
        <rFont val="Tahoma"/>
        <family val="2"/>
      </rPr>
      <t xml:space="preserve"> Bob| Amended KPM - TFI Sri Lanka: KPM Sri Lanka</t>
    </r>
  </si>
  <si>
    <t>Bob;</t>
  </si>
  <si>
    <t>Regret for the inconvenience caused. One of the farm’s salary component of 1.34$ ( in thousands -  Horana 2) has been missed to include. Now it has been included and please kind enough to find the attached amended KPM for TFI – Sri Lanka.</t>
  </si>
  <si>
    <t>From: Robert Gawlik [mailto:RGAWLIK@ca.rr.com]</t>
  </si>
  <si>
    <r>
      <t>Sent:</t>
    </r>
    <r>
      <rPr>
        <sz val="10"/>
        <color rgb="FF000000"/>
        <rFont val="Tahoma"/>
        <family val="2"/>
      </rPr>
      <t xml:space="preserve"> Monday, February 09, 2015 6:33 AM</t>
    </r>
  </si>
  <si>
    <r>
      <t>Subject:</t>
    </r>
    <r>
      <rPr>
        <sz val="10"/>
        <color rgb="FF000000"/>
        <rFont val="Tahoma"/>
        <family val="2"/>
      </rPr>
      <t xml:space="preserve"> KPM Sri Lanka</t>
    </r>
  </si>
  <si>
    <t>Thank you for the information. Pls take a look at “Salary $” on Sri Lanka P&amp;L. It does not look correct to me.</t>
  </si>
  <si>
    <t>Pls advise</t>
  </si>
  <si>
    <r>
      <t>Sent:</t>
    </r>
    <r>
      <rPr>
        <sz val="10"/>
        <color rgb="FF000000"/>
        <rFont val="Tahoma"/>
        <family val="2"/>
      </rPr>
      <t xml:space="preserve"> Friday, February 06, 2015 5:43 AM</t>
    </r>
  </si>
  <si>
    <r>
      <t>Subject:</t>
    </r>
    <r>
      <rPr>
        <sz val="10"/>
        <color rgb="FF000000"/>
        <rFont val="Tahoma"/>
        <family val="2"/>
      </rPr>
      <t xml:space="preserve"> Bob| KPM - 2nd to 29th Jan 2015 - CIS, STF and TFI </t>
    </r>
  </si>
  <si>
    <r>
      <t>Please kind enough to find the attached excel work book for “</t>
    </r>
    <r>
      <rPr>
        <b/>
        <i/>
        <sz val="11"/>
        <color rgb="FF1F497D"/>
        <rFont val="Calibri"/>
        <family val="2"/>
        <scheme val="minor"/>
      </rPr>
      <t>KPM –TFI, CIS and STF – 2</t>
    </r>
    <r>
      <rPr>
        <b/>
        <i/>
        <vertAlign val="superscript"/>
        <sz val="11"/>
        <color rgb="FF1F497D"/>
        <rFont val="Calibri"/>
        <family val="2"/>
        <scheme val="minor"/>
      </rPr>
      <t>nd</t>
    </r>
    <r>
      <rPr>
        <b/>
        <i/>
        <sz val="11"/>
        <color rgb="FF1F497D"/>
        <rFont val="Calibri"/>
        <family val="2"/>
        <scheme val="minor"/>
      </rPr>
      <t xml:space="preserve">  to 29</t>
    </r>
    <r>
      <rPr>
        <b/>
        <i/>
        <vertAlign val="superscript"/>
        <sz val="11"/>
        <color rgb="FF1F497D"/>
        <rFont val="Calibri"/>
        <family val="2"/>
        <scheme val="minor"/>
      </rPr>
      <t>th</t>
    </r>
    <r>
      <rPr>
        <b/>
        <i/>
        <sz val="11"/>
        <color rgb="FF1F497D"/>
        <rFont val="Calibri"/>
        <family val="2"/>
        <scheme val="minor"/>
      </rPr>
      <t xml:space="preserve"> Jan 2015”.</t>
    </r>
    <r>
      <rPr>
        <sz val="11"/>
        <color rgb="FF1F497D"/>
        <rFont val="Calibri"/>
        <family val="2"/>
        <scheme val="minor"/>
      </rPr>
      <t xml:space="preserve">  </t>
    </r>
  </si>
  <si>
    <t>The sales by customer/country wise report will be sent by tomorrow. Please kind enough to excuse.</t>
  </si>
  <si>
    <t>Abiramy</t>
  </si>
  <si>
    <t>Location: Sri Lanka - TFI</t>
  </si>
  <si>
    <t>Location: Sri Lanka - TeKSS</t>
  </si>
  <si>
    <t>Note No</t>
  </si>
  <si>
    <r>
      <rPr>
        <b/>
        <sz val="11"/>
        <color theme="1"/>
        <rFont val="Calibri"/>
        <family val="2"/>
        <scheme val="minor"/>
      </rPr>
      <t>06.</t>
    </r>
    <r>
      <rPr>
        <sz val="11"/>
        <color theme="1"/>
        <rFont val="Calibri"/>
        <family val="2"/>
        <scheme val="minor"/>
      </rPr>
      <t xml:space="preserve"> Niluka</t>
    </r>
  </si>
  <si>
    <t>01</t>
  </si>
  <si>
    <t>02</t>
  </si>
  <si>
    <t>Rs.</t>
  </si>
  <si>
    <t>Note  - 01 - Salary</t>
  </si>
  <si>
    <r>
      <rPr>
        <b/>
        <sz val="10"/>
        <color rgb="FF000000"/>
        <rFont val="Tahoma"/>
        <family val="2"/>
      </rPr>
      <t>06</t>
    </r>
    <r>
      <rPr>
        <sz val="10"/>
        <color rgb="FF000000"/>
        <rFont val="Tahoma"/>
        <family val="2"/>
      </rPr>
      <t>. Maldives Export Center</t>
    </r>
  </si>
  <si>
    <t>Comments</t>
  </si>
  <si>
    <t>Direct Administration</t>
  </si>
  <si>
    <t>Travelling &amp; Transport</t>
  </si>
  <si>
    <t>Selling &amp; Distribution Expenses</t>
  </si>
  <si>
    <t>Finance &amp; Other Charges</t>
  </si>
  <si>
    <t>TFI</t>
  </si>
  <si>
    <t>TeKSS</t>
  </si>
  <si>
    <t>Note  - 02 - Overheads</t>
  </si>
  <si>
    <t>It is being accounted for under "Head Office Payroll " ( under TeKSS accounts -admin dept salaries), so it is being added to Farms related salaries - as per Sam's Instruction</t>
  </si>
  <si>
    <t>Re. your query on the above:</t>
  </si>
  <si>
    <t xml:space="preserve">1. Marketing Dept. comes under the Head office - and come under TeKSS. </t>
  </si>
  <si>
    <t>2. Re. Salaries &amp; Overheads of Shared Services Center - per the formula attached &amp; Copied below:</t>
  </si>
  <si>
    <r>
      <t xml:space="preserve">    a. I have already listed the specific DIRECT Salaries that should be included in TFI. </t>
    </r>
    <r>
      <rPr>
        <b/>
        <sz val="10"/>
        <color rgb="FF000000"/>
        <rFont val="Tahoma"/>
        <family val="2"/>
      </rPr>
      <t xml:space="preserve">This is final, lets move on. </t>
    </r>
  </si>
  <si>
    <t xml:space="preserve">        (all Farm direct Salaries, + Niluka - who is the Sr. Mgr. overseeing Farms) </t>
  </si>
  <si>
    <t xml:space="preserve">    </t>
  </si>
  <si>
    <t>    b. For other div's - lets Let's agree on the Costs to be apportioned as follows (very much along the lines of what</t>
  </si>
  <si>
    <t>        you have suggested):</t>
  </si>
  <si>
    <t xml:space="preserve">        </t>
  </si>
  <si>
    <t xml:space="preserve">    c. Divide the Costs - among the KEY components of Shared Services. </t>
  </si>
  <si>
    <t xml:space="preserve">    d. The KEY Components are: HR, IT, Finance, Admin, Gen. Mgt, SPD, Marketing, Utilities &amp; </t>
  </si>
  <si>
    <t xml:space="preserve">            Communication, Remaining Shared Services Center overheads. </t>
  </si>
  <si>
    <t>     </t>
  </si>
  <si>
    <t>    e. Identify the FULL Costs of EACH of the above categories</t>
  </si>
  <si>
    <t>    f. Apportion EACH Category as follows, across the 4 different Companies:</t>
  </si>
  <si>
    <t>        </t>
  </si>
  <si>
    <t xml:space="preserve">    g. The total of ALL Categories of EACH Company will be what is charges to EACH of the Companies. </t>
  </si>
  <si>
    <t>    h. Let's see where the actual NUMBER comes in at - and then if something looks completely OFF we can make</t>
  </si>
  <si>
    <t>        a change in the % easily, as the total has to ADD up to 100%.</t>
  </si>
  <si>
    <t xml:space="preserve">    This is NOT set in stone, and can be amended, but we cannot go on debating - we need to make a decision and move forward. </t>
  </si>
  <si>
    <t>Company</t>
  </si>
  <si>
    <t>HR</t>
  </si>
  <si>
    <t>IT</t>
  </si>
  <si>
    <t>Finance</t>
  </si>
  <si>
    <t>Admin</t>
  </si>
  <si>
    <t>Gen.Mgt</t>
  </si>
  <si>
    <t>SPD</t>
  </si>
  <si>
    <t>Marketing</t>
  </si>
  <si>
    <t>Utilities</t>
  </si>
  <si>
    <t>Overheads</t>
  </si>
  <si>
    <t>CIS</t>
  </si>
  <si>
    <t>STF</t>
  </si>
  <si>
    <t>General Management</t>
  </si>
  <si>
    <t>Apportionment %</t>
  </si>
  <si>
    <t>Apportionment Basis - Given by Sam - on 13th Feb 2015</t>
  </si>
  <si>
    <t>Communication expenses</t>
  </si>
  <si>
    <r>
      <rPr>
        <b/>
        <sz val="11"/>
        <color theme="1"/>
        <rFont val="Calibri"/>
        <family val="2"/>
        <scheme val="minor"/>
      </rPr>
      <t>07</t>
    </r>
    <r>
      <rPr>
        <sz val="11"/>
        <color theme="1"/>
        <rFont val="Calibri"/>
        <family val="2"/>
        <scheme val="minor"/>
      </rPr>
      <t>. Utilities</t>
    </r>
  </si>
  <si>
    <r>
      <rPr>
        <b/>
        <sz val="10"/>
        <color rgb="FF000000"/>
        <rFont val="Tahoma"/>
        <family val="2"/>
      </rPr>
      <t>08</t>
    </r>
    <r>
      <rPr>
        <sz val="10"/>
        <color rgb="FF000000"/>
        <rFont val="Tahoma"/>
        <family val="2"/>
      </rPr>
      <t>. Head Office Common Costs</t>
    </r>
  </si>
  <si>
    <t>Directly identified</t>
  </si>
  <si>
    <t>07.Head Office Related Salary</t>
  </si>
  <si>
    <t>4200050 · Profit / (Loss) on Disposals</t>
  </si>
  <si>
    <t>5303080 · ADSL Line 0112075525</t>
  </si>
  <si>
    <t>Total 5250000 · Construction Machinery Expenses</t>
  </si>
  <si>
    <t>5250000 · Construction Machinery Expenses</t>
  </si>
  <si>
    <t>5241030 · Security Charges</t>
  </si>
  <si>
    <t>5213040 · Waduwa 4G LTE Office</t>
  </si>
  <si>
    <t>5235070 · Farm Rent - Minuwangoda</t>
  </si>
  <si>
    <t>5305090 · Fuel Expenses</t>
  </si>
  <si>
    <t>5305091 · Fuel Bike  UQ 3572</t>
  </si>
  <si>
    <t>5305092 · Fuel for JR 5522</t>
  </si>
  <si>
    <t>Total 5305090 · Fuel Expenses</t>
  </si>
  <si>
    <t>Product. Planing Dept. Salaries</t>
  </si>
  <si>
    <t>Allowances -Pruduction Staff</t>
  </si>
  <si>
    <t>Basic Salary -Production Staff</t>
  </si>
  <si>
    <t>EPF 12% -Production Staff</t>
  </si>
  <si>
    <t>ETF 3% -Production staff</t>
  </si>
  <si>
    <t>Total Product. Planing Dept. Salaries</t>
  </si>
  <si>
    <t>Apr 3 - 30, 15</t>
  </si>
  <si>
    <t>5103040 · Freight Charges - Maldives Expt</t>
  </si>
  <si>
    <t>5204100 · Horana farm Taxi vehicle fuel</t>
  </si>
  <si>
    <t>5200000 · Wagawatta Farm Expenses - Other</t>
  </si>
  <si>
    <t>5231060 · Proffessional Charges - Minuwan</t>
  </si>
  <si>
    <t>5303090 · SLT - Buddhika - 0332245246</t>
  </si>
  <si>
    <t>EPF &amp; ETF Surcharges</t>
  </si>
  <si>
    <t>60250 · Staff Welfare Expenses</t>
  </si>
  <si>
    <t>Logistic Dep. Salary</t>
  </si>
  <si>
    <t>Allowance - Logistic Staff</t>
  </si>
  <si>
    <t>Basic Salary - Logistic Staff</t>
  </si>
  <si>
    <t>EPF 12% - Logistic Sraff</t>
  </si>
  <si>
    <t>ETF 3% Logistic Staff</t>
  </si>
  <si>
    <t>Total Logistic Dep. Salary</t>
  </si>
  <si>
    <t>68400 · Travel Expense</t>
  </si>
  <si>
    <t>5234050 · Fuel Expenses for Bike</t>
  </si>
  <si>
    <t>5270000 · Maldives Export Center (MEC)</t>
  </si>
  <si>
    <t>5271000 · MEC - Adminstration Cost</t>
  </si>
  <si>
    <t>5270000 · Maldives Export Center (MEC) - Other</t>
  </si>
  <si>
    <t>Total 5270000 · Maldives Export Center (MEC)</t>
  </si>
  <si>
    <t>Head office cost - No of employees</t>
  </si>
  <si>
    <t>Revenue</t>
  </si>
  <si>
    <t>TFI Cost</t>
  </si>
  <si>
    <t>%</t>
  </si>
  <si>
    <t>TFI common cost Rs.</t>
  </si>
  <si>
    <t>TeKSS common cost Rs.</t>
  </si>
  <si>
    <t>Basis of cost apportinment</t>
  </si>
  <si>
    <t>Communication</t>
  </si>
  <si>
    <t>Internet</t>
  </si>
  <si>
    <t>Mobile</t>
  </si>
  <si>
    <t>Total Communication</t>
  </si>
  <si>
    <t>61700 · Computer and Internet Expenses</t>
  </si>
  <si>
    <t>5106000 · Styrofom Box Project</t>
  </si>
  <si>
    <t>5271001 · Hotel &amp; Accomadation</t>
  </si>
  <si>
    <t>5271000 · MEC - Adminstration Cost - Other</t>
  </si>
  <si>
    <t>Total 5271000 · MEC - Adminstration Cost</t>
  </si>
  <si>
    <t>5272000 · MEC- Staff Salary</t>
  </si>
  <si>
    <t>5274000 · MEC - Vehicle Expenses</t>
  </si>
  <si>
    <t>5305090 · Fuel Expenses - Other</t>
  </si>
  <si>
    <t>4200070 · Discount from Vendors</t>
  </si>
  <si>
    <t>Jul 3 - 30, 15</t>
  </si>
  <si>
    <t>5211090 · Local &amp; Foreign Traveling Exp.</t>
  </si>
  <si>
    <t>5221040 · Staff Welfare - Madala</t>
  </si>
  <si>
    <t>5241050 · Mobils and Broadbands Bills</t>
  </si>
  <si>
    <t>Customer Care Dep. Salaries</t>
  </si>
  <si>
    <t>Allowances -Customer Care Staff</t>
  </si>
  <si>
    <t>Basic Salary -Customer Care Sta</t>
  </si>
  <si>
    <t>EPF 12% -Customer Care Staff</t>
  </si>
  <si>
    <t>ETF 3% -Customer Care Staff</t>
  </si>
  <si>
    <t>Total Customer Care Dep. Salaries</t>
  </si>
  <si>
    <t xml:space="preserve">Key Performance Metrics- 2016 ($,000) </t>
  </si>
  <si>
    <t>Note</t>
  </si>
  <si>
    <t>R &amp; D Dep. Salaries</t>
  </si>
  <si>
    <t>Note  - 02- Overheads</t>
  </si>
  <si>
    <t>Exchange rates</t>
  </si>
  <si>
    <t>Jan 1 - 28</t>
  </si>
  <si>
    <t>Jan 29 - Feb 25, 16</t>
  </si>
  <si>
    <t>Jan 1 - 28, 16</t>
  </si>
  <si>
    <t>Jan 29 - Feb 25</t>
  </si>
  <si>
    <t>Depreciation  - Plant &amp; Machine</t>
  </si>
  <si>
    <t>Feb 26 - Mar 31</t>
  </si>
  <si>
    <t>Service Income -Shared services</t>
  </si>
  <si>
    <t>Service Income-Maldives</t>
  </si>
  <si>
    <t>Service Income-Siam</t>
  </si>
  <si>
    <t>Service Income-SL</t>
  </si>
  <si>
    <t>Service Income -USA</t>
  </si>
  <si>
    <t>Service Income UK</t>
  </si>
  <si>
    <t>Total Service Income -Shared services</t>
  </si>
  <si>
    <t>Operational Expenses</t>
  </si>
  <si>
    <t>Administration</t>
  </si>
  <si>
    <t>Annual  Bonus Provisions</t>
  </si>
  <si>
    <t>CSR Projects</t>
  </si>
  <si>
    <t>Equipment Maintanance</t>
  </si>
  <si>
    <t>Computer Equipment Maintanance</t>
  </si>
  <si>
    <t>Genaral Repaire and Maintanance</t>
  </si>
  <si>
    <t>Genarator Cost</t>
  </si>
  <si>
    <t>Total Equipment Maintanance</t>
  </si>
  <si>
    <t>Gratuity Expenses</t>
  </si>
  <si>
    <t>Insurance expenses</t>
  </si>
  <si>
    <t>Insurance Exp- Life &amp;General</t>
  </si>
  <si>
    <t>Insurance Exp- Vehicle</t>
  </si>
  <si>
    <t>Total Insurance expenses</t>
  </si>
  <si>
    <t>Postage printing &amp; Stationaries</t>
  </si>
  <si>
    <t>Staff Recruitment &amp;Training</t>
  </si>
  <si>
    <t>Audit Dep- Salary</t>
  </si>
  <si>
    <t>Ex.Adm Dep-Salries</t>
  </si>
  <si>
    <t>Order Entry -Salaries</t>
  </si>
  <si>
    <t>Salaries- Sales Department</t>
  </si>
  <si>
    <t>Sys.Admin Salaries</t>
  </si>
  <si>
    <t>Staff Welafare</t>
  </si>
  <si>
    <t>Total Administration</t>
  </si>
  <si>
    <t>Communication Expenses</t>
  </si>
  <si>
    <t>ADSL Charges</t>
  </si>
  <si>
    <t>Broad Band Expenses</t>
  </si>
  <si>
    <t>Total Internet</t>
  </si>
  <si>
    <t>Land Line Charges</t>
  </si>
  <si>
    <t>Leased Line Charges</t>
  </si>
  <si>
    <t>Mobile Expenses</t>
  </si>
  <si>
    <t>SLT Expense</t>
  </si>
  <si>
    <t>VPN charges</t>
  </si>
  <si>
    <t>Total Communication Expenses</t>
  </si>
  <si>
    <t>Depreciation Expense</t>
  </si>
  <si>
    <t>Dep-  Equipment/software</t>
  </si>
  <si>
    <t>Dep- Furniture &amp; Fittings</t>
  </si>
  <si>
    <t>Depreciation  - Computer</t>
  </si>
  <si>
    <t>Depriciation - Motor Vehicle</t>
  </si>
  <si>
    <t>Total Depreciation Expense</t>
  </si>
  <si>
    <t>Traveling &amp; Transport</t>
  </si>
  <si>
    <t>Traveling Charegs</t>
  </si>
  <si>
    <t>Vehicle Hire /Lease</t>
  </si>
  <si>
    <t>Total Traveling &amp; Transport</t>
  </si>
  <si>
    <t>Utility Expenses</t>
  </si>
  <si>
    <t>Electricity</t>
  </si>
  <si>
    <t>Janitorial Service</t>
  </si>
  <si>
    <t>Rent</t>
  </si>
  <si>
    <t>Water  Drinking</t>
  </si>
  <si>
    <t>Total Utility Expenses</t>
  </si>
  <si>
    <t>Total Operational Expenses</t>
  </si>
  <si>
    <t>. · Finance and others</t>
  </si>
  <si>
    <t>Bank Charges</t>
  </si>
  <si>
    <t>Interest Expenses</t>
  </si>
  <si>
    <t>Total . · Finance and others</t>
  </si>
  <si>
    <r>
      <rPr>
        <b/>
        <sz val="11"/>
        <color theme="1"/>
        <rFont val="Calibri"/>
        <family val="2"/>
        <scheme val="minor"/>
      </rPr>
      <t>01.</t>
    </r>
    <r>
      <rPr>
        <sz val="11"/>
        <color theme="1"/>
        <rFont val="Calibri"/>
        <family val="2"/>
        <scheme val="minor"/>
      </rPr>
      <t xml:space="preserve"> Salary cost</t>
    </r>
  </si>
  <si>
    <r>
      <rPr>
        <b/>
        <sz val="11"/>
        <color theme="1"/>
        <rFont val="Calibri"/>
        <family val="2"/>
        <scheme val="minor"/>
      </rPr>
      <t>01</t>
    </r>
    <r>
      <rPr>
        <sz val="11"/>
        <color theme="1"/>
        <rFont val="Calibri"/>
        <family val="2"/>
        <scheme val="minor"/>
      </rPr>
      <t>. Overhead cost</t>
    </r>
  </si>
  <si>
    <r>
      <rPr>
        <b/>
        <sz val="11"/>
        <color theme="1"/>
        <rFont val="Calibri"/>
        <family val="2"/>
        <scheme val="minor"/>
      </rPr>
      <t>02.</t>
    </r>
    <r>
      <rPr>
        <sz val="11"/>
        <color theme="1"/>
        <rFont val="Calibri"/>
        <family val="2"/>
        <scheme val="minor"/>
      </rPr>
      <t xml:space="preserve"> Annual Bonus</t>
    </r>
  </si>
  <si>
    <r>
      <rPr>
        <b/>
        <sz val="11"/>
        <color theme="1"/>
        <rFont val="Calibri"/>
        <family val="2"/>
        <scheme val="minor"/>
      </rPr>
      <t>03.</t>
    </r>
    <r>
      <rPr>
        <sz val="11"/>
        <color theme="1"/>
        <rFont val="Calibri"/>
        <family val="2"/>
        <scheme val="minor"/>
      </rPr>
      <t xml:space="preserve"> Gratuity</t>
    </r>
  </si>
  <si>
    <t>Audit fees</t>
  </si>
  <si>
    <t>Labor Planing Dep - Salaries</t>
  </si>
  <si>
    <t>Audit Fees</t>
  </si>
  <si>
    <t>Feb 26 - Mar 31, 16</t>
  </si>
  <si>
    <t>Foreign Travelling</t>
  </si>
  <si>
    <t>TEKSS P1</t>
  </si>
  <si>
    <t>TEKSS P2</t>
  </si>
  <si>
    <t>TEKSS P3</t>
  </si>
  <si>
    <t>Apr 1 - 28, 16</t>
  </si>
  <si>
    <t>Exhibition &amp; Trade fairs</t>
  </si>
  <si>
    <t>Water Charges</t>
  </si>
  <si>
    <t>Corporate &amp; Legal</t>
  </si>
  <si>
    <t>Apr 1 - Apr 28</t>
  </si>
  <si>
    <t>Apr 29 - May 26</t>
  </si>
  <si>
    <t>Apr 29 - May 26, 16</t>
  </si>
  <si>
    <t>Rates and Taxes</t>
  </si>
  <si>
    <t>Corporate and Legal Dpt-Salarie</t>
  </si>
  <si>
    <t>TEKSS P4</t>
  </si>
  <si>
    <t>TEKSS P5</t>
  </si>
  <si>
    <t>TEKSS P6</t>
  </si>
  <si>
    <t>May 27 - Jun 30, 16</t>
  </si>
  <si>
    <t>% of Income</t>
  </si>
  <si>
    <t>Miscellaneous Expenses</t>
  </si>
  <si>
    <t>Vehicle Mainatanance expenses</t>
  </si>
  <si>
    <t>Fuel Expenses</t>
  </si>
  <si>
    <t>Fuel expenses- UQ3572</t>
  </si>
  <si>
    <t>Total Fuel Expenses</t>
  </si>
  <si>
    <t>Traveling &amp; Transport - Other</t>
  </si>
  <si>
    <t>May 27 - Jun 30</t>
  </si>
  <si>
    <t>July 1 - July 28</t>
  </si>
  <si>
    <t>TEKSS P7</t>
  </si>
  <si>
    <t>Jul 1 - 28, 16</t>
  </si>
  <si>
    <t>Professional Fees</t>
  </si>
  <si>
    <t>Selling and Destribution</t>
  </si>
  <si>
    <t>Advertisments</t>
  </si>
  <si>
    <t>Total Selling and Destribution</t>
  </si>
  <si>
    <t>Jul 29 - Aug 25, 16</t>
  </si>
  <si>
    <t>51100 · Freight and Shipping Costs</t>
  </si>
  <si>
    <t>Secretariall Charges</t>
  </si>
  <si>
    <t>Security Charges</t>
  </si>
  <si>
    <t>Allowances- Audit Staff</t>
  </si>
  <si>
    <t>EPF 12% Audit Staff</t>
  </si>
  <si>
    <t>ETF-3% Audit Staff</t>
  </si>
  <si>
    <t>Total Audit Dep- Salary</t>
  </si>
  <si>
    <t>Allowances- Ex.Admin</t>
  </si>
  <si>
    <t>EPF-12% Ex.Admin</t>
  </si>
  <si>
    <t>ETF-3% Ex.Admin</t>
  </si>
  <si>
    <t>Total Ex.Adm Dep-Salries</t>
  </si>
  <si>
    <t>Head Office  Source- Dep</t>
  </si>
  <si>
    <t>Allowances- H/O sourcing</t>
  </si>
  <si>
    <t>Basic Salary- H/O Sourcing</t>
  </si>
  <si>
    <t>Total Head Office  Source- Dep</t>
  </si>
  <si>
    <t>Allowances- Labor planing</t>
  </si>
  <si>
    <t>Basic Salary - Labor Planing</t>
  </si>
  <si>
    <t>EPF-12%-Labor Planing</t>
  </si>
  <si>
    <t>ETF-3%- Labor Planing</t>
  </si>
  <si>
    <t>Total Labor Planing Dep - Salaries</t>
  </si>
  <si>
    <t>Allowances- Order entry staff</t>
  </si>
  <si>
    <t>EPF-12%-Order Entry</t>
  </si>
  <si>
    <t>ETF 3%-Order Entry</t>
  </si>
  <si>
    <t>Total Order Entry -Salaries</t>
  </si>
  <si>
    <t>Allowances - R &amp; D Staff</t>
  </si>
  <si>
    <t>Basic Salary - R &amp; D Satff</t>
  </si>
  <si>
    <t>EPF 12% - R &amp; D Staff</t>
  </si>
  <si>
    <t>ETF 3% - R &amp; D Staff</t>
  </si>
  <si>
    <t>Total R &amp; D Dep. Salaries</t>
  </si>
  <si>
    <t>Allowances- Sales Staff</t>
  </si>
  <si>
    <t>EPF 12%- Sales Staff</t>
  </si>
  <si>
    <t>ETF-3% Sales Staff</t>
  </si>
  <si>
    <t>Total Salaries- Sales Department</t>
  </si>
  <si>
    <t>Allowances- System Adimin</t>
  </si>
  <si>
    <t>EPF 12%- System Admin</t>
  </si>
  <si>
    <t>ETF -3%  System  Admin</t>
  </si>
  <si>
    <t>Total Sys.Admin Salaries</t>
  </si>
  <si>
    <t>Lease Interest Expenses</t>
  </si>
  <si>
    <t>Aug 26 - Sep 29, 16</t>
  </si>
  <si>
    <t>Basic Salaries- Ex.Admin</t>
  </si>
  <si>
    <t>EPF 12% Head office sourcing</t>
  </si>
  <si>
    <t>ETF-3% Head Office sourcing</t>
  </si>
  <si>
    <t>Head Office  Source- Dep - Other</t>
  </si>
  <si>
    <t>Basic Salaries- Order Entry</t>
  </si>
  <si>
    <t>Basic Salaries- Sales Staff</t>
  </si>
  <si>
    <t>Basic Salary - System Admin</t>
  </si>
  <si>
    <t>Web Development charges</t>
  </si>
  <si>
    <t>Communication Expenses - Other</t>
  </si>
  <si>
    <t>Marketing and Promotions</t>
  </si>
  <si>
    <t>Utility Expenses - Other</t>
  </si>
  <si>
    <t>Aug 26 - Sept 29</t>
  </si>
  <si>
    <t>TEKSS P9</t>
  </si>
  <si>
    <t>TEKSS P8</t>
  </si>
  <si>
    <t>July 29 -Aug 25</t>
  </si>
  <si>
    <t>Sep 30-Oct 27</t>
  </si>
  <si>
    <t>Oct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</si>
</sst>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#,##0.00;\-#,##0.00"/>
    <numFmt numFmtId="165" formatCode="_(* #,##0_);_(* \(#,##0\);_(* &quot;-&quot;??_);_(@_)"/>
    <numFmt numFmtId="166" formatCode="#,##0;\-#,##0"/>
    <numFmt numFmtId="167" formatCode="0.0%"/>
    <numFmt numFmtId="168" formatCode="0.0"/>
    <numFmt numFmtId="169" formatCode="_(* #,##0.0_);_(* \(#,##0.0\);_(* &quot;-&quot;??_);_(@_)"/>
    <numFmt numFmtId="170" formatCode="#,##0.0_);\(#,##0.0\)"/>
    <numFmt numFmtId="171" formatCode="#,##0.0"/>
    <numFmt numFmtId="172" formatCode="#,##0.0#%;\-#,##0.0#%"/>
    <numFmt numFmtId="173" formatCode="0.000000000000000%"/>
    <numFmt numFmtId="174" formatCode="#,##0.00000000000"/>
  </numFmts>
  <fonts count="5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1"/>
      <color rgb="FF000000"/>
      <name val="Calibri"/>
      <family val="2"/>
      <scheme val="minor"/>
    </font>
    <font>
      <b/>
      <sz val="11"/>
      <color rgb="FF1F497D"/>
      <name val="Calibri"/>
      <family val="2"/>
      <scheme val="minor"/>
    </font>
    <font>
      <b/>
      <i/>
      <sz val="11"/>
      <color rgb="FF1F497D"/>
      <name val="Calibri"/>
      <family val="2"/>
      <scheme val="minor"/>
    </font>
    <font>
      <b/>
      <i/>
      <vertAlign val="superscript"/>
      <sz val="11"/>
      <color rgb="FF1F497D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10"/>
      <name val="Arial"/>
      <family val="2"/>
    </font>
    <font>
      <b/>
      <i/>
      <u/>
      <sz val="10"/>
      <color rgb="FF000000"/>
      <name val="Tahoma"/>
      <family val="2"/>
    </font>
    <font>
      <b/>
      <i/>
      <sz val="8"/>
      <color theme="1"/>
      <name val="Calibri"/>
      <family val="2"/>
      <scheme val="minor"/>
    </font>
    <font>
      <b/>
      <sz val="12"/>
      <color theme="0"/>
      <name val="Arial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sz val="10"/>
      <color rgb="FF000000"/>
      <name val="Andalus"/>
      <family val="1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</borders>
  <cellStyleXfs count="16">
    <xf numFmtId="0" fontId="0" fillId="0" borderId="0"/>
    <xf numFmtId="43" fontId="5" fillId="0" borderId="0" applyFont="0" applyFill="0" applyBorder="0" applyAlignment="0" applyProtection="0"/>
    <xf numFmtId="0" fontId="1" fillId="0" borderId="0"/>
    <xf numFmtId="0" fontId="5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4" fillId="0" borderId="0"/>
    <xf numFmtId="0" fontId="2" fillId="0" borderId="0"/>
    <xf numFmtId="0" fontId="1" fillId="0" borderId="0"/>
    <xf numFmtId="0" fontId="4" fillId="0" borderId="0"/>
    <xf numFmtId="9" fontId="5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1" fillId="0" borderId="0"/>
    <xf numFmtId="0" fontId="1" fillId="0" borderId="0"/>
  </cellStyleXfs>
  <cellXfs count="338">
    <xf numFmtId="0" fontId="0" fillId="0" borderId="0" xfId="0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 applyBorder="1"/>
    <xf numFmtId="0" fontId="11" fillId="0" borderId="0" xfId="0" applyFont="1"/>
    <xf numFmtId="0" fontId="12" fillId="0" borderId="0" xfId="0" applyFont="1"/>
    <xf numFmtId="0" fontId="11" fillId="0" borderId="0" xfId="0" applyFont="1" applyBorder="1"/>
    <xf numFmtId="0" fontId="13" fillId="0" borderId="1" xfId="0" applyFont="1" applyBorder="1"/>
    <xf numFmtId="0" fontId="14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3" xfId="0" applyFont="1" applyBorder="1"/>
    <xf numFmtId="3" fontId="14" fillId="0" borderId="2" xfId="0" applyNumberFormat="1" applyFont="1" applyBorder="1" applyAlignment="1">
      <alignment horizontal="center"/>
    </xf>
    <xf numFmtId="3" fontId="14" fillId="0" borderId="3" xfId="0" applyNumberFormat="1" applyFont="1" applyBorder="1"/>
    <xf numFmtId="10" fontId="14" fillId="0" borderId="2" xfId="12" applyNumberFormat="1" applyFont="1" applyBorder="1" applyAlignment="1">
      <alignment horizontal="center"/>
    </xf>
    <xf numFmtId="3" fontId="14" fillId="0" borderId="3" xfId="0" applyNumberFormat="1" applyFont="1" applyBorder="1" applyAlignment="1">
      <alignment horizontal="center"/>
    </xf>
    <xf numFmtId="10" fontId="14" fillId="0" borderId="3" xfId="12" applyNumberFormat="1" applyFont="1" applyBorder="1" applyAlignment="1">
      <alignment horizontal="center"/>
    </xf>
    <xf numFmtId="10" fontId="14" fillId="0" borderId="2" xfId="0" applyNumberFormat="1" applyFont="1" applyBorder="1" applyAlignment="1">
      <alignment horizontal="center"/>
    </xf>
    <xf numFmtId="10" fontId="14" fillId="0" borderId="3" xfId="0" applyNumberFormat="1" applyFont="1" applyBorder="1" applyAlignment="1">
      <alignment horizontal="center"/>
    </xf>
    <xf numFmtId="0" fontId="15" fillId="0" borderId="1" xfId="0" applyFont="1" applyBorder="1"/>
    <xf numFmtId="0" fontId="16" fillId="0" borderId="1" xfId="0" applyFont="1" applyBorder="1"/>
    <xf numFmtId="0" fontId="13" fillId="0" borderId="4" xfId="0" applyFont="1" applyBorder="1"/>
    <xf numFmtId="0" fontId="14" fillId="0" borderId="5" xfId="0" applyFont="1" applyBorder="1"/>
    <xf numFmtId="0" fontId="0" fillId="0" borderId="0" xfId="0"/>
    <xf numFmtId="0" fontId="0" fillId="0" borderId="1" xfId="0" applyFont="1" applyBorder="1"/>
    <xf numFmtId="3" fontId="0" fillId="0" borderId="0" xfId="0" applyNumberFormat="1"/>
    <xf numFmtId="0" fontId="0" fillId="0" borderId="0" xfId="0" applyNumberFormat="1"/>
    <xf numFmtId="49" fontId="17" fillId="0" borderId="0" xfId="0" applyNumberFormat="1" applyFont="1"/>
    <xf numFmtId="164" fontId="18" fillId="0" borderId="0" xfId="0" applyNumberFormat="1" applyFont="1"/>
    <xf numFmtId="164" fontId="18" fillId="0" borderId="6" xfId="0" applyNumberFormat="1" applyFont="1" applyBorder="1"/>
    <xf numFmtId="164" fontId="18" fillId="0" borderId="0" xfId="0" applyNumberFormat="1" applyFont="1" applyBorder="1"/>
    <xf numFmtId="49" fontId="17" fillId="0" borderId="0" xfId="0" applyNumberFormat="1" applyFont="1" applyAlignment="1">
      <alignment horizontal="center"/>
    </xf>
    <xf numFmtId="49" fontId="17" fillId="0" borderId="7" xfId="0" applyNumberFormat="1" applyFont="1" applyBorder="1" applyAlignment="1">
      <alignment horizontal="center"/>
    </xf>
    <xf numFmtId="164" fontId="18" fillId="0" borderId="8" xfId="0" applyNumberFormat="1" applyFont="1" applyBorder="1"/>
    <xf numFmtId="164" fontId="18" fillId="0" borderId="9" xfId="0" applyNumberFormat="1" applyFont="1" applyBorder="1"/>
    <xf numFmtId="164" fontId="17" fillId="0" borderId="10" xfId="0" applyNumberFormat="1" applyFont="1" applyBorder="1"/>
    <xf numFmtId="0" fontId="9" fillId="0" borderId="0" xfId="0" applyFont="1"/>
    <xf numFmtId="0" fontId="7" fillId="0" borderId="0" xfId="0" applyFont="1"/>
    <xf numFmtId="0" fontId="8" fillId="0" borderId="0" xfId="0" applyFont="1"/>
    <xf numFmtId="0" fontId="10" fillId="0" borderId="3" xfId="0" applyFont="1" applyBorder="1"/>
    <xf numFmtId="0" fontId="8" fillId="0" borderId="1" xfId="0" applyFont="1" applyBorder="1"/>
    <xf numFmtId="2" fontId="0" fillId="0" borderId="0" xfId="0" applyNumberFormat="1"/>
    <xf numFmtId="0" fontId="8" fillId="0" borderId="11" xfId="0" applyFont="1" applyBorder="1"/>
    <xf numFmtId="0" fontId="8" fillId="0" borderId="8" xfId="0" applyFont="1" applyBorder="1"/>
    <xf numFmtId="0" fontId="10" fillId="0" borderId="3" xfId="0" applyFont="1" applyFill="1" applyBorder="1"/>
    <xf numFmtId="0" fontId="8" fillId="0" borderId="11" xfId="0" applyFont="1" applyFill="1" applyBorder="1"/>
    <xf numFmtId="0" fontId="8" fillId="0" borderId="12" xfId="0" applyFont="1" applyFill="1" applyBorder="1"/>
    <xf numFmtId="0" fontId="0" fillId="0" borderId="0" xfId="0" applyFill="1"/>
    <xf numFmtId="0" fontId="8" fillId="0" borderId="13" xfId="0" applyFont="1" applyFill="1" applyBorder="1"/>
    <xf numFmtId="37" fontId="0" fillId="0" borderId="0" xfId="0" applyNumberFormat="1"/>
    <xf numFmtId="0" fontId="17" fillId="0" borderId="0" xfId="0" applyNumberFormat="1" applyFont="1"/>
    <xf numFmtId="3" fontId="0" fillId="0" borderId="4" xfId="0" applyNumberFormat="1" applyFill="1" applyBorder="1" applyAlignment="1">
      <alignment horizontal="center"/>
    </xf>
    <xf numFmtId="165" fontId="0" fillId="0" borderId="0" xfId="0" applyNumberFormat="1"/>
    <xf numFmtId="3" fontId="14" fillId="0" borderId="5" xfId="0" applyNumberFormat="1" applyFont="1" applyBorder="1"/>
    <xf numFmtId="165" fontId="14" fillId="0" borderId="5" xfId="1" applyNumberFormat="1" applyFont="1" applyBorder="1"/>
    <xf numFmtId="9" fontId="14" fillId="0" borderId="5" xfId="12" applyFont="1" applyBorder="1"/>
    <xf numFmtId="165" fontId="14" fillId="0" borderId="5" xfId="0" applyNumberFormat="1" applyFont="1" applyBorder="1"/>
    <xf numFmtId="9" fontId="14" fillId="0" borderId="14" xfId="12" applyFont="1" applyBorder="1"/>
    <xf numFmtId="0" fontId="13" fillId="0" borderId="15" xfId="0" applyFont="1" applyBorder="1"/>
    <xf numFmtId="37" fontId="14" fillId="0" borderId="16" xfId="0" applyNumberFormat="1" applyFont="1" applyBorder="1" applyAlignment="1">
      <alignment horizontal="center"/>
    </xf>
    <xf numFmtId="3" fontId="14" fillId="0" borderId="16" xfId="0" applyNumberFormat="1" applyFont="1" applyBorder="1" applyAlignment="1">
      <alignment horizontal="center"/>
    </xf>
    <xf numFmtId="9" fontId="14" fillId="0" borderId="16" xfId="12" applyFont="1" applyBorder="1" applyAlignment="1">
      <alignment horizontal="center"/>
    </xf>
    <xf numFmtId="165" fontId="14" fillId="0" borderId="16" xfId="1" applyNumberFormat="1" applyFont="1" applyBorder="1" applyAlignment="1">
      <alignment horizontal="center"/>
    </xf>
    <xf numFmtId="4" fontId="14" fillId="0" borderId="16" xfId="0" applyNumberFormat="1" applyFont="1" applyBorder="1" applyAlignment="1">
      <alignment horizontal="center"/>
    </xf>
    <xf numFmtId="9" fontId="14" fillId="0" borderId="17" xfId="12" applyFont="1" applyBorder="1" applyAlignment="1">
      <alignment horizontal="center"/>
    </xf>
    <xf numFmtId="37" fontId="14" fillId="0" borderId="5" xfId="0" applyNumberFormat="1" applyFont="1" applyBorder="1" applyAlignment="1">
      <alignment horizontal="center"/>
    </xf>
    <xf numFmtId="3" fontId="14" fillId="0" borderId="5" xfId="0" applyNumberFormat="1" applyFont="1" applyBorder="1" applyAlignment="1">
      <alignment horizontal="center"/>
    </xf>
    <xf numFmtId="9" fontId="14" fillId="0" borderId="5" xfId="12" applyFont="1" applyBorder="1" applyAlignment="1">
      <alignment horizontal="center"/>
    </xf>
    <xf numFmtId="165" fontId="14" fillId="0" borderId="5" xfId="1" applyNumberFormat="1" applyFont="1" applyBorder="1" applyAlignment="1">
      <alignment horizontal="center"/>
    </xf>
    <xf numFmtId="4" fontId="14" fillId="0" borderId="5" xfId="0" applyNumberFormat="1" applyFont="1" applyBorder="1" applyAlignment="1">
      <alignment horizontal="center"/>
    </xf>
    <xf numFmtId="9" fontId="14" fillId="0" borderId="14" xfId="12" applyFont="1" applyBorder="1" applyAlignment="1">
      <alignment horizontal="center"/>
    </xf>
    <xf numFmtId="166" fontId="0" fillId="0" borderId="0" xfId="0" applyNumberFormat="1"/>
    <xf numFmtId="10" fontId="5" fillId="0" borderId="0" xfId="12" applyNumberFormat="1" applyFont="1"/>
    <xf numFmtId="167" fontId="6" fillId="0" borderId="5" xfId="12" applyNumberFormat="1" applyFont="1" applyBorder="1" applyAlignment="1">
      <alignment horizontal="center"/>
    </xf>
    <xf numFmtId="10" fontId="14" fillId="0" borderId="5" xfId="12" applyNumberFormat="1" applyFont="1" applyBorder="1" applyAlignment="1">
      <alignment horizontal="center"/>
    </xf>
    <xf numFmtId="10" fontId="14" fillId="0" borderId="5" xfId="12" applyNumberFormat="1" applyFont="1" applyBorder="1"/>
    <xf numFmtId="0" fontId="10" fillId="0" borderId="4" xfId="0" applyFont="1" applyBorder="1"/>
    <xf numFmtId="0" fontId="8" fillId="0" borderId="18" xfId="0" applyFont="1" applyBorder="1"/>
    <xf numFmtId="10" fontId="6" fillId="0" borderId="5" xfId="12" applyNumberFormat="1" applyFont="1" applyBorder="1" applyAlignment="1">
      <alignment horizontal="center"/>
    </xf>
    <xf numFmtId="0" fontId="10" fillId="0" borderId="2" xfId="0" applyFont="1" applyFill="1" applyBorder="1"/>
    <xf numFmtId="0" fontId="8" fillId="0" borderId="19" xfId="0" applyFont="1" applyFill="1" applyBorder="1"/>
    <xf numFmtId="165" fontId="0" fillId="0" borderId="0" xfId="0" applyNumberFormat="1"/>
    <xf numFmtId="4" fontId="0" fillId="0" borderId="20" xfId="0" applyNumberFormat="1" applyBorder="1"/>
    <xf numFmtId="3" fontId="19" fillId="0" borderId="20" xfId="0" applyNumberFormat="1" applyFont="1" applyBorder="1"/>
    <xf numFmtId="165" fontId="0" fillId="0" borderId="0" xfId="0" applyNumberFormat="1"/>
    <xf numFmtId="3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5" fontId="5" fillId="0" borderId="5" xfId="1" applyNumberFormat="1" applyFont="1" applyBorder="1" applyAlignment="1">
      <alignment horizontal="center"/>
    </xf>
    <xf numFmtId="3" fontId="0" fillId="0" borderId="21" xfId="0" applyNumberFormat="1" applyBorder="1" applyAlignment="1">
      <alignment horizontal="center"/>
    </xf>
    <xf numFmtId="0" fontId="8" fillId="0" borderId="12" xfId="0" applyFont="1" applyBorder="1"/>
    <xf numFmtId="9" fontId="6" fillId="0" borderId="5" xfId="12" applyFont="1" applyBorder="1" applyAlignment="1">
      <alignment horizontal="center"/>
    </xf>
    <xf numFmtId="9" fontId="6" fillId="0" borderId="5" xfId="12" applyNumberFormat="1" applyFont="1" applyBorder="1" applyAlignment="1">
      <alignment horizontal="center"/>
    </xf>
    <xf numFmtId="9" fontId="6" fillId="0" borderId="5" xfId="0" applyNumberFormat="1" applyFont="1" applyBorder="1" applyAlignment="1">
      <alignment horizontal="center"/>
    </xf>
    <xf numFmtId="3" fontId="0" fillId="0" borderId="21" xfId="0" applyNumberFormat="1" applyFill="1" applyBorder="1" applyAlignment="1">
      <alignment horizontal="center"/>
    </xf>
    <xf numFmtId="3" fontId="0" fillId="0" borderId="5" xfId="0" applyNumberFormat="1" applyFill="1" applyBorder="1" applyAlignment="1">
      <alignment horizontal="center"/>
    </xf>
    <xf numFmtId="9" fontId="6" fillId="0" borderId="5" xfId="12" applyFont="1" applyFill="1" applyBorder="1" applyAlignment="1">
      <alignment horizontal="center"/>
    </xf>
    <xf numFmtId="0" fontId="8" fillId="0" borderId="13" xfId="0" applyFont="1" applyFill="1" applyBorder="1"/>
    <xf numFmtId="9" fontId="6" fillId="0" borderId="14" xfId="0" applyNumberFormat="1" applyFont="1" applyBorder="1" applyAlignment="1">
      <alignment horizontal="center"/>
    </xf>
    <xf numFmtId="3" fontId="0" fillId="0" borderId="4" xfId="0" applyNumberFormat="1" applyFill="1" applyBorder="1"/>
    <xf numFmtId="0" fontId="0" fillId="0" borderId="5" xfId="0" applyFill="1" applyBorder="1"/>
    <xf numFmtId="165" fontId="5" fillId="0" borderId="5" xfId="1" applyNumberFormat="1" applyFont="1" applyFill="1" applyBorder="1"/>
    <xf numFmtId="3" fontId="0" fillId="0" borderId="4" xfId="0" applyNumberFormat="1" applyBorder="1" applyAlignment="1">
      <alignment horizontal="center"/>
    </xf>
    <xf numFmtId="0" fontId="0" fillId="0" borderId="0" xfId="0" applyAlignment="1">
      <alignment horizontal="center"/>
    </xf>
    <xf numFmtId="43" fontId="5" fillId="0" borderId="0" xfId="1" applyFont="1"/>
    <xf numFmtId="0" fontId="17" fillId="0" borderId="0" xfId="0" applyFont="1"/>
    <xf numFmtId="165" fontId="17" fillId="0" borderId="0" xfId="1" applyNumberFormat="1" applyFont="1"/>
    <xf numFmtId="164" fontId="17" fillId="0" borderId="0" xfId="0" applyNumberFormat="1" applyFont="1"/>
    <xf numFmtId="164" fontId="0" fillId="0" borderId="0" xfId="0" applyNumberFormat="1"/>
    <xf numFmtId="43" fontId="0" fillId="0" borderId="0" xfId="0" applyNumberFormat="1"/>
    <xf numFmtId="9" fontId="0" fillId="0" borderId="0" xfId="12" applyFont="1"/>
    <xf numFmtId="0" fontId="11" fillId="0" borderId="3" xfId="0" applyFont="1" applyBorder="1" applyAlignment="1">
      <alignment horizontal="center"/>
    </xf>
    <xf numFmtId="43" fontId="0" fillId="0" borderId="0" xfId="1" applyFont="1"/>
    <xf numFmtId="0" fontId="13" fillId="0" borderId="3" xfId="0" applyFont="1" applyBorder="1"/>
    <xf numFmtId="0" fontId="11" fillId="0" borderId="3" xfId="0" applyFont="1" applyBorder="1"/>
    <xf numFmtId="3" fontId="13" fillId="0" borderId="3" xfId="0" applyNumberFormat="1" applyFont="1" applyBorder="1" applyAlignment="1">
      <alignment horizontal="right"/>
    </xf>
    <xf numFmtId="3" fontId="13" fillId="0" borderId="3" xfId="0" applyNumberFormat="1" applyFont="1" applyBorder="1"/>
    <xf numFmtId="9" fontId="13" fillId="0" borderId="3" xfId="12" applyFont="1" applyBorder="1" applyAlignment="1">
      <alignment horizontal="right"/>
    </xf>
    <xf numFmtId="9" fontId="13" fillId="0" borderId="3" xfId="0" applyNumberFormat="1" applyFont="1" applyBorder="1"/>
    <xf numFmtId="10" fontId="13" fillId="0" borderId="3" xfId="12" applyNumberFormat="1" applyFont="1" applyBorder="1" applyAlignment="1">
      <alignment horizontal="right"/>
    </xf>
    <xf numFmtId="167" fontId="13" fillId="0" borderId="3" xfId="0" applyNumberFormat="1" applyFont="1" applyBorder="1"/>
    <xf numFmtId="37" fontId="13" fillId="0" borderId="3" xfId="0" applyNumberFormat="1" applyFont="1" applyBorder="1" applyAlignment="1">
      <alignment horizontal="right"/>
    </xf>
    <xf numFmtId="165" fontId="13" fillId="0" borderId="3" xfId="1" applyNumberFormat="1" applyFont="1" applyBorder="1" applyAlignment="1">
      <alignment horizontal="right"/>
    </xf>
    <xf numFmtId="4" fontId="13" fillId="0" borderId="3" xfId="0" applyNumberFormat="1" applyFont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11" fillId="3" borderId="3" xfId="0" applyFont="1" applyFill="1" applyBorder="1"/>
    <xf numFmtId="0" fontId="11" fillId="0" borderId="3" xfId="0" applyFont="1" applyFill="1" applyBorder="1"/>
    <xf numFmtId="0" fontId="13" fillId="0" borderId="22" xfId="0" applyFont="1" applyBorder="1"/>
    <xf numFmtId="0" fontId="14" fillId="0" borderId="21" xfId="0" applyFont="1" applyBorder="1" applyAlignment="1">
      <alignment horizontal="center"/>
    </xf>
    <xf numFmtId="0" fontId="13" fillId="0" borderId="4" xfId="0" applyFont="1" applyBorder="1" applyAlignment="1">
      <alignment horizontal="left"/>
    </xf>
    <xf numFmtId="0" fontId="13" fillId="0" borderId="15" xfId="0" applyFont="1" applyBorder="1" applyAlignment="1">
      <alignment horizontal="left"/>
    </xf>
    <xf numFmtId="0" fontId="13" fillId="0" borderId="3" xfId="0" applyFont="1" applyBorder="1" applyAlignment="1">
      <alignment horizontal="left"/>
    </xf>
    <xf numFmtId="0" fontId="13" fillId="2" borderId="3" xfId="0" applyFont="1" applyFill="1" applyBorder="1"/>
    <xf numFmtId="0" fontId="13" fillId="2" borderId="3" xfId="0" applyFont="1" applyFill="1" applyBorder="1" applyAlignment="1">
      <alignment wrapText="1"/>
    </xf>
    <xf numFmtId="0" fontId="13" fillId="3" borderId="3" xfId="0" applyFont="1" applyFill="1" applyBorder="1"/>
    <xf numFmtId="37" fontId="14" fillId="0" borderId="3" xfId="0" applyNumberFormat="1" applyFont="1" applyBorder="1" applyAlignment="1">
      <alignment horizontal="right"/>
    </xf>
    <xf numFmtId="3" fontId="14" fillId="0" borderId="3" xfId="0" applyNumberFormat="1" applyFont="1" applyBorder="1" applyAlignment="1">
      <alignment horizontal="right"/>
    </xf>
    <xf numFmtId="1" fontId="14" fillId="0" borderId="3" xfId="0" applyNumberFormat="1" applyFont="1" applyBorder="1" applyAlignment="1">
      <alignment horizontal="right"/>
    </xf>
    <xf numFmtId="165" fontId="14" fillId="0" borderId="3" xfId="0" applyNumberFormat="1" applyFont="1" applyBorder="1" applyAlignment="1">
      <alignment horizontal="right"/>
    </xf>
    <xf numFmtId="0" fontId="14" fillId="0" borderId="3" xfId="0" applyFont="1" applyBorder="1" applyAlignment="1">
      <alignment horizontal="right"/>
    </xf>
    <xf numFmtId="9" fontId="14" fillId="0" borderId="3" xfId="12" applyFont="1" applyBorder="1" applyAlignment="1">
      <alignment horizontal="right"/>
    </xf>
    <xf numFmtId="165" fontId="14" fillId="0" borderId="3" xfId="1" applyNumberFormat="1" applyFont="1" applyBorder="1" applyAlignment="1">
      <alignment horizontal="right"/>
    </xf>
    <xf numFmtId="4" fontId="14" fillId="0" borderId="3" xfId="0" applyNumberFormat="1" applyFont="1" applyBorder="1" applyAlignment="1">
      <alignment horizontal="right"/>
    </xf>
    <xf numFmtId="1" fontId="14" fillId="0" borderId="3" xfId="0" applyNumberFormat="1" applyFont="1" applyFill="1" applyBorder="1" applyAlignment="1">
      <alignment horizontal="right"/>
    </xf>
    <xf numFmtId="3" fontId="14" fillId="0" borderId="3" xfId="0" applyNumberFormat="1" applyFont="1" applyFill="1" applyBorder="1" applyAlignment="1">
      <alignment horizontal="right"/>
    </xf>
    <xf numFmtId="10" fontId="14" fillId="0" borderId="3" xfId="12" applyNumberFormat="1" applyFont="1" applyBorder="1" applyAlignment="1">
      <alignment horizontal="right"/>
    </xf>
    <xf numFmtId="169" fontId="14" fillId="0" borderId="3" xfId="1" applyNumberFormat="1" applyFont="1" applyBorder="1" applyAlignment="1">
      <alignment horizontal="right"/>
    </xf>
    <xf numFmtId="9" fontId="14" fillId="0" borderId="3" xfId="12" applyNumberFormat="1" applyFont="1" applyBorder="1" applyAlignment="1">
      <alignment horizontal="right"/>
    </xf>
    <xf numFmtId="168" fontId="14" fillId="0" borderId="3" xfId="0" applyNumberFormat="1" applyFont="1" applyBorder="1" applyAlignment="1">
      <alignment horizontal="right"/>
    </xf>
    <xf numFmtId="2" fontId="14" fillId="0" borderId="3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37" fontId="0" fillId="0" borderId="0" xfId="0" applyNumberFormat="1" applyAlignment="1">
      <alignment horizontal="right"/>
    </xf>
    <xf numFmtId="170" fontId="0" fillId="0" borderId="0" xfId="0" applyNumberFormat="1" applyAlignment="1">
      <alignment horizontal="right"/>
    </xf>
    <xf numFmtId="39" fontId="0" fillId="0" borderId="0" xfId="0" applyNumberFormat="1" applyAlignment="1">
      <alignment horizontal="right"/>
    </xf>
    <xf numFmtId="170" fontId="0" fillId="0" borderId="0" xfId="0" applyNumberFormat="1"/>
    <xf numFmtId="1" fontId="0" fillId="0" borderId="0" xfId="0" applyNumberFormat="1"/>
    <xf numFmtId="49" fontId="17" fillId="3" borderId="0" xfId="0" applyNumberFormat="1" applyFont="1" applyFill="1"/>
    <xf numFmtId="164" fontId="18" fillId="3" borderId="0" xfId="0" applyNumberFormat="1" applyFont="1" applyFill="1"/>
    <xf numFmtId="164" fontId="18" fillId="3" borderId="6" xfId="0" applyNumberFormat="1" applyFont="1" applyFill="1" applyBorder="1"/>
    <xf numFmtId="164" fontId="18" fillId="3" borderId="8" xfId="0" applyNumberFormat="1" applyFont="1" applyFill="1" applyBorder="1"/>
    <xf numFmtId="164" fontId="18" fillId="3" borderId="0" xfId="0" applyNumberFormat="1" applyFont="1" applyFill="1" applyBorder="1"/>
    <xf numFmtId="43" fontId="0" fillId="3" borderId="0" xfId="1" applyFont="1" applyFill="1"/>
    <xf numFmtId="164" fontId="18" fillId="0" borderId="0" xfId="0" applyNumberFormat="1" applyFont="1" applyFill="1"/>
    <xf numFmtId="2" fontId="0" fillId="4" borderId="0" xfId="0" applyNumberFormat="1" applyFill="1"/>
    <xf numFmtId="0" fontId="0" fillId="4" borderId="0" xfId="0" applyFill="1"/>
    <xf numFmtId="0" fontId="0" fillId="0" borderId="3" xfId="0" applyBorder="1"/>
    <xf numFmtId="43" fontId="0" fillId="0" borderId="3" xfId="1" applyFont="1" applyBorder="1"/>
    <xf numFmtId="0" fontId="22" fillId="0" borderId="3" xfId="0" applyFont="1" applyBorder="1"/>
    <xf numFmtId="43" fontId="22" fillId="0" borderId="3" xfId="0" applyNumberFormat="1" applyFont="1" applyBorder="1"/>
    <xf numFmtId="0" fontId="22" fillId="0" borderId="3" xfId="0" applyFont="1" applyBorder="1" applyAlignment="1">
      <alignment horizontal="center"/>
    </xf>
    <xf numFmtId="0" fontId="23" fillId="0" borderId="3" xfId="0" applyFont="1" applyBorder="1"/>
    <xf numFmtId="0" fontId="24" fillId="0" borderId="3" xfId="0" applyFont="1" applyFill="1" applyBorder="1"/>
    <xf numFmtId="43" fontId="25" fillId="0" borderId="3" xfId="0" applyNumberFormat="1" applyFont="1" applyBorder="1"/>
    <xf numFmtId="0" fontId="0" fillId="0" borderId="3" xfId="0" applyBorder="1" applyAlignment="1">
      <alignment horizontal="left"/>
    </xf>
    <xf numFmtId="0" fontId="22" fillId="0" borderId="23" xfId="0" applyFont="1" applyBorder="1"/>
    <xf numFmtId="0" fontId="22" fillId="0" borderId="23" xfId="0" applyFont="1" applyBorder="1" applyAlignment="1">
      <alignment wrapText="1"/>
    </xf>
    <xf numFmtId="0" fontId="0" fillId="0" borderId="0" xfId="0" applyAlignment="1">
      <alignment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7" fillId="0" borderId="0" xfId="13" applyAlignment="1">
      <alignment vertical="center"/>
    </xf>
    <xf numFmtId="0" fontId="31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8" fillId="4" borderId="0" xfId="0" applyFont="1" applyFill="1"/>
    <xf numFmtId="0" fontId="0" fillId="0" borderId="3" xfId="0" applyFill="1" applyBorder="1"/>
    <xf numFmtId="164" fontId="0" fillId="0" borderId="3" xfId="0" applyNumberFormat="1" applyBorder="1"/>
    <xf numFmtId="0" fontId="23" fillId="0" borderId="25" xfId="0" applyFont="1" applyFill="1" applyBorder="1"/>
    <xf numFmtId="0" fontId="0" fillId="4" borderId="3" xfId="0" applyFill="1" applyBorder="1" applyAlignment="1">
      <alignment wrapText="1"/>
    </xf>
    <xf numFmtId="0" fontId="0" fillId="0" borderId="0" xfId="0" applyFill="1" applyAlignment="1">
      <alignment horizontal="center"/>
    </xf>
    <xf numFmtId="0" fontId="17" fillId="0" borderId="0" xfId="0" applyFont="1" applyFill="1"/>
    <xf numFmtId="0" fontId="11" fillId="2" borderId="3" xfId="0" applyFont="1" applyFill="1" applyBorder="1" applyAlignment="1">
      <alignment wrapText="1"/>
    </xf>
    <xf numFmtId="4" fontId="0" fillId="0" borderId="3" xfId="0" applyNumberFormat="1" applyBorder="1"/>
    <xf numFmtId="0" fontId="29" fillId="0" borderId="3" xfId="0" applyFont="1" applyBorder="1" applyAlignment="1">
      <alignment vertical="center"/>
    </xf>
    <xf numFmtId="0" fontId="29" fillId="0" borderId="3" xfId="0" applyFont="1" applyBorder="1" applyAlignment="1">
      <alignment horizontal="left" vertical="center" indent="3"/>
    </xf>
    <xf numFmtId="9" fontId="0" fillId="0" borderId="3" xfId="0" applyNumberFormat="1" applyBorder="1"/>
    <xf numFmtId="164" fontId="23" fillId="0" borderId="0" xfId="0" applyNumberFormat="1" applyFont="1"/>
    <xf numFmtId="4" fontId="0" fillId="0" borderId="0" xfId="0" applyNumberFormat="1"/>
    <xf numFmtId="49" fontId="17" fillId="0" borderId="0" xfId="0" applyNumberFormat="1" applyFont="1" applyFill="1"/>
    <xf numFmtId="164" fontId="18" fillId="0" borderId="0" xfId="0" applyNumberFormat="1" applyFont="1" applyFill="1" applyBorder="1"/>
    <xf numFmtId="0" fontId="13" fillId="0" borderId="3" xfId="0" applyFont="1" applyBorder="1" applyAlignment="1">
      <alignment horizontal="center"/>
    </xf>
    <xf numFmtId="3" fontId="13" fillId="2" borderId="3" xfId="0" applyNumberFormat="1" applyFont="1" applyFill="1" applyBorder="1" applyAlignment="1">
      <alignment horizontal="right"/>
    </xf>
    <xf numFmtId="3" fontId="13" fillId="2" borderId="3" xfId="0" quotePrefix="1" applyNumberFormat="1" applyFont="1" applyFill="1" applyBorder="1" applyAlignment="1">
      <alignment horizontal="right"/>
    </xf>
    <xf numFmtId="0" fontId="8" fillId="2" borderId="0" xfId="0" applyFont="1" applyFill="1"/>
    <xf numFmtId="0" fontId="17" fillId="2" borderId="0" xfId="0" applyNumberFormat="1" applyFont="1" applyFill="1"/>
    <xf numFmtId="0" fontId="39" fillId="0" borderId="27" xfId="0" applyFont="1" applyBorder="1" applyAlignment="1">
      <alignment vertical="center" wrapText="1"/>
    </xf>
    <xf numFmtId="0" fontId="39" fillId="0" borderId="28" xfId="0" applyFont="1" applyBorder="1" applyAlignment="1">
      <alignment vertical="center" wrapText="1"/>
    </xf>
    <xf numFmtId="0" fontId="39" fillId="0" borderId="29" xfId="0" applyFont="1" applyBorder="1" applyAlignment="1">
      <alignment vertical="center" wrapText="1"/>
    </xf>
    <xf numFmtId="0" fontId="40" fillId="0" borderId="30" xfId="0" applyFont="1" applyBorder="1" applyAlignment="1">
      <alignment vertical="center" wrapText="1"/>
    </xf>
    <xf numFmtId="9" fontId="40" fillId="0" borderId="31" xfId="0" applyNumberFormat="1" applyFont="1" applyBorder="1" applyAlignment="1">
      <alignment vertical="center" wrapText="1"/>
    </xf>
    <xf numFmtId="0" fontId="39" fillId="0" borderId="30" xfId="0" applyFont="1" applyBorder="1" applyAlignment="1">
      <alignment vertical="center" wrapText="1"/>
    </xf>
    <xf numFmtId="9" fontId="39" fillId="0" borderId="31" xfId="0" applyNumberFormat="1" applyFont="1" applyBorder="1" applyAlignment="1">
      <alignment vertical="center" wrapText="1"/>
    </xf>
    <xf numFmtId="0" fontId="38" fillId="0" borderId="0" xfId="0" applyFont="1" applyAlignment="1">
      <alignment vertical="center" wrapText="1"/>
    </xf>
    <xf numFmtId="0" fontId="29" fillId="5" borderId="0" xfId="0" applyFont="1" applyFill="1" applyAlignment="1">
      <alignment vertical="center"/>
    </xf>
    <xf numFmtId="0" fontId="0" fillId="5" borderId="0" xfId="0" applyFill="1"/>
    <xf numFmtId="0" fontId="41" fillId="0" borderId="32" xfId="0" applyFont="1" applyBorder="1" applyAlignment="1">
      <alignment vertical="center"/>
    </xf>
    <xf numFmtId="0" fontId="41" fillId="0" borderId="33" xfId="0" applyFont="1" applyBorder="1" applyAlignment="1">
      <alignment vertical="center"/>
    </xf>
    <xf numFmtId="0" fontId="41" fillId="0" borderId="34" xfId="0" applyFont="1" applyBorder="1" applyAlignment="1">
      <alignment vertical="center"/>
    </xf>
    <xf numFmtId="0" fontId="0" fillId="0" borderId="23" xfId="0" applyBorder="1" applyAlignment="1">
      <alignment vertical="center"/>
    </xf>
    <xf numFmtId="9" fontId="0" fillId="0" borderId="23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9" fontId="0" fillId="0" borderId="3" xfId="0" applyNumberFormat="1" applyBorder="1" applyAlignment="1">
      <alignment vertical="center"/>
    </xf>
    <xf numFmtId="0" fontId="41" fillId="0" borderId="3" xfId="0" applyFont="1" applyBorder="1" applyAlignment="1">
      <alignment vertical="center"/>
    </xf>
    <xf numFmtId="9" fontId="41" fillId="0" borderId="3" xfId="0" applyNumberFormat="1" applyFont="1" applyBorder="1" applyAlignment="1">
      <alignment vertical="center"/>
    </xf>
    <xf numFmtId="0" fontId="0" fillId="0" borderId="25" xfId="0" applyFill="1" applyBorder="1"/>
    <xf numFmtId="0" fontId="0" fillId="0" borderId="0" xfId="0" applyBorder="1"/>
    <xf numFmtId="0" fontId="23" fillId="2" borderId="3" xfId="0" applyFont="1" applyFill="1" applyBorder="1" applyAlignment="1">
      <alignment horizontal="left"/>
    </xf>
    <xf numFmtId="0" fontId="23" fillId="2" borderId="3" xfId="0" applyFont="1" applyFill="1" applyBorder="1" applyAlignment="1">
      <alignment horizontal="center"/>
    </xf>
    <xf numFmtId="0" fontId="23" fillId="2" borderId="3" xfId="0" applyFont="1" applyFill="1" applyBorder="1" applyAlignment="1">
      <alignment horizontal="center" wrapText="1"/>
    </xf>
    <xf numFmtId="164" fontId="23" fillId="0" borderId="0" xfId="0" applyNumberFormat="1" applyFont="1" applyBorder="1"/>
    <xf numFmtId="0" fontId="0" fillId="4" borderId="0" xfId="0" applyFill="1" applyAlignment="1">
      <alignment wrapText="1"/>
    </xf>
    <xf numFmtId="9" fontId="0" fillId="0" borderId="3" xfId="1" applyNumberFormat="1" applyFont="1" applyBorder="1"/>
    <xf numFmtId="0" fontId="42" fillId="0" borderId="3" xfId="0" applyFont="1" applyFill="1" applyBorder="1" applyAlignment="1">
      <alignment horizontal="left" vertical="center" indent="3"/>
    </xf>
    <xf numFmtId="166" fontId="0" fillId="0" borderId="3" xfId="0" applyNumberFormat="1" applyBorder="1"/>
    <xf numFmtId="166" fontId="0" fillId="0" borderId="3" xfId="1" applyNumberFormat="1" applyFont="1" applyBorder="1"/>
    <xf numFmtId="166" fontId="23" fillId="0" borderId="26" xfId="0" applyNumberFormat="1" applyFont="1" applyBorder="1"/>
    <xf numFmtId="166" fontId="23" fillId="0" borderId="0" xfId="0" applyNumberFormat="1" applyFont="1"/>
    <xf numFmtId="0" fontId="22" fillId="0" borderId="3" xfId="0" quotePrefix="1" applyFont="1" applyBorder="1"/>
    <xf numFmtId="0" fontId="0" fillId="6" borderId="23" xfId="0" applyFill="1" applyBorder="1" applyAlignment="1">
      <alignment vertical="center"/>
    </xf>
    <xf numFmtId="0" fontId="0" fillId="6" borderId="3" xfId="0" applyFill="1" applyBorder="1" applyAlignment="1">
      <alignment vertical="center"/>
    </xf>
    <xf numFmtId="9" fontId="0" fillId="6" borderId="23" xfId="0" applyNumberFormat="1" applyFill="1" applyBorder="1" applyAlignment="1">
      <alignment vertical="center"/>
    </xf>
    <xf numFmtId="9" fontId="0" fillId="6" borderId="3" xfId="0" applyNumberFormat="1" applyFill="1" applyBorder="1" applyAlignment="1">
      <alignment vertical="center"/>
    </xf>
    <xf numFmtId="3" fontId="13" fillId="0" borderId="3" xfId="0" applyNumberFormat="1" applyFont="1" applyFill="1" applyBorder="1"/>
    <xf numFmtId="0" fontId="13" fillId="0" borderId="3" xfId="0" applyFont="1" applyFill="1" applyBorder="1" applyAlignment="1">
      <alignment horizontal="center"/>
    </xf>
    <xf numFmtId="0" fontId="13" fillId="4" borderId="3" xfId="0" applyFont="1" applyFill="1" applyBorder="1" applyAlignment="1">
      <alignment horizontal="center"/>
    </xf>
    <xf numFmtId="0" fontId="8" fillId="0" borderId="0" xfId="0" applyFont="1" applyFill="1"/>
    <xf numFmtId="9" fontId="13" fillId="0" borderId="3" xfId="12" applyNumberFormat="1" applyFont="1" applyBorder="1" applyAlignment="1">
      <alignment horizontal="right"/>
    </xf>
    <xf numFmtId="0" fontId="43" fillId="0" borderId="0" xfId="0" applyFont="1"/>
    <xf numFmtId="49" fontId="44" fillId="6" borderId="0" xfId="0" applyNumberFormat="1" applyFont="1" applyFill="1" applyAlignment="1">
      <alignment horizontal="left"/>
    </xf>
    <xf numFmtId="0" fontId="17" fillId="6" borderId="0" xfId="0" applyNumberFormat="1" applyFont="1" applyFill="1"/>
    <xf numFmtId="43" fontId="17" fillId="0" borderId="7" xfId="1" applyFont="1" applyFill="1" applyBorder="1" applyAlignment="1">
      <alignment horizontal="center"/>
    </xf>
    <xf numFmtId="43" fontId="45" fillId="0" borderId="0" xfId="1" applyFont="1"/>
    <xf numFmtId="43" fontId="18" fillId="0" borderId="0" xfId="1" applyFont="1" applyFill="1"/>
    <xf numFmtId="43" fontId="18" fillId="0" borderId="0" xfId="1" applyFont="1" applyFill="1" applyBorder="1"/>
    <xf numFmtId="43" fontId="18" fillId="0" borderId="9" xfId="1" applyFont="1" applyFill="1" applyBorder="1"/>
    <xf numFmtId="43" fontId="18" fillId="0" borderId="8" xfId="1" applyFont="1" applyFill="1" applyBorder="1"/>
    <xf numFmtId="43" fontId="18" fillId="0" borderId="6" xfId="1" applyFont="1" applyFill="1" applyBorder="1"/>
    <xf numFmtId="43" fontId="45" fillId="0" borderId="0" xfId="1" applyFont="1" applyFill="1"/>
    <xf numFmtId="43" fontId="17" fillId="0" borderId="10" xfId="1" applyFont="1" applyFill="1" applyBorder="1"/>
    <xf numFmtId="43" fontId="0" fillId="0" borderId="0" xfId="1" applyFont="1" applyFill="1"/>
    <xf numFmtId="9" fontId="40" fillId="4" borderId="31" xfId="0" applyNumberFormat="1" applyFont="1" applyFill="1" applyBorder="1" applyAlignment="1">
      <alignment vertical="center" wrapText="1"/>
    </xf>
    <xf numFmtId="0" fontId="11" fillId="0" borderId="0" xfId="0" applyFont="1" applyAlignment="1">
      <alignment horizontal="center"/>
    </xf>
    <xf numFmtId="0" fontId="13" fillId="0" borderId="0" xfId="0" applyFont="1" applyBorder="1" applyAlignment="1">
      <alignment horizontal="center"/>
    </xf>
    <xf numFmtId="43" fontId="18" fillId="0" borderId="0" xfId="1" applyFont="1" applyBorder="1"/>
    <xf numFmtId="43" fontId="18" fillId="0" borderId="6" xfId="1" applyFont="1" applyBorder="1"/>
    <xf numFmtId="164" fontId="46" fillId="0" borderId="0" xfId="0" applyNumberFormat="1" applyFont="1"/>
    <xf numFmtId="43" fontId="18" fillId="0" borderId="0" xfId="1" applyFont="1"/>
    <xf numFmtId="43" fontId="17" fillId="0" borderId="35" xfId="1" applyFont="1" applyBorder="1"/>
    <xf numFmtId="43" fontId="18" fillId="0" borderId="8" xfId="1" applyFont="1" applyBorder="1"/>
    <xf numFmtId="43" fontId="17" fillId="0" borderId="6" xfId="1" applyFont="1" applyFill="1" applyBorder="1" applyAlignment="1">
      <alignment horizontal="center" wrapText="1"/>
    </xf>
    <xf numFmtId="9" fontId="18" fillId="0" borderId="0" xfId="12" applyFont="1"/>
    <xf numFmtId="9" fontId="18" fillId="0" borderId="0" xfId="12" applyFont="1" applyBorder="1"/>
    <xf numFmtId="0" fontId="45" fillId="0" borderId="0" xfId="0" applyFont="1" applyFill="1" applyAlignment="1">
      <alignment horizontal="center"/>
    </xf>
    <xf numFmtId="9" fontId="18" fillId="0" borderId="0" xfId="12" applyFont="1" applyFill="1" applyBorder="1"/>
    <xf numFmtId="164" fontId="47" fillId="0" borderId="0" xfId="0" applyNumberFormat="1" applyFont="1" applyFill="1" applyBorder="1"/>
    <xf numFmtId="9" fontId="17" fillId="0" borderId="0" xfId="12" applyFont="1" applyFill="1" applyBorder="1" applyAlignment="1">
      <alignment horizontal="center"/>
    </xf>
    <xf numFmtId="9" fontId="45" fillId="0" borderId="0" xfId="12" applyFont="1" applyFill="1" applyAlignment="1">
      <alignment horizontal="center"/>
    </xf>
    <xf numFmtId="43" fontId="0" fillId="0" borderId="0" xfId="1" applyFont="1" applyBorder="1"/>
    <xf numFmtId="43" fontId="18" fillId="0" borderId="9" xfId="1" applyFont="1" applyBorder="1"/>
    <xf numFmtId="43" fontId="17" fillId="0" borderId="10" xfId="1" applyFont="1" applyBorder="1"/>
    <xf numFmtId="43" fontId="17" fillId="0" borderId="7" xfId="1" applyFont="1" applyBorder="1" applyAlignment="1">
      <alignment horizontal="center"/>
    </xf>
    <xf numFmtId="43" fontId="18" fillId="5" borderId="0" xfId="1" applyFont="1" applyFill="1"/>
    <xf numFmtId="0" fontId="0" fillId="0" borderId="0" xfId="0" applyBorder="1" applyAlignment="1">
      <alignment horizontal="center"/>
    </xf>
    <xf numFmtId="43" fontId="0" fillId="0" borderId="0" xfId="0" applyNumberFormat="1" applyBorder="1"/>
    <xf numFmtId="49" fontId="44" fillId="5" borderId="0" xfId="0" applyNumberFormat="1" applyFont="1" applyFill="1" applyAlignment="1">
      <alignment horizontal="left"/>
    </xf>
    <xf numFmtId="49" fontId="17" fillId="7" borderId="0" xfId="0" applyNumberFormat="1" applyFont="1" applyFill="1"/>
    <xf numFmtId="43" fontId="18" fillId="7" borderId="0" xfId="1" applyFont="1" applyFill="1"/>
    <xf numFmtId="43" fontId="18" fillId="7" borderId="6" xfId="1" applyFont="1" applyFill="1" applyBorder="1"/>
    <xf numFmtId="164" fontId="18" fillId="7" borderId="9" xfId="0" applyNumberFormat="1" applyFont="1" applyFill="1" applyBorder="1"/>
    <xf numFmtId="43" fontId="18" fillId="5" borderId="8" xfId="1" applyFont="1" applyFill="1" applyBorder="1"/>
    <xf numFmtId="3" fontId="13" fillId="8" borderId="3" xfId="0" applyNumberFormat="1" applyFont="1" applyFill="1" applyBorder="1" applyAlignment="1">
      <alignment horizontal="center"/>
    </xf>
    <xf numFmtId="3" fontId="13" fillId="0" borderId="3" xfId="0" applyNumberFormat="1" applyFont="1" applyBorder="1" applyAlignment="1">
      <alignment horizontal="center"/>
    </xf>
    <xf numFmtId="9" fontId="13" fillId="0" borderId="3" xfId="12" applyNumberFormat="1" applyFont="1" applyBorder="1" applyAlignment="1">
      <alignment horizontal="center"/>
    </xf>
    <xf numFmtId="0" fontId="48" fillId="9" borderId="3" xfId="0" applyFont="1" applyFill="1" applyBorder="1" applyAlignment="1">
      <alignment horizontal="center"/>
    </xf>
    <xf numFmtId="3" fontId="13" fillId="8" borderId="3" xfId="0" applyNumberFormat="1" applyFont="1" applyFill="1" applyBorder="1" applyAlignment="1">
      <alignment horizontal="right"/>
    </xf>
    <xf numFmtId="164" fontId="0" fillId="0" borderId="3" xfId="0" applyNumberFormat="1" applyFill="1" applyBorder="1"/>
    <xf numFmtId="43" fontId="0" fillId="0" borderId="3" xfId="1" applyFont="1" applyFill="1" applyBorder="1"/>
    <xf numFmtId="0" fontId="23" fillId="0" borderId="11" xfId="0" applyFont="1" applyFill="1" applyBorder="1" applyAlignment="1">
      <alignment horizontal="center"/>
    </xf>
    <xf numFmtId="164" fontId="23" fillId="0" borderId="11" xfId="0" applyNumberFormat="1" applyFont="1" applyBorder="1"/>
    <xf numFmtId="0" fontId="29" fillId="0" borderId="36" xfId="0" applyFont="1" applyBorder="1" applyAlignment="1">
      <alignment horizontal="left" vertical="center" indent="3"/>
    </xf>
    <xf numFmtId="166" fontId="0" fillId="0" borderId="0" xfId="1" applyNumberFormat="1" applyFont="1" applyBorder="1"/>
    <xf numFmtId="0" fontId="23" fillId="2" borderId="36" xfId="0" applyFont="1" applyFill="1" applyBorder="1" applyAlignment="1">
      <alignment horizontal="left"/>
    </xf>
    <xf numFmtId="0" fontId="23" fillId="2" borderId="0" xfId="0" applyFont="1" applyFill="1" applyBorder="1" applyAlignment="1">
      <alignment horizontal="center"/>
    </xf>
    <xf numFmtId="0" fontId="23" fillId="0" borderId="3" xfId="0" applyFont="1" applyFill="1" applyBorder="1" applyAlignment="1">
      <alignment horizontal="center"/>
    </xf>
    <xf numFmtId="164" fontId="23" fillId="0" borderId="3" xfId="0" applyNumberFormat="1" applyFont="1" applyBorder="1"/>
    <xf numFmtId="0" fontId="11" fillId="0" borderId="0" xfId="0" applyFont="1" applyFill="1"/>
    <xf numFmtId="171" fontId="0" fillId="0" borderId="0" xfId="0" applyNumberFormat="1"/>
    <xf numFmtId="43" fontId="13" fillId="0" borderId="3" xfId="1" applyFont="1" applyBorder="1" applyAlignment="1">
      <alignment horizontal="right"/>
    </xf>
    <xf numFmtId="43" fontId="13" fillId="0" borderId="3" xfId="1" applyFont="1" applyBorder="1"/>
    <xf numFmtId="2" fontId="12" fillId="0" borderId="0" xfId="0" applyNumberFormat="1" applyFont="1"/>
    <xf numFmtId="0" fontId="48" fillId="7" borderId="3" xfId="0" applyFont="1" applyFill="1" applyBorder="1" applyAlignment="1">
      <alignment horizontal="center"/>
    </xf>
    <xf numFmtId="0" fontId="48" fillId="10" borderId="3" xfId="0" applyFont="1" applyFill="1" applyBorder="1" applyAlignment="1">
      <alignment horizontal="center"/>
    </xf>
    <xf numFmtId="164" fontId="0" fillId="0" borderId="11" xfId="0" applyNumberFormat="1" applyFill="1" applyBorder="1"/>
    <xf numFmtId="0" fontId="49" fillId="11" borderId="3" xfId="0" applyFont="1" applyFill="1" applyBorder="1" applyAlignment="1">
      <alignment horizontal="center"/>
    </xf>
    <xf numFmtId="0" fontId="49" fillId="12" borderId="3" xfId="0" applyFont="1" applyFill="1" applyBorder="1" applyAlignment="1">
      <alignment horizontal="center"/>
    </xf>
    <xf numFmtId="164" fontId="18" fillId="4" borderId="0" xfId="0" applyNumberFormat="1" applyFont="1" applyFill="1"/>
    <xf numFmtId="0" fontId="13" fillId="13" borderId="3" xfId="0" applyFont="1" applyFill="1" applyBorder="1" applyAlignment="1">
      <alignment horizontal="center"/>
    </xf>
    <xf numFmtId="49" fontId="0" fillId="0" borderId="0" xfId="0" applyNumberFormat="1" applyBorder="1" applyAlignment="1">
      <alignment horizontal="centerContinuous"/>
    </xf>
    <xf numFmtId="49" fontId="0" fillId="0" borderId="7" xfId="0" applyNumberFormat="1" applyBorder="1" applyAlignment="1">
      <alignment horizontal="centerContinuous"/>
    </xf>
    <xf numFmtId="49" fontId="17" fillId="0" borderId="37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49" fontId="18" fillId="0" borderId="0" xfId="0" applyNumberFormat="1" applyFont="1"/>
    <xf numFmtId="172" fontId="18" fillId="0" borderId="0" xfId="0" applyNumberFormat="1" applyFont="1"/>
    <xf numFmtId="172" fontId="18" fillId="0" borderId="0" xfId="0" applyNumberFormat="1" applyFont="1" applyBorder="1"/>
    <xf numFmtId="172" fontId="18" fillId="0" borderId="9" xfId="0" applyNumberFormat="1" applyFont="1" applyBorder="1"/>
    <xf numFmtId="172" fontId="18" fillId="0" borderId="8" xfId="0" applyNumberFormat="1" applyFont="1" applyBorder="1"/>
    <xf numFmtId="172" fontId="18" fillId="0" borderId="6" xfId="0" applyNumberFormat="1" applyFont="1" applyBorder="1"/>
    <xf numFmtId="172" fontId="17" fillId="0" borderId="10" xfId="0" applyNumberFormat="1" applyFont="1" applyBorder="1"/>
    <xf numFmtId="173" fontId="0" fillId="0" borderId="0" xfId="0" applyNumberFormat="1"/>
    <xf numFmtId="43" fontId="0" fillId="4" borderId="3" xfId="1" applyFont="1" applyFill="1" applyBorder="1"/>
    <xf numFmtId="174" fontId="0" fillId="0" borderId="0" xfId="0" applyNumberFormat="1"/>
    <xf numFmtId="0" fontId="13" fillId="14" borderId="3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164" fontId="40" fillId="0" borderId="0" xfId="0" applyNumberFormat="1" applyFont="1"/>
    <xf numFmtId="0" fontId="11" fillId="0" borderId="0" xfId="0" applyFont="1" applyBorder="1" applyAlignment="1">
      <alignment horizontal="center"/>
    </xf>
    <xf numFmtId="0" fontId="22" fillId="0" borderId="1" xfId="0" applyFont="1" applyBorder="1" applyAlignment="1">
      <alignment horizontal="left"/>
    </xf>
    <xf numFmtId="0" fontId="22" fillId="0" borderId="24" xfId="0" applyFont="1" applyBorder="1" applyAlignment="1">
      <alignment horizontal="left"/>
    </xf>
    <xf numFmtId="0" fontId="22" fillId="0" borderId="2" xfId="0" applyFont="1" applyBorder="1" applyAlignment="1">
      <alignment horizontal="left"/>
    </xf>
  </cellXfs>
  <cellStyles count="16">
    <cellStyle name="Comma" xfId="1" builtinId="3"/>
    <cellStyle name="Hyperlink" xfId="13" builtinId="8"/>
    <cellStyle name="Normal" xfId="0" builtinId="0"/>
    <cellStyle name="Normal 2" xfId="2"/>
    <cellStyle name="Normal 2 2" xfId="3"/>
    <cellStyle name="Normal 2 3" xfId="4"/>
    <cellStyle name="Normal 2 4" xfId="5"/>
    <cellStyle name="Normal 2 5" xfId="14"/>
    <cellStyle name="Normal 2 6" xfId="15"/>
    <cellStyle name="Normal 3" xfId="6"/>
    <cellStyle name="Normal 3 2" xfId="7"/>
    <cellStyle name="Normal 3 3" xfId="8"/>
    <cellStyle name="Normal 4" xfId="9"/>
    <cellStyle name="Normal 4 2" xfId="10"/>
    <cellStyle name="Normal 4 3" xfId="11"/>
    <cellStyle name="Percent" xfId="1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9.emf"/><Relationship Id="rId1" Type="http://schemas.openxmlformats.org/officeDocument/2006/relationships/image" Target="../media/image10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4.emf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6.emf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0</xdr:colOff>
          <xdr:row>1</xdr:row>
          <xdr:rowOff>28575</xdr:rowOff>
        </xdr:to>
        <xdr:sp macro="" textlink="">
          <xdr:nvSpPr>
            <xdr:cNvPr id="263169" name="FILTER" hidden="1">
              <a:extLst>
                <a:ext uri="{63B3BB69-23CF-44E3-9099-C40C66FF867C}">
                  <a14:compatExt spid="_x0000_s263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0</xdr:colOff>
          <xdr:row>1</xdr:row>
          <xdr:rowOff>28575</xdr:rowOff>
        </xdr:to>
        <xdr:sp macro="" textlink="">
          <xdr:nvSpPr>
            <xdr:cNvPr id="263170" name="HEADER" hidden="1">
              <a:extLst>
                <a:ext uri="{63B3BB69-23CF-44E3-9099-C40C66FF867C}">
                  <a14:compatExt spid="_x0000_s263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254977" name="FILTER" hidden="1">
              <a:extLst>
                <a:ext uri="{63B3BB69-23CF-44E3-9099-C40C66FF867C}">
                  <a14:compatExt spid="_x0000_s2549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254978" name="HEADER" hidden="1">
              <a:extLst>
                <a:ext uri="{63B3BB69-23CF-44E3-9099-C40C66FF867C}">
                  <a14:compatExt spid="_x0000_s2549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234497" name="FILTER" hidden="1">
              <a:extLst>
                <a:ext uri="{63B3BB69-23CF-44E3-9099-C40C66FF867C}">
                  <a14:compatExt spid="_x0000_s234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234498" name="HEADER" hidden="1">
              <a:extLst>
                <a:ext uri="{63B3BB69-23CF-44E3-9099-C40C66FF867C}">
                  <a14:compatExt spid="_x0000_s234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4</xdr:col>
          <xdr:colOff>114300</xdr:colOff>
          <xdr:row>1</xdr:row>
          <xdr:rowOff>228600</xdr:rowOff>
        </xdr:to>
        <xdr:sp macro="" textlink="">
          <xdr:nvSpPr>
            <xdr:cNvPr id="146433" name="FILTER" hidden="1">
              <a:extLst>
                <a:ext uri="{63B3BB69-23CF-44E3-9099-C40C66FF867C}">
                  <a14:compatExt spid="_x0000_s146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4</xdr:col>
          <xdr:colOff>114300</xdr:colOff>
          <xdr:row>1</xdr:row>
          <xdr:rowOff>228600</xdr:rowOff>
        </xdr:to>
        <xdr:sp macro="" textlink="">
          <xdr:nvSpPr>
            <xdr:cNvPr id="146434" name="HEADER" hidden="1">
              <a:extLst>
                <a:ext uri="{63B3BB69-23CF-44E3-9099-C40C66FF867C}">
                  <a14:compatExt spid="_x0000_s146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2</xdr:col>
          <xdr:colOff>57150</xdr:colOff>
          <xdr:row>4</xdr:row>
          <xdr:rowOff>28575</xdr:rowOff>
        </xdr:to>
        <xdr:sp macro="" textlink="">
          <xdr:nvSpPr>
            <xdr:cNvPr id="232449" name="FILTER" hidden="1">
              <a:extLst>
                <a:ext uri="{63B3BB69-23CF-44E3-9099-C40C66FF867C}">
                  <a14:compatExt spid="_x0000_s232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2</xdr:col>
          <xdr:colOff>57150</xdr:colOff>
          <xdr:row>4</xdr:row>
          <xdr:rowOff>28575</xdr:rowOff>
        </xdr:to>
        <xdr:sp macro="" textlink="">
          <xdr:nvSpPr>
            <xdr:cNvPr id="232450" name="HEADER" hidden="1">
              <a:extLst>
                <a:ext uri="{63B3BB69-23CF-44E3-9099-C40C66FF867C}">
                  <a14:compatExt spid="_x0000_s232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bhiramit\AppData\Local\Microsoft\Windows\Temporary%20Internet%20Files\Content.Outlook\3O04FWOS\Budget%2030.1.14\Budget'14%20update%2027.1.14\Budget14.13.1.14\Jan-Dec13%20TF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eekly%20P%20&amp;L%20and%20Monthly%20KPM\TFI\KPM%20-%20Bob\Dec%205th%20to%20Jan%201st\KPM%202014%20Sri%20L%20update%2001%2001%2015%20-%209th%20J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ickBooks Export Tips"/>
      <sheetName val="Sheet1"/>
    </sheetNames>
    <sheetDataSet>
      <sheetData sheetId="0"/>
      <sheetData sheetId="1">
        <row r="96">
          <cell r="J96">
            <v>123429893.86</v>
          </cell>
        </row>
        <row r="321">
          <cell r="J321">
            <v>38576555.149999999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PM"/>
      <sheetName val="Summary"/>
      <sheetName val="P&amp;L2013"/>
      <sheetName val="P&amp;L13 update 27.1.14"/>
      <sheetName val="Summary Update 27.1.14"/>
      <sheetName val="KPM update "/>
      <sheetName val="Dec 5th to 1st Jan"/>
      <sheetName val="TeKSS - Dec 5th to Jan 1st"/>
      <sheetName val="7th Nov to 4th Dec"/>
      <sheetName val="TeKSS - 7th Nov to 4th Dec"/>
      <sheetName val="Oct 3rd to Nov 6th"/>
      <sheetName val="TeKSS - Oct 3rd to Nov 6th"/>
      <sheetName val="Sep 5th to Oct 2nd"/>
      <sheetName val="TeKSS - Sep 5th to Oct 2nd"/>
      <sheetName val="Aug 1st - Sep 4th"/>
      <sheetName val="TeKSS-Aug 1st-4th Sep-frm QB"/>
      <sheetName val="July 4th - July 31st"/>
      <sheetName val="TeKSS-July 4th-July 31st-P &amp;L"/>
      <sheetName val="June 6th - July 3rd"/>
      <sheetName val="TeKSS-June 6th-July 3rd-P&amp;L"/>
      <sheetName val="May 2nd - June 5th"/>
      <sheetName val="TeKSS-May 2nd-June 5th-P&amp;L"/>
      <sheetName val="Apr 4th - May 1st"/>
      <sheetName val="March 7th-April3rd'14"/>
      <sheetName val="Jan3rd-Feb6th'14"/>
      <sheetName val="Feb 7th-March 6th'14"/>
      <sheetName val="Sri L Jan'14"/>
    </sheetNames>
    <sheetDataSet>
      <sheetData sheetId="0"/>
      <sheetData sheetId="1">
        <row r="8">
          <cell r="C8">
            <v>1472337.1912225706</v>
          </cell>
        </row>
        <row r="10">
          <cell r="C10">
            <v>290288.73017241381</v>
          </cell>
        </row>
        <row r="12">
          <cell r="C12">
            <v>285148.96316614421</v>
          </cell>
        </row>
        <row r="17">
          <cell r="C17">
            <v>37013.351175548596</v>
          </cell>
        </row>
        <row r="19">
          <cell r="C19">
            <v>222059.97711598745</v>
          </cell>
        </row>
        <row r="24">
          <cell r="C24">
            <v>242486.47876175548</v>
          </cell>
        </row>
        <row r="27">
          <cell r="C27">
            <v>397835.20626959251</v>
          </cell>
        </row>
      </sheetData>
      <sheetData sheetId="2"/>
      <sheetData sheetId="3"/>
      <sheetData sheetId="4">
        <row r="8">
          <cell r="E8">
            <v>1857274.4767667367</v>
          </cell>
        </row>
        <row r="10">
          <cell r="E10">
            <v>430098.18904662173</v>
          </cell>
        </row>
        <row r="12">
          <cell r="E12">
            <v>400278.59716080991</v>
          </cell>
        </row>
        <row r="17">
          <cell r="E17">
            <v>63090.415561244277</v>
          </cell>
        </row>
        <row r="19">
          <cell r="E19">
            <v>327119.48933364369</v>
          </cell>
        </row>
        <row r="24">
          <cell r="E24">
            <v>331578.62857807765</v>
          </cell>
        </row>
        <row r="27">
          <cell r="E27">
            <v>305102.04134667595</v>
          </cell>
        </row>
      </sheetData>
      <sheetData sheetId="5"/>
      <sheetData sheetId="6">
        <row r="24">
          <cell r="J24">
            <v>9796871.9800000004</v>
          </cell>
        </row>
        <row r="49">
          <cell r="J49">
            <v>2962067.98</v>
          </cell>
        </row>
        <row r="57">
          <cell r="J57">
            <v>858443.89</v>
          </cell>
        </row>
        <row r="62">
          <cell r="J62">
            <v>6966647.2400000002</v>
          </cell>
        </row>
        <row r="85">
          <cell r="J85">
            <v>429328.51</v>
          </cell>
        </row>
        <row r="109">
          <cell r="J109">
            <v>7300</v>
          </cell>
        </row>
        <row r="121">
          <cell r="J121">
            <v>152250</v>
          </cell>
        </row>
        <row r="148">
          <cell r="J148">
            <v>40000</v>
          </cell>
        </row>
        <row r="166">
          <cell r="J166">
            <v>69750.8</v>
          </cell>
        </row>
        <row r="189">
          <cell r="J189">
            <v>103500</v>
          </cell>
        </row>
        <row r="197">
          <cell r="J197">
            <v>225000</v>
          </cell>
        </row>
        <row r="236">
          <cell r="J236">
            <v>2937793.17</v>
          </cell>
        </row>
        <row r="243">
          <cell r="J243">
            <v>3000</v>
          </cell>
        </row>
        <row r="249">
          <cell r="J249">
            <v>-104568.43</v>
          </cell>
        </row>
      </sheetData>
      <sheetData sheetId="7">
        <row r="8">
          <cell r="H8">
            <v>3762500</v>
          </cell>
        </row>
        <row r="55">
          <cell r="G55">
            <v>2664262.5</v>
          </cell>
        </row>
        <row r="56">
          <cell r="G56">
            <v>98890</v>
          </cell>
        </row>
        <row r="59">
          <cell r="G59">
            <v>999347.5</v>
          </cell>
        </row>
      </sheetData>
      <sheetData sheetId="8">
        <row r="25">
          <cell r="U25">
            <v>10013065.91</v>
          </cell>
        </row>
        <row r="50">
          <cell r="U50">
            <v>2901496.47</v>
          </cell>
        </row>
        <row r="58">
          <cell r="U58">
            <v>858443.89</v>
          </cell>
        </row>
        <row r="63">
          <cell r="U63">
            <v>6212819.1500000004</v>
          </cell>
        </row>
        <row r="91">
          <cell r="U91">
            <v>429328.51</v>
          </cell>
        </row>
        <row r="119">
          <cell r="J119">
            <v>6000</v>
          </cell>
        </row>
        <row r="136">
          <cell r="U136">
            <v>192250</v>
          </cell>
        </row>
        <row r="164">
          <cell r="U164">
            <v>40000</v>
          </cell>
        </row>
        <row r="180">
          <cell r="U180">
            <v>69750.8</v>
          </cell>
        </row>
        <row r="200">
          <cell r="U200">
            <v>103500</v>
          </cell>
        </row>
        <row r="212">
          <cell r="U212">
            <v>225000</v>
          </cell>
        </row>
        <row r="252">
          <cell r="U252">
            <v>3287822.54</v>
          </cell>
        </row>
        <row r="254">
          <cell r="U254">
            <v>512424.22</v>
          </cell>
        </row>
      </sheetData>
      <sheetData sheetId="9">
        <row r="2">
          <cell r="F2">
            <v>3750500</v>
          </cell>
        </row>
        <row r="49">
          <cell r="F49">
            <v>2664262.5</v>
          </cell>
        </row>
        <row r="50">
          <cell r="F50">
            <v>102570</v>
          </cell>
        </row>
        <row r="53">
          <cell r="F53">
            <v>983667.5</v>
          </cell>
        </row>
      </sheetData>
      <sheetData sheetId="10">
        <row r="24">
          <cell r="J24">
            <v>14961014.960000001</v>
          </cell>
        </row>
        <row r="46">
          <cell r="J46">
            <v>4291077.51</v>
          </cell>
        </row>
        <row r="54">
          <cell r="J54">
            <v>889126.11</v>
          </cell>
        </row>
        <row r="55">
          <cell r="J55">
            <v>9738511.7899999991</v>
          </cell>
        </row>
        <row r="82">
          <cell r="J82">
            <v>434820.24</v>
          </cell>
        </row>
        <row r="105">
          <cell r="J105">
            <v>3000</v>
          </cell>
        </row>
        <row r="115">
          <cell r="J115">
            <v>146116.67000000001</v>
          </cell>
        </row>
        <row r="138">
          <cell r="J138">
            <v>39448.089999999997</v>
          </cell>
        </row>
        <row r="155">
          <cell r="J155">
            <v>53822</v>
          </cell>
        </row>
        <row r="173">
          <cell r="J173">
            <v>103500</v>
          </cell>
        </row>
        <row r="180">
          <cell r="J180">
            <v>225000</v>
          </cell>
        </row>
        <row r="213">
          <cell r="J213">
            <v>2799531</v>
          </cell>
        </row>
        <row r="225">
          <cell r="J225">
            <v>2442532.17</v>
          </cell>
        </row>
      </sheetData>
      <sheetData sheetId="11">
        <row r="4">
          <cell r="F4">
            <v>3750500</v>
          </cell>
        </row>
        <row r="50">
          <cell r="F50">
            <v>2664262.5</v>
          </cell>
        </row>
        <row r="51">
          <cell r="F51">
            <v>60405</v>
          </cell>
        </row>
        <row r="54">
          <cell r="F54">
            <v>1025832.5</v>
          </cell>
        </row>
      </sheetData>
      <sheetData sheetId="12">
        <row r="26">
          <cell r="U26">
            <v>11704261.199999999</v>
          </cell>
        </row>
        <row r="51">
          <cell r="U51">
            <v>3994993.05</v>
          </cell>
        </row>
        <row r="59">
          <cell r="U59">
            <v>889126.11</v>
          </cell>
        </row>
        <row r="63">
          <cell r="U63">
            <v>8060509.6200000001</v>
          </cell>
        </row>
        <row r="91">
          <cell r="U91">
            <v>434820.24</v>
          </cell>
        </row>
        <row r="112">
          <cell r="U112">
            <v>3800</v>
          </cell>
        </row>
        <row r="123">
          <cell r="U123">
            <v>164541.67000000001</v>
          </cell>
        </row>
        <row r="144">
          <cell r="U144">
            <v>40000</v>
          </cell>
        </row>
        <row r="145">
          <cell r="U145">
            <v>40000</v>
          </cell>
        </row>
        <row r="161">
          <cell r="U161">
            <v>53822</v>
          </cell>
        </row>
        <row r="180">
          <cell r="U180">
            <v>103500</v>
          </cell>
        </row>
        <row r="193">
          <cell r="U193">
            <v>398880</v>
          </cell>
        </row>
        <row r="222">
          <cell r="U222">
            <v>2479746.9700000002</v>
          </cell>
        </row>
        <row r="235">
          <cell r="U235">
            <v>1166974.6100000001</v>
          </cell>
        </row>
      </sheetData>
      <sheetData sheetId="13">
        <row r="5">
          <cell r="O5">
            <v>3716168.51</v>
          </cell>
        </row>
        <row r="51">
          <cell r="O51">
            <v>2664262.5</v>
          </cell>
        </row>
        <row r="52">
          <cell r="O52">
            <v>49485</v>
          </cell>
        </row>
        <row r="60">
          <cell r="O60">
            <v>1002421.02</v>
          </cell>
        </row>
      </sheetData>
      <sheetData sheetId="14">
        <row r="24">
          <cell r="J24">
            <v>12432569.609999999</v>
          </cell>
        </row>
        <row r="46">
          <cell r="J46">
            <v>3708371.42</v>
          </cell>
        </row>
        <row r="54">
          <cell r="J54">
            <v>889126.11</v>
          </cell>
        </row>
        <row r="59">
          <cell r="J59">
            <v>8721395.0199999996</v>
          </cell>
        </row>
        <row r="87">
          <cell r="J87">
            <v>434820.24</v>
          </cell>
        </row>
        <row r="115">
          <cell r="J115">
            <v>1500</v>
          </cell>
        </row>
        <row r="127">
          <cell r="J127">
            <v>164541.67000000001</v>
          </cell>
        </row>
        <row r="148">
          <cell r="J148">
            <v>0</v>
          </cell>
        </row>
        <row r="162">
          <cell r="J162">
            <v>53822</v>
          </cell>
        </row>
        <row r="176">
          <cell r="J176">
            <v>103500</v>
          </cell>
        </row>
        <row r="187">
          <cell r="J187">
            <v>225000</v>
          </cell>
        </row>
        <row r="229">
          <cell r="J229">
            <v>2874069.45</v>
          </cell>
        </row>
        <row r="237">
          <cell r="J237">
            <v>41155</v>
          </cell>
        </row>
        <row r="242">
          <cell r="J242">
            <v>878260.14</v>
          </cell>
        </row>
      </sheetData>
      <sheetData sheetId="15">
        <row r="8">
          <cell r="H8">
            <v>3726149</v>
          </cell>
        </row>
        <row r="54">
          <cell r="H54">
            <v>2664262.5</v>
          </cell>
        </row>
        <row r="55">
          <cell r="H55">
            <v>36705</v>
          </cell>
        </row>
        <row r="56">
          <cell r="H56">
            <v>8050</v>
          </cell>
        </row>
        <row r="57">
          <cell r="H57">
            <v>11200</v>
          </cell>
        </row>
        <row r="65">
          <cell r="H65">
            <v>1005931.51</v>
          </cell>
        </row>
      </sheetData>
      <sheetData sheetId="16">
        <row r="28">
          <cell r="U28">
            <v>16764547.74</v>
          </cell>
        </row>
        <row r="54">
          <cell r="U54">
            <v>2855621.18</v>
          </cell>
        </row>
        <row r="62">
          <cell r="U62">
            <v>905404.34</v>
          </cell>
        </row>
        <row r="67">
          <cell r="U67">
            <v>6930813.8399999999</v>
          </cell>
        </row>
        <row r="75">
          <cell r="U75">
            <v>500</v>
          </cell>
        </row>
        <row r="96">
          <cell r="U96">
            <v>432048.63</v>
          </cell>
        </row>
        <row r="127">
          <cell r="U127">
            <v>5450</v>
          </cell>
        </row>
        <row r="140">
          <cell r="U140">
            <v>192450.67</v>
          </cell>
        </row>
        <row r="181">
          <cell r="U181">
            <v>51947.7</v>
          </cell>
        </row>
        <row r="202">
          <cell r="U202">
            <v>34500</v>
          </cell>
        </row>
        <row r="215">
          <cell r="U215">
            <v>225000</v>
          </cell>
        </row>
        <row r="253">
          <cell r="U253">
            <v>2727831.89</v>
          </cell>
        </row>
        <row r="265">
          <cell r="U265">
            <v>7106651.0099999998</v>
          </cell>
        </row>
      </sheetData>
      <sheetData sheetId="17">
        <row r="9">
          <cell r="G9">
            <v>4526599.32</v>
          </cell>
        </row>
        <row r="11">
          <cell r="G11">
            <v>82395</v>
          </cell>
        </row>
        <row r="14">
          <cell r="G14">
            <v>4444204.32</v>
          </cell>
        </row>
      </sheetData>
      <sheetData sheetId="18">
        <row r="26">
          <cell r="U26">
            <v>11852436.26</v>
          </cell>
        </row>
        <row r="55">
          <cell r="U55">
            <v>5286849.16</v>
          </cell>
        </row>
        <row r="63">
          <cell r="U63">
            <v>760600.54</v>
          </cell>
        </row>
        <row r="69">
          <cell r="U69">
            <v>9519697.8000000007</v>
          </cell>
        </row>
        <row r="77">
          <cell r="U77">
            <v>34000</v>
          </cell>
        </row>
        <row r="98">
          <cell r="U98">
            <v>443956.75</v>
          </cell>
        </row>
        <row r="141">
          <cell r="U141">
            <v>165916.67000000001</v>
          </cell>
        </row>
        <row r="173">
          <cell r="U173">
            <v>40000</v>
          </cell>
        </row>
        <row r="191">
          <cell r="U191">
            <v>51947.7</v>
          </cell>
        </row>
        <row r="207">
          <cell r="U207">
            <v>3000</v>
          </cell>
        </row>
        <row r="220">
          <cell r="U220">
            <v>229000</v>
          </cell>
        </row>
        <row r="262">
          <cell r="U262">
            <v>3768502.24</v>
          </cell>
        </row>
        <row r="263">
          <cell r="U263">
            <v>-1435763.78</v>
          </cell>
        </row>
        <row r="267">
          <cell r="U267">
            <v>9250</v>
          </cell>
        </row>
      </sheetData>
      <sheetData sheetId="19">
        <row r="4">
          <cell r="F4">
            <v>4516702.68</v>
          </cell>
        </row>
        <row r="8">
          <cell r="F8">
            <v>58800</v>
          </cell>
        </row>
        <row r="9">
          <cell r="F9">
            <v>12260</v>
          </cell>
        </row>
        <row r="10">
          <cell r="F10">
            <v>0</v>
          </cell>
        </row>
        <row r="22">
          <cell r="F22">
            <v>1753041.2799999998</v>
          </cell>
        </row>
      </sheetData>
      <sheetData sheetId="20">
        <row r="27">
          <cell r="U27">
            <v>17316375.949999999</v>
          </cell>
        </row>
        <row r="56">
          <cell r="U56">
            <v>5725831.1799999997</v>
          </cell>
        </row>
        <row r="64">
          <cell r="U64">
            <v>789883.82</v>
          </cell>
        </row>
        <row r="71">
          <cell r="U71">
            <v>11476929.74</v>
          </cell>
        </row>
        <row r="79">
          <cell r="U79">
            <v>1200</v>
          </cell>
        </row>
        <row r="100">
          <cell r="U100">
            <v>455540.47</v>
          </cell>
        </row>
        <row r="151">
          <cell r="U151">
            <v>156496.48000000001</v>
          </cell>
        </row>
        <row r="177">
          <cell r="U177">
            <v>4800</v>
          </cell>
        </row>
        <row r="185">
          <cell r="U185">
            <v>40000</v>
          </cell>
        </row>
        <row r="203">
          <cell r="U203">
            <v>105755.7</v>
          </cell>
        </row>
        <row r="225">
          <cell r="U225">
            <v>3000</v>
          </cell>
        </row>
        <row r="240">
          <cell r="U240">
            <v>225000</v>
          </cell>
        </row>
        <row r="292">
          <cell r="U292">
            <v>6535552.8099999996</v>
          </cell>
        </row>
        <row r="305">
          <cell r="U305">
            <v>114277.2</v>
          </cell>
        </row>
        <row r="306">
          <cell r="U306">
            <v>-581829.4</v>
          </cell>
        </row>
      </sheetData>
      <sheetData sheetId="21">
        <row r="8">
          <cell r="H8">
            <v>5657821.1399999997</v>
          </cell>
        </row>
        <row r="11">
          <cell r="H11">
            <v>33142.85</v>
          </cell>
        </row>
        <row r="49">
          <cell r="H49">
            <v>2692675.4</v>
          </cell>
        </row>
        <row r="50">
          <cell r="H50">
            <v>48900</v>
          </cell>
        </row>
        <row r="51">
          <cell r="H51">
            <v>15000</v>
          </cell>
        </row>
        <row r="54">
          <cell r="H54">
            <v>2868102.89</v>
          </cell>
        </row>
      </sheetData>
      <sheetData sheetId="22">
        <row r="28">
          <cell r="J28">
            <v>24966536.73</v>
          </cell>
        </row>
        <row r="53">
          <cell r="J53">
            <v>6145737.6500000004</v>
          </cell>
        </row>
        <row r="59">
          <cell r="J59">
            <v>767240.75</v>
          </cell>
        </row>
        <row r="64">
          <cell r="J64">
            <v>9991079.2899999991</v>
          </cell>
        </row>
        <row r="91">
          <cell r="J91">
            <v>566744.93000000005</v>
          </cell>
        </row>
        <row r="126">
          <cell r="J126">
            <v>1950</v>
          </cell>
        </row>
        <row r="140">
          <cell r="J140">
            <v>391281.28</v>
          </cell>
        </row>
        <row r="163">
          <cell r="J163">
            <v>80000</v>
          </cell>
        </row>
        <row r="179">
          <cell r="J179">
            <v>169673.7</v>
          </cell>
        </row>
        <row r="204">
          <cell r="J204">
            <v>3176075.01</v>
          </cell>
        </row>
        <row r="248">
          <cell r="J248">
            <v>8007197.7000000002</v>
          </cell>
        </row>
        <row r="262">
          <cell r="J262">
            <v>7214334.7400000002</v>
          </cell>
        </row>
      </sheetData>
      <sheetData sheetId="23">
        <row r="30">
          <cell r="J30">
            <v>20948338.77</v>
          </cell>
        </row>
        <row r="58">
          <cell r="J58">
            <v>4950427.5999999996</v>
          </cell>
        </row>
        <row r="66">
          <cell r="J66">
            <v>1009255.07</v>
          </cell>
        </row>
        <row r="72">
          <cell r="J72">
            <v>9767107.6600000001</v>
          </cell>
        </row>
        <row r="99">
          <cell r="J99">
            <v>425888.75</v>
          </cell>
        </row>
        <row r="132">
          <cell r="J132">
            <v>8310</v>
          </cell>
        </row>
        <row r="144">
          <cell r="J144">
            <v>447975</v>
          </cell>
        </row>
        <row r="183">
          <cell r="J183">
            <v>120755.7</v>
          </cell>
        </row>
        <row r="188">
          <cell r="M188">
            <v>0</v>
          </cell>
        </row>
        <row r="208">
          <cell r="J208">
            <v>2883240.72</v>
          </cell>
        </row>
        <row r="252">
          <cell r="J252">
            <v>7175268.1500000004</v>
          </cell>
        </row>
        <row r="265">
          <cell r="J265">
            <v>4011052.71</v>
          </cell>
        </row>
      </sheetData>
      <sheetData sheetId="24">
        <row r="23">
          <cell r="J23">
            <v>21931687.18</v>
          </cell>
        </row>
        <row r="53">
          <cell r="J53">
            <v>4993013.05</v>
          </cell>
        </row>
        <row r="61">
          <cell r="J61">
            <v>728568.12</v>
          </cell>
        </row>
        <row r="68">
          <cell r="J68">
            <v>10419866.5</v>
          </cell>
        </row>
        <row r="76">
          <cell r="J76">
            <v>500</v>
          </cell>
        </row>
        <row r="97">
          <cell r="J97">
            <v>334107.93</v>
          </cell>
        </row>
        <row r="132">
          <cell r="J132">
            <v>10100</v>
          </cell>
        </row>
        <row r="146">
          <cell r="J146">
            <v>364706.28</v>
          </cell>
        </row>
        <row r="150">
          <cell r="J150">
            <v>9638.4</v>
          </cell>
        </row>
        <row r="171">
          <cell r="J171">
            <v>19200</v>
          </cell>
        </row>
        <row r="187">
          <cell r="J187">
            <v>105755.7</v>
          </cell>
        </row>
        <row r="206">
          <cell r="J206">
            <v>3360343.27</v>
          </cell>
        </row>
        <row r="261">
          <cell r="J261">
            <v>8485546.1999999993</v>
          </cell>
        </row>
        <row r="270">
          <cell r="J270">
            <v>3027755.36</v>
          </cell>
        </row>
      </sheetData>
      <sheetData sheetId="25">
        <row r="23">
          <cell r="J23">
            <v>21343843.789999999</v>
          </cell>
        </row>
        <row r="53">
          <cell r="J53">
            <v>5203831.45</v>
          </cell>
        </row>
        <row r="61">
          <cell r="J61">
            <v>728568.12</v>
          </cell>
        </row>
        <row r="66">
          <cell r="J66">
            <v>11016423.76</v>
          </cell>
        </row>
        <row r="94">
          <cell r="J94">
            <v>341721.75</v>
          </cell>
        </row>
        <row r="130">
          <cell r="J130">
            <v>15050</v>
          </cell>
        </row>
        <row r="143">
          <cell r="J143">
            <v>369950</v>
          </cell>
        </row>
        <row r="182">
          <cell r="J182">
            <v>105755.7</v>
          </cell>
        </row>
        <row r="198">
          <cell r="J198">
            <v>2782192.44</v>
          </cell>
        </row>
        <row r="250">
          <cell r="J250">
            <v>6333353.54</v>
          </cell>
        </row>
        <row r="263">
          <cell r="J263">
            <v>4014216.46</v>
          </cell>
        </row>
      </sheetData>
      <sheetData sheetId="26">
        <row r="24">
          <cell r="J24">
            <v>20359290.890000001</v>
          </cell>
        </row>
        <row r="55">
          <cell r="J55">
            <v>4568430.2699999996</v>
          </cell>
        </row>
        <row r="63">
          <cell r="J63">
            <v>796564.96</v>
          </cell>
        </row>
        <row r="70">
          <cell r="J70">
            <v>9996771.2699999996</v>
          </cell>
        </row>
        <row r="98">
          <cell r="J98">
            <v>315290.11</v>
          </cell>
        </row>
        <row r="132">
          <cell r="J132">
            <v>10100</v>
          </cell>
        </row>
        <row r="145">
          <cell r="J145">
            <v>313178.26</v>
          </cell>
        </row>
        <row r="190">
          <cell r="J190">
            <v>3377903.47</v>
          </cell>
        </row>
        <row r="239">
          <cell r="J239">
            <v>8186834.6200000001</v>
          </cell>
        </row>
        <row r="242">
          <cell r="J242">
            <v>2175685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5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7" Type="http://schemas.openxmlformats.org/officeDocument/2006/relationships/image" Target="../media/image6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6.xml"/><Relationship Id="rId5" Type="http://schemas.openxmlformats.org/officeDocument/2006/relationships/image" Target="../media/image5.emf"/><Relationship Id="rId4" Type="http://schemas.openxmlformats.org/officeDocument/2006/relationships/control" Target="../activeX/activeX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omments" Target="../comments5.xml"/><Relationship Id="rId3" Type="http://schemas.openxmlformats.org/officeDocument/2006/relationships/vmlDrawing" Target="../drawings/vmlDrawing8.vml"/><Relationship Id="rId7" Type="http://schemas.openxmlformats.org/officeDocument/2006/relationships/image" Target="../media/image8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8.xml"/><Relationship Id="rId5" Type="http://schemas.openxmlformats.org/officeDocument/2006/relationships/image" Target="../media/image7.emf"/><Relationship Id="rId4" Type="http://schemas.openxmlformats.org/officeDocument/2006/relationships/control" Target="../activeX/activeX7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9.vm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comments" Target="../comments7.xml"/><Relationship Id="rId3" Type="http://schemas.openxmlformats.org/officeDocument/2006/relationships/vmlDrawing" Target="../drawings/vmlDrawing10.vml"/><Relationship Id="rId7" Type="http://schemas.openxmlformats.org/officeDocument/2006/relationships/image" Target="../media/image10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10.xml"/><Relationship Id="rId5" Type="http://schemas.openxmlformats.org/officeDocument/2006/relationships/image" Target="../media/image9.emf"/><Relationship Id="rId4" Type="http://schemas.openxmlformats.org/officeDocument/2006/relationships/control" Target="../activeX/activeX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hyperlink" Target="mailto:abhiramit@cisintl.com" TargetMode="External"/><Relationship Id="rId3" Type="http://schemas.openxmlformats.org/officeDocument/2006/relationships/hyperlink" Target="mailto:abhiramit@cisintl.com" TargetMode="External"/><Relationship Id="rId7" Type="http://schemas.openxmlformats.org/officeDocument/2006/relationships/hyperlink" Target="http://www.etropicalfish.com/" TargetMode="External"/><Relationship Id="rId12" Type="http://schemas.openxmlformats.org/officeDocument/2006/relationships/printerSettings" Target="../printerSettings/printerSettings11.bin"/><Relationship Id="rId2" Type="http://schemas.openxmlformats.org/officeDocument/2006/relationships/hyperlink" Target="http://www.etropicalfish.com/" TargetMode="External"/><Relationship Id="rId1" Type="http://schemas.openxmlformats.org/officeDocument/2006/relationships/hyperlink" Target="mailto:Sam@etropicalfish.Com" TargetMode="External"/><Relationship Id="rId6" Type="http://schemas.openxmlformats.org/officeDocument/2006/relationships/hyperlink" Target="mailto:Sam@etropicalfish.Com" TargetMode="External"/><Relationship Id="rId11" Type="http://schemas.openxmlformats.org/officeDocument/2006/relationships/hyperlink" Target="mailto:Sam@etropicalfish.Com" TargetMode="External"/><Relationship Id="rId5" Type="http://schemas.openxmlformats.org/officeDocument/2006/relationships/hyperlink" Target="mailto:sam@etropicalfish.com" TargetMode="External"/><Relationship Id="rId10" Type="http://schemas.openxmlformats.org/officeDocument/2006/relationships/hyperlink" Target="mailto:abhiramit@cisintl.com" TargetMode="External"/><Relationship Id="rId4" Type="http://schemas.openxmlformats.org/officeDocument/2006/relationships/hyperlink" Target="mailto:indraniw@cisintl.com" TargetMode="External"/><Relationship Id="rId9" Type="http://schemas.openxmlformats.org/officeDocument/2006/relationships/hyperlink" Target="mailto:RGAWLIK@ca.rr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image" Target="../media/image4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4.xml"/><Relationship Id="rId5" Type="http://schemas.openxmlformats.org/officeDocument/2006/relationships/image" Target="../media/image3.emf"/><Relationship Id="rId4" Type="http://schemas.openxmlformats.org/officeDocument/2006/relationships/control" Target="../activeX/activeX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G39" sqref="G39"/>
    </sheetView>
  </sheetViews>
  <sheetFormatPr defaultRowHeight="15" x14ac:dyDescent="0.25"/>
  <cols>
    <col min="1" max="1" width="26" customWidth="1"/>
    <col min="2" max="2" width="12.5703125" customWidth="1"/>
    <col min="3" max="3" width="10" customWidth="1"/>
    <col min="4" max="4" width="7" customWidth="1"/>
    <col min="5" max="5" width="6.5703125" customWidth="1"/>
    <col min="6" max="6" width="5.7109375" customWidth="1"/>
    <col min="7" max="7" width="6.42578125" customWidth="1"/>
    <col min="8" max="8" width="5.7109375" customWidth="1"/>
    <col min="9" max="9" width="6.7109375" customWidth="1"/>
    <col min="10" max="10" width="5" customWidth="1"/>
    <col min="11" max="11" width="6.7109375" customWidth="1"/>
    <col min="12" max="12" width="5" customWidth="1"/>
    <col min="13" max="13" width="6.28515625" customWidth="1"/>
    <col min="14" max="14" width="5.5703125" customWidth="1"/>
    <col min="15" max="15" width="6" customWidth="1"/>
    <col min="16" max="16" width="5.140625" customWidth="1"/>
    <col min="17" max="17" width="9" customWidth="1"/>
    <col min="18" max="18" width="10.28515625" bestFit="1" customWidth="1"/>
    <col min="20" max="20" width="20.7109375" bestFit="1" customWidth="1"/>
  </cols>
  <sheetData>
    <row r="1" spans="1:17" ht="31.5" x14ac:dyDescent="0.5">
      <c r="A1" s="3" t="s">
        <v>14</v>
      </c>
    </row>
    <row r="2" spans="1:17" ht="23.25" x14ac:dyDescent="0.35">
      <c r="A2" s="1" t="s">
        <v>34</v>
      </c>
    </row>
    <row r="3" spans="1:17" ht="18.75" x14ac:dyDescent="0.3">
      <c r="A3" s="2" t="s">
        <v>35</v>
      </c>
      <c r="B3" s="4"/>
    </row>
    <row r="4" spans="1:17" s="6" customFormat="1" ht="13.5" thickBot="1" x14ac:dyDescent="0.25">
      <c r="A4" s="5"/>
      <c r="B4" s="7">
        <v>2012</v>
      </c>
      <c r="C4" s="334" t="s">
        <v>26</v>
      </c>
      <c r="D4" s="334"/>
      <c r="E4" s="5"/>
      <c r="Q4" s="5">
        <v>2014</v>
      </c>
    </row>
    <row r="5" spans="1:17" s="6" customFormat="1" ht="12.75" x14ac:dyDescent="0.2">
      <c r="A5" s="19"/>
      <c r="B5" s="58" t="s">
        <v>5</v>
      </c>
      <c r="C5" s="21" t="s">
        <v>5</v>
      </c>
      <c r="D5" s="9" t="s">
        <v>12</v>
      </c>
      <c r="E5" s="10" t="s">
        <v>13</v>
      </c>
      <c r="F5" s="11" t="s">
        <v>15</v>
      </c>
      <c r="G5" s="11" t="s">
        <v>16</v>
      </c>
      <c r="H5" s="11" t="s">
        <v>17</v>
      </c>
      <c r="I5" s="11" t="s">
        <v>18</v>
      </c>
      <c r="J5" s="11" t="s">
        <v>19</v>
      </c>
      <c r="K5" s="11" t="s">
        <v>20</v>
      </c>
      <c r="L5" s="11" t="s">
        <v>21</v>
      </c>
      <c r="M5" s="11" t="s">
        <v>22</v>
      </c>
      <c r="N5" s="11" t="s">
        <v>23</v>
      </c>
      <c r="O5" s="11" t="s">
        <v>24</v>
      </c>
      <c r="P5" s="8" t="s">
        <v>25</v>
      </c>
      <c r="Q5" s="21" t="s">
        <v>30</v>
      </c>
    </row>
    <row r="6" spans="1:17" s="6" customFormat="1" ht="12.75" x14ac:dyDescent="0.2">
      <c r="A6" s="20" t="s">
        <v>6</v>
      </c>
      <c r="B6" s="59">
        <f>SUM(Summary!C8)</f>
        <v>1472337.1912225706</v>
      </c>
      <c r="C6" s="65">
        <f>SUM(Summary!E8)</f>
        <v>1847390.7080133427</v>
      </c>
      <c r="D6" s="12"/>
      <c r="E6" s="13"/>
      <c r="F6" s="11"/>
      <c r="G6" s="11"/>
      <c r="H6" s="11"/>
      <c r="I6" s="11"/>
      <c r="J6" s="11"/>
      <c r="K6" s="11"/>
      <c r="L6" s="11"/>
      <c r="M6" s="11"/>
      <c r="N6" s="11"/>
      <c r="O6" s="11"/>
      <c r="P6" s="8"/>
      <c r="Q6" s="53">
        <f>SUM(Summary!F8)</f>
        <v>2300000</v>
      </c>
    </row>
    <row r="7" spans="1:17" s="6" customFormat="1" ht="12.75" x14ac:dyDescent="0.2">
      <c r="A7" s="20"/>
      <c r="B7" s="59"/>
      <c r="C7" s="65"/>
      <c r="D7" s="12"/>
      <c r="E7" s="13"/>
      <c r="F7" s="11"/>
      <c r="G7" s="11"/>
      <c r="H7" s="11"/>
      <c r="I7" s="11"/>
      <c r="J7" s="11"/>
      <c r="K7" s="11"/>
      <c r="L7" s="11"/>
      <c r="M7" s="11"/>
      <c r="N7" s="11"/>
      <c r="O7" s="11"/>
      <c r="P7" s="8"/>
      <c r="Q7" s="22"/>
    </row>
    <row r="8" spans="1:17" s="6" customFormat="1" ht="12.75" x14ac:dyDescent="0.2">
      <c r="A8" s="20" t="s">
        <v>27</v>
      </c>
      <c r="B8" s="60">
        <f>SUM(Summary!C10)</f>
        <v>290288.73017241381</v>
      </c>
      <c r="C8" s="66">
        <f>SUM(Summary!E10)</f>
        <v>430042.18353890313</v>
      </c>
      <c r="D8" s="9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8"/>
      <c r="Q8" s="54">
        <f>SUM(Summary!F10)</f>
        <v>535402.18528171431</v>
      </c>
    </row>
    <row r="9" spans="1:17" s="6" customFormat="1" ht="12.75" x14ac:dyDescent="0.2">
      <c r="A9" s="20" t="s">
        <v>28</v>
      </c>
      <c r="B9" s="61">
        <f>SUM(B8/B6)</f>
        <v>0.19716185388984811</v>
      </c>
      <c r="C9" s="67">
        <f>SUM(C8/C6)</f>
        <v>0.23278355881813667</v>
      </c>
      <c r="D9" s="14"/>
      <c r="E9" s="15"/>
      <c r="F9" s="11"/>
      <c r="G9" s="11"/>
      <c r="H9" s="11"/>
      <c r="I9" s="11"/>
      <c r="J9" s="11"/>
      <c r="K9" s="11"/>
      <c r="L9" s="11"/>
      <c r="M9" s="11"/>
      <c r="N9" s="11"/>
      <c r="O9" s="11"/>
      <c r="P9" s="8"/>
      <c r="Q9" s="55">
        <f>SUM(Q8/Q6)</f>
        <v>0.23278355881813664</v>
      </c>
    </row>
    <row r="10" spans="1:17" s="6" customFormat="1" ht="12.75" x14ac:dyDescent="0.2">
      <c r="A10" s="20" t="s">
        <v>31</v>
      </c>
      <c r="B10" s="60">
        <f>SUM(Summary!C12)</f>
        <v>285148.96316614421</v>
      </c>
      <c r="C10" s="66">
        <f>SUM(Summary!E12)</f>
        <v>400278.59716080991</v>
      </c>
      <c r="D10" s="9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8"/>
      <c r="Q10" s="54">
        <f>SUM(Summary!F12)</f>
        <v>498346.54330372083</v>
      </c>
    </row>
    <row r="11" spans="1:17" s="6" customFormat="1" ht="12.75" x14ac:dyDescent="0.2">
      <c r="A11" s="20" t="s">
        <v>0</v>
      </c>
      <c r="B11" s="61">
        <f>SUM(B10/B6)</f>
        <v>0.19367096400612402</v>
      </c>
      <c r="C11" s="67">
        <f>SUM(C10/C6)</f>
        <v>0.21667241013205255</v>
      </c>
      <c r="D11" s="9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8"/>
      <c r="Q11" s="55">
        <f>SUM(Q10/Q6)</f>
        <v>0.21667241013205255</v>
      </c>
    </row>
    <row r="12" spans="1:17" s="6" customFormat="1" ht="12.75" x14ac:dyDescent="0.2">
      <c r="A12" s="20" t="s">
        <v>32</v>
      </c>
      <c r="B12" s="62">
        <f>SUM(B8+B10)</f>
        <v>575437.69333855808</v>
      </c>
      <c r="C12" s="68">
        <f>SUM(C8+C10)</f>
        <v>830320.78069971304</v>
      </c>
      <c r="D12" s="9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8"/>
      <c r="Q12" s="56">
        <f>SUM(Q8+Q10)</f>
        <v>1033748.7285854351</v>
      </c>
    </row>
    <row r="13" spans="1:17" s="6" customFormat="1" ht="12.75" x14ac:dyDescent="0.2">
      <c r="A13" s="20" t="s">
        <v>29</v>
      </c>
      <c r="B13" s="61">
        <f>SUM(B12/B6)</f>
        <v>0.39083281789597218</v>
      </c>
      <c r="C13" s="67">
        <f>SUM(C12/C6)</f>
        <v>0.44945596895018924</v>
      </c>
      <c r="D13" s="9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8"/>
      <c r="Q13" s="55">
        <f>SUM(Q12/Q6)</f>
        <v>0.44945596895018919</v>
      </c>
    </row>
    <row r="14" spans="1:17" s="6" customFormat="1" ht="12.75" x14ac:dyDescent="0.2">
      <c r="A14" s="20"/>
      <c r="B14" s="63"/>
      <c r="C14" s="69"/>
      <c r="D14" s="9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8"/>
      <c r="Q14" s="22"/>
    </row>
    <row r="15" spans="1:17" s="6" customFormat="1" ht="12.75" x14ac:dyDescent="0.2">
      <c r="A15" s="20" t="s">
        <v>10</v>
      </c>
      <c r="B15" s="60">
        <f>SUM(Summary!C17)</f>
        <v>37013.351175548596</v>
      </c>
      <c r="C15" s="66">
        <f>SUM(Summary!E17)</f>
        <v>63090.415561244277</v>
      </c>
      <c r="D15" s="12"/>
      <c r="E15" s="15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8"/>
      <c r="Q15" s="54">
        <f>SUM(Summary!F17)</f>
        <v>78547.51848725538</v>
      </c>
    </row>
    <row r="16" spans="1:17" s="6" customFormat="1" ht="12.75" x14ac:dyDescent="0.2">
      <c r="A16" s="20" t="s">
        <v>1</v>
      </c>
      <c r="B16" s="61">
        <f>SUM(B15/B6)</f>
        <v>2.5139181021987343E-2</v>
      </c>
      <c r="C16" s="74">
        <f>SUM(C15/C6)</f>
        <v>3.4151094994458862E-2</v>
      </c>
      <c r="D16" s="14"/>
      <c r="E16" s="16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8"/>
      <c r="Q16" s="75">
        <f>SUM(Q15/Q6)</f>
        <v>3.4151094994458862E-2</v>
      </c>
    </row>
    <row r="17" spans="1:17" s="6" customFormat="1" ht="12.75" x14ac:dyDescent="0.2">
      <c r="A17" s="20" t="s">
        <v>11</v>
      </c>
      <c r="B17" s="60">
        <f>SUM(Summary!C19)</f>
        <v>222059.97711598745</v>
      </c>
      <c r="C17" s="66">
        <f>SUM(Summary!E19)</f>
        <v>327119.48933364369</v>
      </c>
      <c r="D17" s="12"/>
      <c r="E17" s="15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8"/>
      <c r="Q17" s="54">
        <f>SUM(Summary!F19)</f>
        <v>407263.51074726012</v>
      </c>
    </row>
    <row r="18" spans="1:17" s="6" customFormat="1" ht="12.75" x14ac:dyDescent="0.2">
      <c r="A18" s="20" t="s">
        <v>2</v>
      </c>
      <c r="B18" s="61">
        <f>SUM(B17/B6)</f>
        <v>0.15082141403464625</v>
      </c>
      <c r="C18" s="67">
        <f>SUM(C17/C6)</f>
        <v>0.17707109162924353</v>
      </c>
      <c r="D18" s="14"/>
      <c r="E18" s="16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8"/>
      <c r="Q18" s="55">
        <f>SUM(Q17/Q6)</f>
        <v>0.17707109162924353</v>
      </c>
    </row>
    <row r="19" spans="1:17" s="6" customFormat="1" ht="12.75" x14ac:dyDescent="0.2">
      <c r="A19" s="20" t="s">
        <v>33</v>
      </c>
      <c r="B19" s="62">
        <f>SUM(B15+B17)</f>
        <v>259073.32829153605</v>
      </c>
      <c r="C19" s="68">
        <f>SUM(C15+C17)</f>
        <v>390209.90489488799</v>
      </c>
      <c r="D19" s="14"/>
      <c r="E19" s="16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8"/>
      <c r="Q19" s="56">
        <f>SUM(Q15+Q17)</f>
        <v>485811.0292345155</v>
      </c>
    </row>
    <row r="20" spans="1:17" s="6" customFormat="1" ht="12.75" x14ac:dyDescent="0.2">
      <c r="A20" s="20" t="s">
        <v>3</v>
      </c>
      <c r="B20" s="61">
        <f>SUM(B19/B6)</f>
        <v>0.17596059505663358</v>
      </c>
      <c r="C20" s="67">
        <f>SUM(C19/C6)</f>
        <v>0.2112221866237024</v>
      </c>
      <c r="D20" s="14"/>
      <c r="E20" s="16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8"/>
      <c r="Q20" s="55">
        <f>SUM(Q19/Q6)</f>
        <v>0.2112221866237024</v>
      </c>
    </row>
    <row r="21" spans="1:17" s="6" customFormat="1" ht="12.75" x14ac:dyDescent="0.2">
      <c r="A21" s="20"/>
      <c r="B21" s="63"/>
      <c r="C21" s="69"/>
      <c r="D21" s="9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8"/>
      <c r="Q21" s="22"/>
    </row>
    <row r="22" spans="1:17" s="6" customFormat="1" ht="12.75" x14ac:dyDescent="0.2">
      <c r="A22" s="20" t="s">
        <v>4</v>
      </c>
      <c r="B22" s="60">
        <f>SUM(Summary!C24)</f>
        <v>242486.47876175548</v>
      </c>
      <c r="C22" s="66">
        <f>SUM(Summary!E24)</f>
        <v>327601.06314482971</v>
      </c>
      <c r="D22" s="12"/>
      <c r="E22" s="15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8"/>
      <c r="Q22" s="54">
        <f>SUM(Summary!F24)</f>
        <v>407863.06976903247</v>
      </c>
    </row>
    <row r="23" spans="1:17" s="6" customFormat="1" ht="12.75" x14ac:dyDescent="0.2">
      <c r="A23" s="20" t="s">
        <v>7</v>
      </c>
      <c r="B23" s="61">
        <f>SUM(B22/B6)</f>
        <v>0.16469493551297465</v>
      </c>
      <c r="C23" s="67">
        <f>SUM(C22/C6)</f>
        <v>0.17733176946479673</v>
      </c>
      <c r="D23" s="17"/>
      <c r="E23" s="18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8"/>
      <c r="Q23" s="55">
        <f>SUM(Q22/Q6)</f>
        <v>0.17733176946479673</v>
      </c>
    </row>
    <row r="24" spans="1:17" s="6" customFormat="1" ht="12.75" x14ac:dyDescent="0.2">
      <c r="A24" s="20"/>
      <c r="B24" s="63"/>
      <c r="C24" s="69"/>
      <c r="D24" s="9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8"/>
      <c r="Q24" s="22"/>
    </row>
    <row r="25" spans="1:17" s="6" customFormat="1" ht="12.75" x14ac:dyDescent="0.2">
      <c r="A25" s="20" t="s">
        <v>8</v>
      </c>
      <c r="B25" s="60">
        <f>SUM(Summary!C27)</f>
        <v>397835.20626959251</v>
      </c>
      <c r="C25" s="66">
        <f>SUM(Summary!E27)</f>
        <v>299251.84353424871</v>
      </c>
      <c r="D25" s="12"/>
      <c r="E25" s="15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8"/>
      <c r="Q25" s="54">
        <f>SUM(Summary!F27)</f>
        <v>372568.31332064973</v>
      </c>
    </row>
    <row r="26" spans="1:17" s="6" customFormat="1" ht="13.5" thickBot="1" x14ac:dyDescent="0.25">
      <c r="A26" s="20" t="s">
        <v>9</v>
      </c>
      <c r="B26" s="64">
        <f>SUM(B25/B6)</f>
        <v>0.27020658626387473</v>
      </c>
      <c r="C26" s="70">
        <f>SUM(C25/C6)</f>
        <v>0.16198622318289119</v>
      </c>
      <c r="D26" s="17"/>
      <c r="E26" s="18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8"/>
      <c r="Q26" s="57">
        <f>SUM(Q25/Q6)</f>
        <v>0.16198622318289119</v>
      </c>
    </row>
    <row r="28" spans="1:17" x14ac:dyDescent="0.25">
      <c r="B28" s="49">
        <f>SUM(B6-B12-B19-B22)</f>
        <v>395339.69083072094</v>
      </c>
      <c r="C28" s="49">
        <f>SUM(C6-C12-C19-C22)</f>
        <v>299258.9592739119</v>
      </c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>
        <f>SUM(Q6-Q12-Q19-Q22)</f>
        <v>372577.17241101695</v>
      </c>
    </row>
  </sheetData>
  <mergeCells count="1">
    <mergeCell ref="C4:D4"/>
  </mergeCells>
  <pageMargins left="0.7" right="0.7" top="0.75" bottom="0.75" header="0.3" footer="0.3"/>
  <pageSetup orientation="landscape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499984740745262"/>
  </sheetPr>
  <dimension ref="A1:L75"/>
  <sheetViews>
    <sheetView workbookViewId="0">
      <selection activeCell="I18" sqref="I18"/>
    </sheetView>
  </sheetViews>
  <sheetFormatPr defaultRowHeight="15" x14ac:dyDescent="0.25"/>
  <cols>
    <col min="1" max="6" width="9.140625" style="23"/>
    <col min="7" max="7" width="26.85546875" style="23" bestFit="1" customWidth="1"/>
    <col min="8" max="8" width="19.85546875" style="23" hidden="1" customWidth="1"/>
    <col min="9" max="9" width="10.85546875" style="23" bestFit="1" customWidth="1"/>
    <col min="10" max="10" width="9.140625" style="23"/>
    <col min="11" max="11" width="25.7109375" style="23" customWidth="1"/>
    <col min="12" max="12" width="15.7109375" style="23" customWidth="1"/>
    <col min="13" max="16384" width="9.140625" style="23"/>
  </cols>
  <sheetData>
    <row r="1" spans="1:12" ht="15.75" thickBot="1" x14ac:dyDescent="0.3">
      <c r="A1" s="31"/>
      <c r="B1" s="31"/>
      <c r="C1" s="31"/>
      <c r="D1" s="31"/>
      <c r="E1" s="31"/>
      <c r="F1" s="31"/>
      <c r="G1" s="31"/>
      <c r="H1" s="31"/>
      <c r="I1" s="32" t="s">
        <v>847</v>
      </c>
    </row>
    <row r="2" spans="1:12" ht="15.75" thickTop="1" x14ac:dyDescent="0.25">
      <c r="A2" s="27"/>
      <c r="B2" s="27" t="s">
        <v>53</v>
      </c>
      <c r="C2" s="27"/>
      <c r="D2" s="27"/>
      <c r="E2" s="27"/>
      <c r="F2" s="27"/>
      <c r="G2" s="27"/>
      <c r="H2" s="27"/>
      <c r="I2" s="28"/>
      <c r="K2" s="226" t="s">
        <v>622</v>
      </c>
      <c r="L2" s="227" t="s">
        <v>621</v>
      </c>
    </row>
    <row r="3" spans="1:12" x14ac:dyDescent="0.25">
      <c r="A3" s="27"/>
      <c r="B3" s="27"/>
      <c r="C3" s="27"/>
      <c r="D3" s="27" t="s">
        <v>54</v>
      </c>
      <c r="E3" s="27"/>
      <c r="F3" s="27"/>
      <c r="G3" s="27"/>
      <c r="H3" s="27"/>
      <c r="I3" s="28"/>
      <c r="K3" s="164" t="s">
        <v>812</v>
      </c>
      <c r="L3" s="295">
        <f>I40</f>
        <v>6159183.3499999996</v>
      </c>
    </row>
    <row r="4" spans="1:12" x14ac:dyDescent="0.25">
      <c r="A4" s="27"/>
      <c r="B4" s="27"/>
      <c r="C4" s="27"/>
      <c r="D4" s="27"/>
      <c r="E4" s="27" t="s">
        <v>751</v>
      </c>
      <c r="F4" s="27"/>
      <c r="G4" s="27"/>
      <c r="H4" s="27"/>
      <c r="I4" s="28"/>
      <c r="K4" s="164" t="s">
        <v>814</v>
      </c>
      <c r="L4" s="296"/>
    </row>
    <row r="5" spans="1:12" x14ac:dyDescent="0.25">
      <c r="A5" s="27"/>
      <c r="B5" s="27"/>
      <c r="C5" s="27"/>
      <c r="D5" s="27"/>
      <c r="E5" s="27"/>
      <c r="F5" s="27" t="s">
        <v>752</v>
      </c>
      <c r="G5" s="27"/>
      <c r="H5" s="27"/>
      <c r="I5" s="28">
        <v>143880</v>
      </c>
      <c r="K5" s="164" t="s">
        <v>815</v>
      </c>
      <c r="L5" s="296"/>
    </row>
    <row r="6" spans="1:12" x14ac:dyDescent="0.25">
      <c r="A6" s="27"/>
      <c r="B6" s="27"/>
      <c r="C6" s="27"/>
      <c r="D6" s="27"/>
      <c r="E6" s="27"/>
      <c r="F6" s="27" t="s">
        <v>753</v>
      </c>
      <c r="G6" s="27"/>
      <c r="H6" s="27"/>
      <c r="I6" s="28">
        <v>1018500</v>
      </c>
      <c r="K6" s="297" t="s">
        <v>25</v>
      </c>
      <c r="L6" s="298">
        <f>SUM(L3:L5)</f>
        <v>6159183.3499999996</v>
      </c>
    </row>
    <row r="7" spans="1:12" x14ac:dyDescent="0.25">
      <c r="A7" s="27"/>
      <c r="B7" s="27"/>
      <c r="C7" s="27"/>
      <c r="D7" s="27"/>
      <c r="E7" s="27"/>
      <c r="F7" s="27" t="s">
        <v>754</v>
      </c>
      <c r="G7" s="27"/>
      <c r="H7" s="27"/>
      <c r="I7" s="28">
        <f>863280+2175000</f>
        <v>3038280</v>
      </c>
      <c r="K7" s="299"/>
      <c r="L7" s="300"/>
    </row>
    <row r="8" spans="1:12" x14ac:dyDescent="0.25">
      <c r="A8" s="27"/>
      <c r="B8" s="27"/>
      <c r="C8" s="27"/>
      <c r="D8" s="27"/>
      <c r="E8" s="27"/>
      <c r="F8" s="27" t="s">
        <v>755</v>
      </c>
      <c r="G8" s="27"/>
      <c r="H8" s="27"/>
      <c r="I8" s="28">
        <v>5672100</v>
      </c>
      <c r="K8" s="301" t="s">
        <v>743</v>
      </c>
      <c r="L8" s="302" t="s">
        <v>621</v>
      </c>
    </row>
    <row r="9" spans="1:12" ht="15.75" thickBot="1" x14ac:dyDescent="0.3">
      <c r="A9" s="27"/>
      <c r="B9" s="27"/>
      <c r="C9" s="27"/>
      <c r="D9" s="27"/>
      <c r="E9" s="27"/>
      <c r="F9" s="27" t="s">
        <v>756</v>
      </c>
      <c r="G9" s="27"/>
      <c r="H9" s="27"/>
      <c r="I9" s="30"/>
      <c r="K9" s="164" t="s">
        <v>813</v>
      </c>
      <c r="L9" s="186">
        <f>I72-L3</f>
        <v>1759181.75</v>
      </c>
    </row>
    <row r="10" spans="1:12" ht="15.75" thickBot="1" x14ac:dyDescent="0.3">
      <c r="A10" s="27"/>
      <c r="B10" s="27"/>
      <c r="C10" s="27"/>
      <c r="D10" s="27"/>
      <c r="E10" s="27" t="s">
        <v>757</v>
      </c>
      <c r="F10" s="27"/>
      <c r="G10" s="27"/>
      <c r="H10" s="27"/>
      <c r="I10" s="34">
        <f>SUM(I5:I9)</f>
        <v>9872760</v>
      </c>
      <c r="K10" s="303" t="s">
        <v>25</v>
      </c>
      <c r="L10" s="304">
        <f>SUM(L9:L9)</f>
        <v>1759181.75</v>
      </c>
    </row>
    <row r="11" spans="1:12" ht="15.75" thickBot="1" x14ac:dyDescent="0.3">
      <c r="A11" s="27"/>
      <c r="B11" s="27"/>
      <c r="C11" s="27"/>
      <c r="D11" s="27" t="s">
        <v>88</v>
      </c>
      <c r="E11" s="27"/>
      <c r="F11" s="27"/>
      <c r="G11" s="27"/>
      <c r="H11" s="27"/>
      <c r="I11" s="33">
        <f>I10</f>
        <v>9872760</v>
      </c>
    </row>
    <row r="12" spans="1:12" x14ac:dyDescent="0.25">
      <c r="A12" s="27"/>
      <c r="B12" s="27"/>
      <c r="C12" s="27" t="s">
        <v>147</v>
      </c>
      <c r="D12" s="27"/>
      <c r="E12" s="27"/>
      <c r="F12" s="27"/>
      <c r="G12" s="27"/>
      <c r="H12" s="27"/>
      <c r="I12" s="28">
        <f>I10</f>
        <v>9872760</v>
      </c>
    </row>
    <row r="13" spans="1:12" x14ac:dyDescent="0.25">
      <c r="A13" s="27"/>
      <c r="B13" s="27"/>
      <c r="C13" s="27"/>
      <c r="D13" s="27" t="s">
        <v>148</v>
      </c>
      <c r="E13" s="27"/>
      <c r="F13" s="27"/>
      <c r="G13" s="27"/>
      <c r="H13" s="27"/>
      <c r="I13" s="28"/>
    </row>
    <row r="14" spans="1:12" x14ac:dyDescent="0.25">
      <c r="A14" s="27"/>
      <c r="B14" s="27"/>
      <c r="C14" s="27"/>
      <c r="D14" s="27"/>
      <c r="E14" s="27" t="s">
        <v>758</v>
      </c>
      <c r="F14" s="27"/>
      <c r="G14" s="27"/>
      <c r="H14" s="27"/>
      <c r="I14" s="28"/>
    </row>
    <row r="15" spans="1:12" x14ac:dyDescent="0.25">
      <c r="A15" s="27"/>
      <c r="B15" s="27"/>
      <c r="C15" s="27"/>
      <c r="D15" s="27"/>
      <c r="E15" s="27"/>
      <c r="F15" s="27" t="s">
        <v>759</v>
      </c>
      <c r="G15" s="27"/>
      <c r="H15" s="27"/>
      <c r="I15" s="28"/>
    </row>
    <row r="16" spans="1:12" x14ac:dyDescent="0.25">
      <c r="A16" s="27"/>
      <c r="B16" s="27"/>
      <c r="C16" s="27"/>
      <c r="D16" s="27"/>
      <c r="E16" s="27"/>
      <c r="F16" s="27" t="s">
        <v>762</v>
      </c>
      <c r="H16" s="27"/>
      <c r="I16" s="28"/>
    </row>
    <row r="17" spans="1:9" ht="15.75" thickBot="1" x14ac:dyDescent="0.3">
      <c r="A17" s="27"/>
      <c r="B17" s="27"/>
      <c r="C17" s="27"/>
      <c r="D17" s="27"/>
      <c r="E17" s="27"/>
      <c r="F17" s="27"/>
      <c r="G17" s="27" t="s">
        <v>763</v>
      </c>
      <c r="I17" s="29">
        <v>10750</v>
      </c>
    </row>
    <row r="18" spans="1:9" x14ac:dyDescent="0.25">
      <c r="A18" s="27"/>
      <c r="B18" s="27"/>
      <c r="C18" s="27"/>
      <c r="D18" s="27"/>
      <c r="E18" s="27"/>
      <c r="F18" s="27"/>
      <c r="G18" s="27" t="s">
        <v>766</v>
      </c>
      <c r="H18" s="27"/>
      <c r="I18" s="28">
        <v>10750</v>
      </c>
    </row>
    <row r="19" spans="1:9" x14ac:dyDescent="0.25">
      <c r="A19" s="27"/>
      <c r="B19" s="27"/>
      <c r="C19" s="27"/>
      <c r="D19" s="27"/>
      <c r="E19" s="27"/>
      <c r="F19" s="27"/>
      <c r="G19" s="27" t="s">
        <v>772</v>
      </c>
      <c r="H19" s="27"/>
      <c r="I19" s="28">
        <v>17398</v>
      </c>
    </row>
    <row r="20" spans="1:9" x14ac:dyDescent="0.25">
      <c r="A20" s="27"/>
      <c r="B20" s="27"/>
      <c r="C20" s="27"/>
      <c r="D20" s="27"/>
      <c r="E20" s="27"/>
      <c r="F20" s="27"/>
      <c r="G20" s="27" t="s">
        <v>848</v>
      </c>
      <c r="H20" s="27"/>
      <c r="I20" s="28">
        <v>334007</v>
      </c>
    </row>
    <row r="21" spans="1:9" x14ac:dyDescent="0.25">
      <c r="A21" s="27"/>
      <c r="B21" s="27"/>
      <c r="C21" s="27"/>
      <c r="D21" s="27"/>
      <c r="E21" s="27"/>
      <c r="F21" s="27"/>
      <c r="G21" s="27" t="s">
        <v>831</v>
      </c>
      <c r="H21" s="27"/>
      <c r="I21" s="28">
        <v>425000</v>
      </c>
    </row>
    <row r="22" spans="1:9" x14ac:dyDescent="0.25">
      <c r="A22" s="27"/>
      <c r="B22" s="27"/>
      <c r="C22" s="27"/>
      <c r="D22" s="27"/>
      <c r="E22" s="27"/>
      <c r="F22" s="27"/>
      <c r="G22" s="27" t="s">
        <v>428</v>
      </c>
      <c r="H22" s="27"/>
      <c r="I22" s="28"/>
    </row>
    <row r="23" spans="1:9" x14ac:dyDescent="0.25">
      <c r="A23" s="27"/>
      <c r="B23" s="27"/>
      <c r="C23" s="27"/>
      <c r="D23" s="27"/>
      <c r="E23" s="27"/>
      <c r="F23" s="27"/>
      <c r="G23" s="27" t="s">
        <v>429</v>
      </c>
      <c r="I23" s="28">
        <v>268750</v>
      </c>
    </row>
    <row r="24" spans="1:9" x14ac:dyDescent="0.25">
      <c r="A24" s="27"/>
      <c r="B24" s="27"/>
      <c r="C24" s="27"/>
      <c r="D24" s="27"/>
      <c r="E24" s="27"/>
      <c r="F24" s="27"/>
      <c r="G24" s="27" t="s">
        <v>774</v>
      </c>
      <c r="I24" s="28">
        <v>152000</v>
      </c>
    </row>
    <row r="25" spans="1:9" x14ac:dyDescent="0.25">
      <c r="A25" s="27"/>
      <c r="B25" s="27"/>
      <c r="C25" s="27"/>
      <c r="D25" s="27"/>
      <c r="E25" s="27"/>
      <c r="F25" s="27"/>
      <c r="G25" s="27" t="s">
        <v>832</v>
      </c>
      <c r="I25" s="28">
        <v>350000</v>
      </c>
    </row>
    <row r="26" spans="1:9" x14ac:dyDescent="0.25">
      <c r="A26" s="27"/>
      <c r="B26" s="27"/>
      <c r="C26" s="27"/>
      <c r="D26" s="27"/>
      <c r="E26" s="27"/>
      <c r="F26" s="27"/>
      <c r="G26" s="27" t="s">
        <v>734</v>
      </c>
      <c r="I26" s="28">
        <v>264250</v>
      </c>
    </row>
    <row r="27" spans="1:9" x14ac:dyDescent="0.25">
      <c r="A27" s="27"/>
      <c r="B27" s="27"/>
      <c r="C27" s="27"/>
      <c r="D27" s="27"/>
      <c r="E27" s="27"/>
      <c r="F27" s="27"/>
      <c r="G27" s="27" t="s">
        <v>775</v>
      </c>
      <c r="I27" s="28">
        <v>183125</v>
      </c>
    </row>
    <row r="28" spans="1:9" x14ac:dyDescent="0.25">
      <c r="A28" s="27"/>
      <c r="B28" s="27"/>
      <c r="C28" s="27"/>
      <c r="D28" s="27"/>
      <c r="E28" s="27"/>
      <c r="F28" s="27"/>
      <c r="G28" s="27" t="s">
        <v>435</v>
      </c>
      <c r="I28" s="28">
        <v>334450</v>
      </c>
    </row>
    <row r="29" spans="1:9" x14ac:dyDescent="0.25">
      <c r="A29" s="27"/>
      <c r="B29" s="27"/>
      <c r="C29" s="27"/>
      <c r="D29" s="27"/>
      <c r="E29" s="27"/>
      <c r="F29" s="27"/>
      <c r="G29" s="27" t="s">
        <v>441</v>
      </c>
      <c r="I29" s="28">
        <v>261250</v>
      </c>
    </row>
    <row r="30" spans="1:9" x14ac:dyDescent="0.25">
      <c r="A30" s="27"/>
      <c r="B30" s="27"/>
      <c r="C30" s="27"/>
      <c r="D30" s="27"/>
      <c r="E30" s="27"/>
      <c r="F30" s="27"/>
      <c r="G30" s="27" t="s">
        <v>447</v>
      </c>
      <c r="I30" s="28">
        <v>199791.67</v>
      </c>
    </row>
    <row r="31" spans="1:9" x14ac:dyDescent="0.25">
      <c r="A31" s="27"/>
      <c r="B31" s="27"/>
      <c r="C31" s="27"/>
      <c r="D31" s="27"/>
      <c r="E31" s="27"/>
      <c r="F31" s="27"/>
      <c r="G31" s="27" t="s">
        <v>453</v>
      </c>
      <c r="I31" s="28">
        <v>2897691.67</v>
      </c>
    </row>
    <row r="32" spans="1:9" x14ac:dyDescent="0.25">
      <c r="A32" s="27"/>
      <c r="B32" s="27"/>
      <c r="C32" s="27"/>
      <c r="D32" s="27"/>
      <c r="E32" s="27"/>
      <c r="F32" s="27"/>
      <c r="G32" s="27" t="s">
        <v>817</v>
      </c>
      <c r="I32" s="28">
        <v>72500</v>
      </c>
    </row>
    <row r="33" spans="1:9" x14ac:dyDescent="0.25">
      <c r="A33" s="27"/>
      <c r="B33" s="27"/>
      <c r="C33" s="27"/>
      <c r="D33" s="27"/>
      <c r="E33" s="27"/>
      <c r="F33" s="27"/>
      <c r="G33" s="27" t="s">
        <v>698</v>
      </c>
      <c r="I33" s="28">
        <v>244750</v>
      </c>
    </row>
    <row r="34" spans="1:9" x14ac:dyDescent="0.25">
      <c r="A34" s="27"/>
      <c r="B34" s="27"/>
      <c r="C34" s="27"/>
      <c r="D34" s="27"/>
      <c r="E34" s="27"/>
      <c r="F34" s="27"/>
      <c r="G34" s="27" t="s">
        <v>459</v>
      </c>
      <c r="I34" s="28">
        <v>412916.67</v>
      </c>
    </row>
    <row r="35" spans="1:9" x14ac:dyDescent="0.25">
      <c r="A35" s="27"/>
      <c r="B35" s="27"/>
      <c r="C35" s="27"/>
      <c r="D35" s="27"/>
      <c r="E35" s="27"/>
      <c r="F35" s="27"/>
      <c r="G35" s="27" t="s">
        <v>776</v>
      </c>
      <c r="I35" s="28">
        <v>154500</v>
      </c>
    </row>
    <row r="36" spans="1:9" x14ac:dyDescent="0.25">
      <c r="A36" s="27"/>
      <c r="B36" s="27"/>
      <c r="C36" s="27"/>
      <c r="D36" s="27"/>
      <c r="E36" s="27"/>
      <c r="F36" s="27"/>
      <c r="G36" s="27" t="s">
        <v>684</v>
      </c>
      <c r="I36" s="28">
        <v>95208.34</v>
      </c>
    </row>
    <row r="37" spans="1:9" x14ac:dyDescent="0.25">
      <c r="A37" s="27"/>
      <c r="B37" s="27"/>
      <c r="C37" s="27"/>
      <c r="D37" s="27"/>
      <c r="E37" s="27"/>
      <c r="F37" s="27"/>
      <c r="G37" s="27" t="s">
        <v>742</v>
      </c>
      <c r="I37" s="28">
        <v>75000</v>
      </c>
    </row>
    <row r="38" spans="1:9" x14ac:dyDescent="0.25">
      <c r="A38" s="27"/>
      <c r="B38" s="27"/>
      <c r="C38" s="27"/>
      <c r="D38" s="27"/>
      <c r="E38" s="27"/>
      <c r="F38" s="27"/>
      <c r="G38" s="27" t="s">
        <v>777</v>
      </c>
      <c r="I38" s="28">
        <v>104000</v>
      </c>
    </row>
    <row r="39" spans="1:9" ht="15.75" thickBot="1" x14ac:dyDescent="0.3">
      <c r="A39" s="27"/>
      <c r="B39" s="27"/>
      <c r="C39" s="27"/>
      <c r="D39" s="27"/>
      <c r="E39" s="27"/>
      <c r="F39" s="27"/>
      <c r="G39" s="27" t="s">
        <v>778</v>
      </c>
      <c r="I39" s="29">
        <v>89000</v>
      </c>
    </row>
    <row r="40" spans="1:9" x14ac:dyDescent="0.25">
      <c r="A40" s="27"/>
      <c r="B40" s="27"/>
      <c r="C40" s="27"/>
      <c r="D40" s="27"/>
      <c r="E40" s="27"/>
      <c r="F40" s="27"/>
      <c r="G40" s="27" t="s">
        <v>471</v>
      </c>
      <c r="H40" s="27"/>
      <c r="I40" s="28">
        <v>6159183.3499999996</v>
      </c>
    </row>
    <row r="41" spans="1:9" x14ac:dyDescent="0.25">
      <c r="A41" s="27"/>
      <c r="B41" s="27"/>
      <c r="C41" s="27"/>
      <c r="D41" s="27"/>
      <c r="E41" s="27"/>
      <c r="F41" s="27"/>
      <c r="G41" s="27" t="s">
        <v>779</v>
      </c>
      <c r="H41" s="27"/>
      <c r="I41" s="28">
        <v>206032</v>
      </c>
    </row>
    <row r="42" spans="1:9" ht="15.75" thickBot="1" x14ac:dyDescent="0.3">
      <c r="A42" s="27"/>
      <c r="B42" s="27"/>
      <c r="C42" s="27"/>
      <c r="D42" s="27"/>
      <c r="E42" s="27"/>
      <c r="F42" s="27"/>
      <c r="G42" s="27" t="s">
        <v>839</v>
      </c>
      <c r="H42" s="27"/>
      <c r="I42" s="29">
        <v>5000</v>
      </c>
    </row>
    <row r="43" spans="1:9" x14ac:dyDescent="0.25">
      <c r="A43" s="27"/>
      <c r="B43" s="27"/>
      <c r="C43" s="27"/>
      <c r="D43" s="27"/>
      <c r="E43" s="27"/>
      <c r="F43" s="27" t="s">
        <v>780</v>
      </c>
      <c r="G43" s="27"/>
      <c r="H43" s="27"/>
      <c r="I43" s="28">
        <v>7157370.3499999996</v>
      </c>
    </row>
    <row r="44" spans="1:9" x14ac:dyDescent="0.25">
      <c r="A44" s="27"/>
      <c r="B44" s="27"/>
      <c r="C44" s="27"/>
      <c r="D44" s="27"/>
      <c r="E44" s="27"/>
      <c r="F44" s="27" t="s">
        <v>781</v>
      </c>
      <c r="G44" s="27"/>
      <c r="H44" s="27"/>
      <c r="I44" s="28"/>
    </row>
    <row r="45" spans="1:9" x14ac:dyDescent="0.25">
      <c r="A45" s="27"/>
      <c r="B45" s="27"/>
      <c r="C45" s="27"/>
      <c r="D45" s="27"/>
      <c r="E45" s="27"/>
      <c r="F45" s="27"/>
      <c r="G45" s="27" t="s">
        <v>718</v>
      </c>
      <c r="H45" s="27"/>
      <c r="I45" s="28"/>
    </row>
    <row r="46" spans="1:9" x14ac:dyDescent="0.25">
      <c r="A46" s="27"/>
      <c r="B46" s="27"/>
      <c r="C46" s="27"/>
      <c r="D46" s="27"/>
      <c r="E46" s="27"/>
      <c r="F46" s="27"/>
      <c r="G46" s="27" t="s">
        <v>782</v>
      </c>
      <c r="I46" s="28">
        <v>3655.73</v>
      </c>
    </row>
    <row r="47" spans="1:9" ht="15.75" thickBot="1" x14ac:dyDescent="0.3">
      <c r="A47" s="27"/>
      <c r="B47" s="27"/>
      <c r="C47" s="27"/>
      <c r="D47" s="27"/>
      <c r="E47" s="27"/>
      <c r="F47" s="27"/>
      <c r="G47" s="27" t="s">
        <v>783</v>
      </c>
      <c r="I47" s="29">
        <v>28100</v>
      </c>
    </row>
    <row r="48" spans="1:9" x14ac:dyDescent="0.25">
      <c r="A48" s="27"/>
      <c r="B48" s="27"/>
      <c r="C48" s="27"/>
      <c r="D48" s="27"/>
      <c r="E48" s="27"/>
      <c r="F48" s="27"/>
      <c r="G48" s="27" t="s">
        <v>784</v>
      </c>
      <c r="H48" s="27"/>
      <c r="I48" s="28">
        <v>31755.73</v>
      </c>
    </row>
    <row r="49" spans="1:9" x14ac:dyDescent="0.25">
      <c r="A49" s="27"/>
      <c r="B49" s="27"/>
      <c r="C49" s="27"/>
      <c r="D49" s="27"/>
      <c r="E49" s="27"/>
      <c r="F49" s="27"/>
      <c r="G49" s="27" t="s">
        <v>785</v>
      </c>
      <c r="H49" s="27"/>
      <c r="I49" s="28">
        <v>33638</v>
      </c>
    </row>
    <row r="50" spans="1:9" x14ac:dyDescent="0.25">
      <c r="A50" s="27"/>
      <c r="B50" s="27"/>
      <c r="C50" s="27"/>
      <c r="D50" s="27"/>
      <c r="E50" s="27"/>
      <c r="F50" s="27"/>
      <c r="G50" s="27" t="s">
        <v>786</v>
      </c>
      <c r="H50" s="27"/>
      <c r="I50" s="28">
        <v>8679</v>
      </c>
    </row>
    <row r="51" spans="1:9" x14ac:dyDescent="0.25">
      <c r="A51" s="27"/>
      <c r="B51" s="27"/>
      <c r="C51" s="27"/>
      <c r="D51" s="27"/>
      <c r="E51" s="27"/>
      <c r="F51" s="27"/>
      <c r="G51" s="27" t="s">
        <v>719</v>
      </c>
      <c r="H51" s="27"/>
      <c r="I51" s="28">
        <v>11205.29</v>
      </c>
    </row>
    <row r="52" spans="1:9" x14ac:dyDescent="0.25">
      <c r="A52" s="27"/>
      <c r="B52" s="27"/>
      <c r="C52" s="27"/>
      <c r="D52" s="27"/>
      <c r="E52" s="27"/>
      <c r="F52" s="27"/>
      <c r="G52" s="27" t="s">
        <v>788</v>
      </c>
      <c r="H52" s="27"/>
      <c r="I52" s="28">
        <v>3655.73</v>
      </c>
    </row>
    <row r="53" spans="1:9" ht="15.75" thickBot="1" x14ac:dyDescent="0.3">
      <c r="A53" s="27"/>
      <c r="B53" s="27"/>
      <c r="C53" s="27"/>
      <c r="D53" s="27"/>
      <c r="E53" s="27"/>
      <c r="F53" s="27"/>
      <c r="G53" s="27" t="s">
        <v>789</v>
      </c>
      <c r="H53" s="27"/>
      <c r="I53" s="29">
        <v>14030</v>
      </c>
    </row>
    <row r="54" spans="1:9" x14ac:dyDescent="0.25">
      <c r="A54" s="27"/>
      <c r="B54" s="27"/>
      <c r="C54" s="27"/>
      <c r="D54" s="27"/>
      <c r="E54" s="27"/>
      <c r="F54" s="27" t="s">
        <v>790</v>
      </c>
      <c r="G54" s="27"/>
      <c r="H54" s="27"/>
      <c r="I54" s="28">
        <v>102963.75</v>
      </c>
    </row>
    <row r="55" spans="1:9" x14ac:dyDescent="0.25">
      <c r="A55" s="27"/>
      <c r="B55" s="27"/>
      <c r="C55" s="27"/>
      <c r="D55" s="27"/>
      <c r="E55" s="27"/>
      <c r="F55" s="27" t="s">
        <v>849</v>
      </c>
      <c r="G55" s="27"/>
      <c r="H55" s="27"/>
      <c r="I55" s="28"/>
    </row>
    <row r="56" spans="1:9" ht="15.75" thickBot="1" x14ac:dyDescent="0.3">
      <c r="A56" s="27"/>
      <c r="B56" s="27"/>
      <c r="C56" s="27"/>
      <c r="D56" s="27"/>
      <c r="E56" s="27"/>
      <c r="F56" s="27"/>
      <c r="G56" s="27" t="s">
        <v>850</v>
      </c>
      <c r="H56" s="27"/>
      <c r="I56" s="29">
        <v>1000</v>
      </c>
    </row>
    <row r="57" spans="1:9" x14ac:dyDescent="0.25">
      <c r="A57" s="27"/>
      <c r="B57" s="27"/>
      <c r="C57" s="27"/>
      <c r="D57" s="27"/>
      <c r="E57" s="27"/>
      <c r="F57" s="27" t="s">
        <v>851</v>
      </c>
      <c r="G57" s="27"/>
      <c r="H57" s="27"/>
      <c r="I57" s="28">
        <v>1000</v>
      </c>
    </row>
    <row r="58" spans="1:9" x14ac:dyDescent="0.25">
      <c r="A58" s="27"/>
      <c r="B58" s="27"/>
      <c r="C58" s="27"/>
      <c r="D58" s="27"/>
      <c r="E58" s="27"/>
      <c r="F58" s="27" t="s">
        <v>797</v>
      </c>
      <c r="G58" s="27"/>
      <c r="H58" s="27"/>
      <c r="I58" s="28"/>
    </row>
    <row r="59" spans="1:9" ht="15.75" thickBot="1" x14ac:dyDescent="0.3">
      <c r="A59" s="27"/>
      <c r="B59" s="27"/>
      <c r="C59" s="27"/>
      <c r="D59" s="27"/>
      <c r="E59" s="27"/>
      <c r="F59" s="27"/>
      <c r="G59" s="27" t="s">
        <v>798</v>
      </c>
      <c r="H59" s="27"/>
      <c r="I59" s="29">
        <v>42530</v>
      </c>
    </row>
    <row r="60" spans="1:9" x14ac:dyDescent="0.25">
      <c r="A60" s="27"/>
      <c r="B60" s="27"/>
      <c r="C60" s="27"/>
      <c r="D60" s="27"/>
      <c r="E60" s="27"/>
      <c r="F60" s="27" t="s">
        <v>800</v>
      </c>
      <c r="G60" s="27"/>
      <c r="H60" s="27"/>
      <c r="I60" s="28">
        <v>42530</v>
      </c>
    </row>
    <row r="61" spans="1:9" x14ac:dyDescent="0.25">
      <c r="A61" s="27"/>
      <c r="B61" s="27"/>
      <c r="C61" s="27"/>
      <c r="D61" s="27"/>
      <c r="E61" s="27"/>
      <c r="F61" s="27" t="s">
        <v>801</v>
      </c>
      <c r="G61" s="27"/>
      <c r="H61" s="27"/>
      <c r="I61" s="28"/>
    </row>
    <row r="62" spans="1:9" x14ac:dyDescent="0.25">
      <c r="A62" s="27"/>
      <c r="B62" s="27"/>
      <c r="C62" s="27"/>
      <c r="D62" s="27"/>
      <c r="E62" s="27"/>
      <c r="F62" s="27"/>
      <c r="G62" s="27" t="s">
        <v>802</v>
      </c>
      <c r="H62" s="27"/>
      <c r="I62" s="28">
        <v>116293</v>
      </c>
    </row>
    <row r="63" spans="1:9" x14ac:dyDescent="0.25">
      <c r="A63" s="27"/>
      <c r="B63" s="27"/>
      <c r="C63" s="27"/>
      <c r="D63" s="27"/>
      <c r="E63" s="27"/>
      <c r="F63" s="27"/>
      <c r="G63" s="27" t="s">
        <v>803</v>
      </c>
      <c r="H63" s="27"/>
      <c r="I63" s="28">
        <v>24370</v>
      </c>
    </row>
    <row r="64" spans="1:9" x14ac:dyDescent="0.25">
      <c r="A64" s="27"/>
      <c r="B64" s="27"/>
      <c r="C64" s="27"/>
      <c r="D64" s="27"/>
      <c r="E64" s="27"/>
      <c r="F64" s="27"/>
      <c r="G64" s="27" t="s">
        <v>804</v>
      </c>
      <c r="H64" s="27"/>
      <c r="I64" s="28">
        <v>125000</v>
      </c>
    </row>
    <row r="65" spans="1:9" x14ac:dyDescent="0.25">
      <c r="A65" s="27"/>
      <c r="B65" s="27"/>
      <c r="C65" s="27"/>
      <c r="D65" s="27"/>
      <c r="E65" s="27"/>
      <c r="F65" s="27"/>
      <c r="G65" s="27" t="s">
        <v>805</v>
      </c>
      <c r="H65" s="27"/>
      <c r="I65" s="28">
        <v>13045</v>
      </c>
    </row>
    <row r="66" spans="1:9" ht="15.75" thickBot="1" x14ac:dyDescent="0.3">
      <c r="A66" s="27"/>
      <c r="B66" s="27"/>
      <c r="C66" s="27"/>
      <c r="D66" s="27"/>
      <c r="E66" s="27"/>
      <c r="F66" s="27"/>
      <c r="G66" s="27" t="s">
        <v>826</v>
      </c>
      <c r="H66" s="27"/>
      <c r="I66" s="30">
        <v>10359</v>
      </c>
    </row>
    <row r="67" spans="1:9" ht="15.75" thickBot="1" x14ac:dyDescent="0.3">
      <c r="A67" s="27"/>
      <c r="B67" s="27"/>
      <c r="C67" s="27"/>
      <c r="D67" s="27"/>
      <c r="E67" s="27"/>
      <c r="F67" s="27" t="s">
        <v>806</v>
      </c>
      <c r="G67" s="27"/>
      <c r="H67" s="27"/>
      <c r="I67" s="33">
        <v>289067</v>
      </c>
    </row>
    <row r="68" spans="1:9" x14ac:dyDescent="0.25">
      <c r="A68" s="27"/>
      <c r="B68" s="27"/>
      <c r="C68" s="27"/>
      <c r="D68" s="27"/>
      <c r="E68" s="27" t="s">
        <v>807</v>
      </c>
      <c r="F68" s="27"/>
      <c r="G68" s="27"/>
      <c r="H68" s="27"/>
      <c r="I68" s="28">
        <v>7592931.0999999996</v>
      </c>
    </row>
    <row r="69" spans="1:9" x14ac:dyDescent="0.25">
      <c r="A69" s="27"/>
      <c r="B69" s="27"/>
      <c r="C69" s="27"/>
      <c r="D69" s="27"/>
      <c r="E69" s="27" t="s">
        <v>808</v>
      </c>
      <c r="F69" s="27"/>
      <c r="G69" s="27"/>
      <c r="H69" s="27"/>
      <c r="I69" s="28"/>
    </row>
    <row r="70" spans="1:9" ht="15.75" thickBot="1" x14ac:dyDescent="0.3">
      <c r="A70" s="27"/>
      <c r="B70" s="27"/>
      <c r="C70" s="27"/>
      <c r="D70" s="27"/>
      <c r="E70" s="27"/>
      <c r="F70" s="27" t="s">
        <v>810</v>
      </c>
      <c r="G70" s="27"/>
      <c r="H70" s="27"/>
      <c r="I70" s="30">
        <v>325434</v>
      </c>
    </row>
    <row r="71" spans="1:9" ht="15.75" thickBot="1" x14ac:dyDescent="0.3">
      <c r="A71" s="27"/>
      <c r="B71" s="27"/>
      <c r="C71" s="27"/>
      <c r="D71" s="27"/>
      <c r="E71" s="27" t="s">
        <v>811</v>
      </c>
      <c r="F71" s="27"/>
      <c r="G71" s="27"/>
      <c r="H71" s="27"/>
      <c r="I71" s="34">
        <v>325434</v>
      </c>
    </row>
    <row r="72" spans="1:9" ht="15.75" thickBot="1" x14ac:dyDescent="0.3">
      <c r="A72" s="27"/>
      <c r="B72" s="27"/>
      <c r="C72" s="27"/>
      <c r="D72" s="27" t="s">
        <v>357</v>
      </c>
      <c r="E72" s="27"/>
      <c r="F72" s="27"/>
      <c r="G72" s="27"/>
      <c r="H72" s="27"/>
      <c r="I72" s="34">
        <v>7918365.0999999996</v>
      </c>
    </row>
    <row r="73" spans="1:9" ht="15.75" thickBot="1" x14ac:dyDescent="0.3">
      <c r="A73" s="27"/>
      <c r="B73" s="27" t="s">
        <v>358</v>
      </c>
      <c r="C73" s="27"/>
      <c r="D73" s="27"/>
      <c r="E73" s="27"/>
      <c r="F73" s="27"/>
      <c r="G73" s="27"/>
      <c r="H73" s="27"/>
      <c r="I73" s="34">
        <v>3744294.9</v>
      </c>
    </row>
    <row r="74" spans="1:9" ht="15.75" thickBot="1" x14ac:dyDescent="0.3">
      <c r="A74" s="27" t="s">
        <v>372</v>
      </c>
      <c r="B74" s="27"/>
      <c r="C74" s="27"/>
      <c r="D74" s="27"/>
      <c r="E74" s="27"/>
      <c r="F74" s="27"/>
      <c r="G74" s="27"/>
      <c r="H74" s="27"/>
      <c r="I74" s="35">
        <v>3744294.9</v>
      </c>
    </row>
    <row r="75" spans="1:9" ht="15.75" thickTop="1" x14ac:dyDescent="0.25"/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7" tint="0.39997558519241921"/>
  </sheetPr>
  <dimension ref="A1:Q86"/>
  <sheetViews>
    <sheetView workbookViewId="0">
      <pane xSplit="8" ySplit="2" topLeftCell="I3" activePane="bottomRight" state="frozenSplit"/>
      <selection pane="topRight" activeCell="I1" sqref="I1"/>
      <selection pane="bottomLeft" activeCell="A3" sqref="A3"/>
      <selection pane="bottomRight" activeCell="Q8" sqref="Q8"/>
    </sheetView>
  </sheetViews>
  <sheetFormatPr defaultRowHeight="15" x14ac:dyDescent="0.25"/>
  <cols>
    <col min="1" max="7" width="3" style="50" customWidth="1"/>
    <col min="8" max="8" width="28.7109375" style="50" customWidth="1"/>
    <col min="9" max="9" width="15.42578125" style="26" bestFit="1" customWidth="1"/>
    <col min="10" max="10" width="2.28515625" style="26" customWidth="1"/>
    <col min="11" max="11" width="10.5703125" style="26" bestFit="1" customWidth="1"/>
    <col min="12" max="12" width="9.140625" style="23"/>
    <col min="13" max="13" width="11.140625" style="23" customWidth="1"/>
    <col min="14" max="15" width="9.140625" style="23"/>
    <col min="16" max="16" width="25.42578125" style="23" customWidth="1"/>
    <col min="17" max="17" width="16.7109375" style="23" customWidth="1"/>
    <col min="18" max="16384" width="9.140625" style="23"/>
  </cols>
  <sheetData>
    <row r="1" spans="1:17" ht="15.75" thickBot="1" x14ac:dyDescent="0.3">
      <c r="A1" s="27"/>
      <c r="B1" s="27"/>
      <c r="C1" s="27"/>
      <c r="D1" s="27"/>
      <c r="E1" s="27"/>
      <c r="F1" s="27"/>
      <c r="G1" s="27"/>
      <c r="H1" s="27"/>
      <c r="I1" s="317"/>
      <c r="J1" s="318"/>
      <c r="K1" s="317"/>
    </row>
    <row r="2" spans="1:17" s="102" customFormat="1" ht="16.5" thickTop="1" thickBot="1" x14ac:dyDescent="0.3">
      <c r="A2" s="31"/>
      <c r="B2" s="31"/>
      <c r="C2" s="31"/>
      <c r="D2" s="31"/>
      <c r="E2" s="31"/>
      <c r="F2" s="31"/>
      <c r="G2" s="31"/>
      <c r="H2" s="31"/>
      <c r="I2" s="319" t="s">
        <v>836</v>
      </c>
      <c r="J2" s="320"/>
      <c r="K2" s="319" t="s">
        <v>837</v>
      </c>
    </row>
    <row r="3" spans="1:17" ht="15.75" thickTop="1" x14ac:dyDescent="0.25">
      <c r="A3" s="27"/>
      <c r="B3" s="27" t="s">
        <v>53</v>
      </c>
      <c r="C3" s="27"/>
      <c r="D3" s="27"/>
      <c r="E3" s="27"/>
      <c r="F3" s="27"/>
      <c r="G3" s="27"/>
      <c r="H3" s="27"/>
      <c r="I3" s="28"/>
      <c r="J3" s="321"/>
      <c r="K3" s="322"/>
    </row>
    <row r="4" spans="1:17" x14ac:dyDescent="0.25">
      <c r="A4" s="27"/>
      <c r="B4" s="27"/>
      <c r="C4" s="27"/>
      <c r="D4" s="27" t="s">
        <v>54</v>
      </c>
      <c r="E4" s="27"/>
      <c r="F4" s="27"/>
      <c r="G4" s="27"/>
      <c r="H4" s="27"/>
      <c r="I4" s="28"/>
      <c r="J4" s="321"/>
      <c r="K4" s="322"/>
      <c r="P4" s="226" t="s">
        <v>622</v>
      </c>
      <c r="Q4" s="227" t="s">
        <v>621</v>
      </c>
    </row>
    <row r="5" spans="1:17" x14ac:dyDescent="0.25">
      <c r="A5" s="27"/>
      <c r="B5" s="27"/>
      <c r="C5" s="27"/>
      <c r="D5" s="27"/>
      <c r="E5" s="27" t="s">
        <v>751</v>
      </c>
      <c r="F5" s="27"/>
      <c r="G5" s="27"/>
      <c r="H5" s="27"/>
      <c r="I5" s="28"/>
      <c r="J5" s="321"/>
      <c r="K5" s="322"/>
      <c r="P5" s="164" t="s">
        <v>812</v>
      </c>
      <c r="Q5" s="295">
        <f>I47</f>
        <v>6159183.3499999996</v>
      </c>
    </row>
    <row r="6" spans="1:17" x14ac:dyDescent="0.25">
      <c r="A6" s="27"/>
      <c r="B6" s="27"/>
      <c r="C6" s="27"/>
      <c r="D6" s="27"/>
      <c r="E6" s="27"/>
      <c r="F6" s="27" t="s">
        <v>752</v>
      </c>
      <c r="G6" s="27"/>
      <c r="H6" s="27"/>
      <c r="I6" s="28">
        <v>143880</v>
      </c>
      <c r="J6" s="321"/>
      <c r="K6" s="322">
        <f>ROUND(IF(I12=0, 0, I6/I12),5)</f>
        <v>1.457E-2</v>
      </c>
      <c r="P6" s="164" t="s">
        <v>814</v>
      </c>
      <c r="Q6" s="329">
        <f>I17</f>
        <v>0</v>
      </c>
    </row>
    <row r="7" spans="1:17" x14ac:dyDescent="0.25">
      <c r="A7" s="27"/>
      <c r="B7" s="27"/>
      <c r="C7" s="27"/>
      <c r="D7" s="27"/>
      <c r="E7" s="27"/>
      <c r="F7" s="27" t="s">
        <v>753</v>
      </c>
      <c r="G7" s="27"/>
      <c r="H7" s="27"/>
      <c r="I7" s="28">
        <v>1018500</v>
      </c>
      <c r="J7" s="321"/>
      <c r="K7" s="322">
        <f>ROUND(IF(I12=0, 0, I7/I12),5)</f>
        <v>0.10316</v>
      </c>
      <c r="P7" s="164" t="s">
        <v>815</v>
      </c>
      <c r="Q7" s="296"/>
    </row>
    <row r="8" spans="1:17" x14ac:dyDescent="0.25">
      <c r="A8" s="27"/>
      <c r="B8" s="27"/>
      <c r="C8" s="27"/>
      <c r="D8" s="27"/>
      <c r="E8" s="27"/>
      <c r="F8" s="27" t="s">
        <v>754</v>
      </c>
      <c r="G8" s="27"/>
      <c r="H8" s="27"/>
      <c r="I8" s="28">
        <f>863280+2175000</f>
        <v>3038280</v>
      </c>
      <c r="J8" s="321"/>
      <c r="K8" s="322">
        <f>ROUND(IF(I12=0, 0, I8/I12),5)</f>
        <v>0.30774000000000001</v>
      </c>
      <c r="P8" s="297" t="s">
        <v>25</v>
      </c>
      <c r="Q8" s="298">
        <f>SUM(Q5:Q7)</f>
        <v>6159183.3499999996</v>
      </c>
    </row>
    <row r="9" spans="1:17" x14ac:dyDescent="0.25">
      <c r="A9" s="27"/>
      <c r="B9" s="27"/>
      <c r="C9" s="27"/>
      <c r="D9" s="27"/>
      <c r="E9" s="27"/>
      <c r="F9" s="27" t="s">
        <v>755</v>
      </c>
      <c r="G9" s="27"/>
      <c r="H9" s="27"/>
      <c r="I9" s="28">
        <v>5672100</v>
      </c>
      <c r="J9" s="321"/>
      <c r="K9" s="322">
        <f>ROUND(IF(I12=0, 0, I9/I12),5)</f>
        <v>0.57452000000000003</v>
      </c>
      <c r="P9" s="299"/>
      <c r="Q9" s="300"/>
    </row>
    <row r="10" spans="1:17" ht="15.75" thickBot="1" x14ac:dyDescent="0.3">
      <c r="A10" s="27"/>
      <c r="B10" s="27"/>
      <c r="C10" s="27"/>
      <c r="D10" s="27"/>
      <c r="E10" s="27"/>
      <c r="F10" s="27" t="s">
        <v>756</v>
      </c>
      <c r="G10" s="27"/>
      <c r="H10" s="27"/>
      <c r="I10" s="30"/>
      <c r="J10" s="321"/>
      <c r="K10" s="323">
        <f>ROUND(IF(I12=0, 0, I10/I12),5)</f>
        <v>0</v>
      </c>
      <c r="P10" s="301" t="s">
        <v>743</v>
      </c>
      <c r="Q10" s="302" t="s">
        <v>621</v>
      </c>
    </row>
    <row r="11" spans="1:17" ht="15.75" thickBot="1" x14ac:dyDescent="0.3">
      <c r="A11" s="27"/>
      <c r="B11" s="27"/>
      <c r="C11" s="27"/>
      <c r="D11" s="27"/>
      <c r="E11" s="27" t="s">
        <v>757</v>
      </c>
      <c r="F11" s="27"/>
      <c r="G11" s="27"/>
      <c r="H11" s="27"/>
      <c r="I11" s="34">
        <f>ROUND(SUM(I5:I10),5)</f>
        <v>9872760</v>
      </c>
      <c r="J11" s="321"/>
      <c r="K11" s="324">
        <f>ROUND(IF(I12=0, 0, I11/I12),5)</f>
        <v>1</v>
      </c>
      <c r="P11" s="164" t="s">
        <v>813</v>
      </c>
      <c r="Q11" s="186">
        <f>I83-Q8</f>
        <v>2113266.0600000005</v>
      </c>
    </row>
    <row r="12" spans="1:17" ht="30" customHeight="1" thickBot="1" x14ac:dyDescent="0.3">
      <c r="A12" s="27"/>
      <c r="B12" s="27"/>
      <c r="C12" s="27"/>
      <c r="D12" s="27" t="s">
        <v>88</v>
      </c>
      <c r="E12" s="27"/>
      <c r="F12" s="27"/>
      <c r="G12" s="27"/>
      <c r="H12" s="27"/>
      <c r="I12" s="33">
        <f>ROUND(I4+I11,5)</f>
        <v>9872760</v>
      </c>
      <c r="J12" s="321"/>
      <c r="K12" s="325">
        <f>ROUND(IF(I12=0, 0, I12/I12),5)</f>
        <v>1</v>
      </c>
      <c r="P12" s="303" t="s">
        <v>25</v>
      </c>
      <c r="Q12" s="304">
        <f>SUM(Q11:Q11)</f>
        <v>2113266.0600000005</v>
      </c>
    </row>
    <row r="13" spans="1:17" ht="30" customHeight="1" x14ac:dyDescent="0.25">
      <c r="A13" s="27"/>
      <c r="B13" s="27"/>
      <c r="C13" s="27" t="s">
        <v>147</v>
      </c>
      <c r="D13" s="27"/>
      <c r="E13" s="27"/>
      <c r="F13" s="27"/>
      <c r="G13" s="27"/>
      <c r="H13" s="27"/>
      <c r="I13" s="28">
        <f>I12</f>
        <v>9872760</v>
      </c>
      <c r="J13" s="321"/>
      <c r="K13" s="322">
        <f>ROUND(IF(I12=0, 0, I13/I12),5)</f>
        <v>1</v>
      </c>
    </row>
    <row r="14" spans="1:17" ht="30" customHeight="1" x14ac:dyDescent="0.25">
      <c r="A14" s="27"/>
      <c r="B14" s="27"/>
      <c r="C14" s="27"/>
      <c r="D14" s="27" t="s">
        <v>148</v>
      </c>
      <c r="E14" s="27"/>
      <c r="F14" s="27"/>
      <c r="G14" s="27"/>
      <c r="H14" s="27"/>
      <c r="I14" s="28"/>
      <c r="J14" s="321"/>
      <c r="K14" s="322"/>
    </row>
    <row r="15" spans="1:17" x14ac:dyDescent="0.25">
      <c r="A15" s="27"/>
      <c r="B15" s="27"/>
      <c r="C15" s="27"/>
      <c r="D15" s="27"/>
      <c r="E15" s="27" t="s">
        <v>758</v>
      </c>
      <c r="F15" s="27"/>
      <c r="G15" s="27"/>
      <c r="H15" s="27"/>
      <c r="I15" s="28"/>
      <c r="J15" s="321"/>
      <c r="K15" s="322"/>
    </row>
    <row r="16" spans="1:17" x14ac:dyDescent="0.25">
      <c r="A16" s="27"/>
      <c r="B16" s="27"/>
      <c r="C16" s="27"/>
      <c r="D16" s="27"/>
      <c r="E16" s="27"/>
      <c r="F16" s="27" t="s">
        <v>759</v>
      </c>
      <c r="G16" s="27"/>
      <c r="H16" s="27"/>
      <c r="I16" s="28"/>
      <c r="J16" s="321"/>
      <c r="K16" s="322"/>
      <c r="Q16" s="197"/>
    </row>
    <row r="17" spans="1:11" x14ac:dyDescent="0.25">
      <c r="A17" s="27"/>
      <c r="B17" s="27"/>
      <c r="C17" s="27"/>
      <c r="D17" s="27"/>
      <c r="E17" s="27"/>
      <c r="F17" s="27"/>
      <c r="G17" s="27" t="s">
        <v>760</v>
      </c>
      <c r="H17" s="27"/>
      <c r="I17" s="315"/>
      <c r="J17" s="321"/>
      <c r="K17" s="322">
        <f>ROUND(IF(I12=0, 0, I17/I12),5)</f>
        <v>0</v>
      </c>
    </row>
    <row r="18" spans="1:11" x14ac:dyDescent="0.25">
      <c r="A18" s="27"/>
      <c r="B18" s="27"/>
      <c r="C18" s="27"/>
      <c r="D18" s="27"/>
      <c r="E18" s="27"/>
      <c r="F18" s="27"/>
      <c r="G18" s="27" t="s">
        <v>761</v>
      </c>
      <c r="H18" s="27"/>
      <c r="I18" s="28"/>
      <c r="J18" s="321"/>
      <c r="K18" s="322">
        <f>ROUND(IF(I12=0, 0, I18/I12),5)</f>
        <v>0</v>
      </c>
    </row>
    <row r="19" spans="1:11" x14ac:dyDescent="0.25">
      <c r="A19" s="27"/>
      <c r="B19" s="27"/>
      <c r="C19" s="27"/>
      <c r="D19" s="27"/>
      <c r="E19" s="27"/>
      <c r="F19" s="27"/>
      <c r="G19" s="27" t="s">
        <v>762</v>
      </c>
      <c r="H19" s="27"/>
      <c r="I19" s="28"/>
      <c r="J19" s="321"/>
      <c r="K19" s="322"/>
    </row>
    <row r="20" spans="1:11" x14ac:dyDescent="0.25">
      <c r="A20" s="27"/>
      <c r="B20" s="27"/>
      <c r="C20" s="27"/>
      <c r="D20" s="27"/>
      <c r="E20" s="27"/>
      <c r="F20" s="27"/>
      <c r="G20" s="27"/>
      <c r="H20" s="27" t="s">
        <v>763</v>
      </c>
      <c r="I20" s="28">
        <v>49950</v>
      </c>
      <c r="J20" s="321"/>
      <c r="K20" s="322">
        <f>ROUND(IF(I12=0, 0, I20/I12),5)</f>
        <v>5.0600000000000003E-3</v>
      </c>
    </row>
    <row r="21" spans="1:11" ht="15.75" thickBot="1" x14ac:dyDescent="0.3">
      <c r="A21" s="27"/>
      <c r="B21" s="27"/>
      <c r="C21" s="27"/>
      <c r="D21" s="27"/>
      <c r="E21" s="27"/>
      <c r="F21" s="27"/>
      <c r="G21" s="27"/>
      <c r="H21" s="27" t="s">
        <v>764</v>
      </c>
      <c r="I21" s="29">
        <v>13425</v>
      </c>
      <c r="J21" s="321"/>
      <c r="K21" s="326">
        <f>ROUND(IF(I12=0, 0, I21/I12),5)</f>
        <v>1.3600000000000001E-3</v>
      </c>
    </row>
    <row r="22" spans="1:11" x14ac:dyDescent="0.25">
      <c r="A22" s="27"/>
      <c r="B22" s="27"/>
      <c r="C22" s="27"/>
      <c r="D22" s="27"/>
      <c r="E22" s="27"/>
      <c r="F22" s="27"/>
      <c r="G22" s="27" t="s">
        <v>766</v>
      </c>
      <c r="H22" s="27"/>
      <c r="I22" s="28">
        <f>ROUND(SUM(I19:I21),5)</f>
        <v>63375</v>
      </c>
      <c r="J22" s="321"/>
      <c r="K22" s="322">
        <f>ROUND(IF(I12=0, 0, I22/I12),5)</f>
        <v>6.4200000000000004E-3</v>
      </c>
    </row>
    <row r="23" spans="1:11" ht="30" customHeight="1" x14ac:dyDescent="0.25">
      <c r="A23" s="27"/>
      <c r="B23" s="27"/>
      <c r="C23" s="27"/>
      <c r="D23" s="27"/>
      <c r="E23" s="27"/>
      <c r="F23" s="27"/>
      <c r="G23" s="27" t="s">
        <v>768</v>
      </c>
      <c r="H23" s="27"/>
      <c r="I23" s="28"/>
      <c r="J23" s="321"/>
      <c r="K23" s="322"/>
    </row>
    <row r="24" spans="1:11" ht="15.75" thickBot="1" x14ac:dyDescent="0.3">
      <c r="A24" s="27"/>
      <c r="B24" s="27"/>
      <c r="C24" s="27"/>
      <c r="D24" s="27"/>
      <c r="E24" s="27"/>
      <c r="F24" s="27"/>
      <c r="G24" s="27"/>
      <c r="H24" s="27" t="s">
        <v>770</v>
      </c>
      <c r="I24" s="29">
        <v>12723.9</v>
      </c>
      <c r="J24" s="321"/>
      <c r="K24" s="326">
        <f>ROUND(IF(I12=0, 0, I24/I12),5)</f>
        <v>1.2899999999999999E-3</v>
      </c>
    </row>
    <row r="25" spans="1:11" x14ac:dyDescent="0.25">
      <c r="A25" s="27"/>
      <c r="B25" s="27"/>
      <c r="C25" s="27"/>
      <c r="D25" s="27"/>
      <c r="E25" s="27"/>
      <c r="F25" s="27"/>
      <c r="G25" s="27" t="s">
        <v>771</v>
      </c>
      <c r="H25" s="27"/>
      <c r="I25" s="28">
        <f>ROUND(SUM(I23:I24),5)</f>
        <v>12723.9</v>
      </c>
      <c r="J25" s="321"/>
      <c r="K25" s="322">
        <f>ROUND(IF(I12=0, 0, I25/I12),5)</f>
        <v>1.2899999999999999E-3</v>
      </c>
    </row>
    <row r="26" spans="1:11" ht="30" customHeight="1" x14ac:dyDescent="0.25">
      <c r="A26" s="27"/>
      <c r="B26" s="27"/>
      <c r="C26" s="27"/>
      <c r="D26" s="27"/>
      <c r="E26" s="27"/>
      <c r="F26" s="27"/>
      <c r="G26" s="27" t="s">
        <v>838</v>
      </c>
      <c r="H26" s="27"/>
      <c r="I26" s="28">
        <v>55280</v>
      </c>
      <c r="J26" s="321"/>
      <c r="K26" s="322">
        <f>ROUND(IF(I12=0, 0, I26/I12),5)</f>
        <v>5.5999999999999999E-3</v>
      </c>
    </row>
    <row r="27" spans="1:11" x14ac:dyDescent="0.25">
      <c r="A27" s="27"/>
      <c r="B27" s="27"/>
      <c r="C27" s="27"/>
      <c r="D27" s="27"/>
      <c r="E27" s="27"/>
      <c r="F27" s="27"/>
      <c r="G27" s="27" t="s">
        <v>772</v>
      </c>
      <c r="H27" s="27"/>
      <c r="I27" s="28">
        <v>13154</v>
      </c>
      <c r="J27" s="321"/>
      <c r="K27" s="322">
        <f>ROUND(IF(I12=0, 0, I27/I12),5)</f>
        <v>1.33E-3</v>
      </c>
    </row>
    <row r="28" spans="1:11" x14ac:dyDescent="0.25">
      <c r="A28" s="27"/>
      <c r="B28" s="27"/>
      <c r="C28" s="27"/>
      <c r="D28" s="27"/>
      <c r="E28" s="27"/>
      <c r="F28" s="27"/>
      <c r="G28" s="27" t="s">
        <v>773</v>
      </c>
      <c r="H28" s="27"/>
      <c r="I28" s="28">
        <v>17200</v>
      </c>
      <c r="J28" s="321"/>
      <c r="K28" s="322">
        <f>ROUND(IF(I12=0, 0, I28/I12),5)</f>
        <v>1.74E-3</v>
      </c>
    </row>
    <row r="29" spans="1:11" x14ac:dyDescent="0.25">
      <c r="A29" s="27"/>
      <c r="B29" s="27"/>
      <c r="C29" s="27"/>
      <c r="D29" s="27"/>
      <c r="E29" s="27"/>
      <c r="F29" s="27"/>
      <c r="G29" s="27" t="s">
        <v>428</v>
      </c>
      <c r="H29" s="27"/>
      <c r="I29" s="28"/>
      <c r="J29" s="321"/>
      <c r="K29" s="322"/>
    </row>
    <row r="30" spans="1:11" x14ac:dyDescent="0.25">
      <c r="A30" s="27"/>
      <c r="B30" s="27"/>
      <c r="C30" s="27"/>
      <c r="D30" s="27"/>
      <c r="E30" s="27"/>
      <c r="F30" s="27"/>
      <c r="G30" s="27"/>
      <c r="H30" s="27" t="s">
        <v>429</v>
      </c>
      <c r="I30" s="28">
        <v>268750</v>
      </c>
      <c r="J30" s="321"/>
      <c r="K30" s="322">
        <f>ROUND(IF(I12=0, 0, I30/I12),5)</f>
        <v>2.7220000000000001E-2</v>
      </c>
    </row>
    <row r="31" spans="1:11" x14ac:dyDescent="0.25">
      <c r="A31" s="27"/>
      <c r="B31" s="27"/>
      <c r="C31" s="27"/>
      <c r="D31" s="27"/>
      <c r="E31" s="27"/>
      <c r="F31" s="27"/>
      <c r="G31" s="27"/>
      <c r="H31" s="27" t="s">
        <v>774</v>
      </c>
      <c r="I31" s="28">
        <v>152000</v>
      </c>
      <c r="J31" s="321"/>
      <c r="K31" s="322">
        <f>ROUND(IF(I12=0, 0, I31/I12),5)</f>
        <v>1.54E-2</v>
      </c>
    </row>
    <row r="32" spans="1:11" x14ac:dyDescent="0.25">
      <c r="A32" s="27"/>
      <c r="B32" s="27"/>
      <c r="C32" s="27"/>
      <c r="D32" s="27"/>
      <c r="E32" s="27"/>
      <c r="F32" s="27"/>
      <c r="G32" s="27"/>
      <c r="H32" s="27" t="s">
        <v>832</v>
      </c>
      <c r="I32" s="28">
        <v>350000</v>
      </c>
      <c r="J32" s="321"/>
      <c r="K32" s="322">
        <f>ROUND(IF(I12=0, 0, I32/I12),5)</f>
        <v>3.5450000000000002E-2</v>
      </c>
    </row>
    <row r="33" spans="1:16" x14ac:dyDescent="0.25">
      <c r="A33" s="27"/>
      <c r="B33" s="27"/>
      <c r="C33" s="27"/>
      <c r="D33" s="27"/>
      <c r="E33" s="27"/>
      <c r="F33" s="27"/>
      <c r="G33" s="27"/>
      <c r="H33" s="27" t="s">
        <v>734</v>
      </c>
      <c r="I33" s="28">
        <v>264250</v>
      </c>
      <c r="J33" s="321"/>
      <c r="K33" s="322">
        <f>ROUND(IF(I12=0, 0, I33/I12),5)</f>
        <v>2.6769999999999999E-2</v>
      </c>
    </row>
    <row r="34" spans="1:16" x14ac:dyDescent="0.25">
      <c r="A34" s="27"/>
      <c r="B34" s="27"/>
      <c r="C34" s="27"/>
      <c r="D34" s="27"/>
      <c r="E34" s="27"/>
      <c r="F34" s="27"/>
      <c r="G34" s="27"/>
      <c r="H34" s="27" t="s">
        <v>775</v>
      </c>
      <c r="I34" s="28">
        <v>183125</v>
      </c>
      <c r="J34" s="321"/>
      <c r="K34" s="322">
        <f>ROUND(IF(I12=0, 0, I34/I12),5)</f>
        <v>1.8550000000000001E-2</v>
      </c>
    </row>
    <row r="35" spans="1:16" x14ac:dyDescent="0.25">
      <c r="A35" s="27"/>
      <c r="B35" s="27"/>
      <c r="C35" s="27"/>
      <c r="D35" s="27"/>
      <c r="E35" s="27"/>
      <c r="F35" s="27"/>
      <c r="G35" s="27"/>
      <c r="H35" s="27" t="s">
        <v>435</v>
      </c>
      <c r="I35" s="28">
        <v>334450</v>
      </c>
      <c r="J35" s="321"/>
      <c r="K35" s="322">
        <f>ROUND(IF(I12=0, 0, I35/I12),5)</f>
        <v>3.388E-2</v>
      </c>
    </row>
    <row r="36" spans="1:16" x14ac:dyDescent="0.25">
      <c r="A36" s="27"/>
      <c r="B36" s="27"/>
      <c r="C36" s="27"/>
      <c r="D36" s="27"/>
      <c r="E36" s="27"/>
      <c r="F36" s="27"/>
      <c r="G36" s="27"/>
      <c r="H36" s="27" t="s">
        <v>441</v>
      </c>
      <c r="I36" s="28">
        <v>261250</v>
      </c>
      <c r="J36" s="321"/>
      <c r="K36" s="322">
        <f>ROUND(IF(I12=0, 0, I36/I12),5)</f>
        <v>2.6460000000000001E-2</v>
      </c>
    </row>
    <row r="37" spans="1:16" x14ac:dyDescent="0.25">
      <c r="A37" s="27"/>
      <c r="B37" s="27"/>
      <c r="C37" s="27"/>
      <c r="D37" s="27"/>
      <c r="E37" s="27"/>
      <c r="F37" s="27"/>
      <c r="G37" s="27"/>
      <c r="H37" s="27" t="s">
        <v>447</v>
      </c>
      <c r="I37" s="28">
        <v>199791.67</v>
      </c>
      <c r="J37" s="321"/>
      <c r="K37" s="322">
        <f>ROUND(IF(I12=0, 0, I37/I12),5)</f>
        <v>2.0240000000000001E-2</v>
      </c>
    </row>
    <row r="38" spans="1:16" x14ac:dyDescent="0.25">
      <c r="A38" s="27"/>
      <c r="B38" s="27"/>
      <c r="C38" s="27"/>
      <c r="D38" s="27"/>
      <c r="E38" s="27"/>
      <c r="F38" s="27"/>
      <c r="G38" s="27"/>
      <c r="H38" s="27" t="s">
        <v>453</v>
      </c>
      <c r="I38" s="28">
        <v>2897691.67</v>
      </c>
      <c r="J38" s="321"/>
      <c r="K38" s="322">
        <f>ROUND(IF(I12=0, 0, I38/I12),5)</f>
        <v>0.29349999999999998</v>
      </c>
    </row>
    <row r="39" spans="1:16" x14ac:dyDescent="0.25">
      <c r="A39" s="27"/>
      <c r="B39" s="27"/>
      <c r="C39" s="27"/>
      <c r="D39" s="27"/>
      <c r="E39" s="27"/>
      <c r="F39" s="27"/>
      <c r="G39" s="27"/>
      <c r="H39" s="27" t="s">
        <v>817</v>
      </c>
      <c r="I39" s="28">
        <v>72500</v>
      </c>
      <c r="J39" s="321"/>
      <c r="K39" s="322">
        <f>ROUND(IF(I12=0, 0, I39/I12),5)</f>
        <v>7.3400000000000002E-3</v>
      </c>
    </row>
    <row r="40" spans="1:16" x14ac:dyDescent="0.25">
      <c r="A40" s="27"/>
      <c r="B40" s="27"/>
      <c r="C40" s="27"/>
      <c r="D40" s="27"/>
      <c r="E40" s="27"/>
      <c r="F40" s="27"/>
      <c r="G40" s="27"/>
      <c r="H40" s="27" t="s">
        <v>698</v>
      </c>
      <c r="I40" s="28">
        <v>244750</v>
      </c>
      <c r="J40" s="321"/>
      <c r="K40" s="322">
        <f>ROUND(IF(I12=0, 0, I40/I12),5)</f>
        <v>2.479E-2</v>
      </c>
    </row>
    <row r="41" spans="1:16" x14ac:dyDescent="0.25">
      <c r="A41" s="27"/>
      <c r="B41" s="27"/>
      <c r="C41" s="27"/>
      <c r="D41" s="27"/>
      <c r="E41" s="27"/>
      <c r="F41" s="27"/>
      <c r="G41" s="27"/>
      <c r="H41" s="27" t="s">
        <v>459</v>
      </c>
      <c r="I41" s="28">
        <v>412916.67</v>
      </c>
      <c r="J41" s="321"/>
      <c r="K41" s="322">
        <f>ROUND(IF(I12=0, 0, I41/I12),5)</f>
        <v>4.1820000000000003E-2</v>
      </c>
    </row>
    <row r="42" spans="1:16" x14ac:dyDescent="0.25">
      <c r="A42" s="27"/>
      <c r="B42" s="27"/>
      <c r="C42" s="27"/>
      <c r="D42" s="27"/>
      <c r="E42" s="27"/>
      <c r="F42" s="27"/>
      <c r="G42" s="27"/>
      <c r="H42" s="27" t="s">
        <v>776</v>
      </c>
      <c r="I42" s="28">
        <v>154500</v>
      </c>
      <c r="J42" s="321"/>
      <c r="K42" s="322">
        <f>ROUND(IF(I12=0, 0, I42/I12),5)</f>
        <v>1.5650000000000001E-2</v>
      </c>
    </row>
    <row r="43" spans="1:16" x14ac:dyDescent="0.25">
      <c r="A43" s="27"/>
      <c r="B43" s="27"/>
      <c r="C43" s="27"/>
      <c r="D43" s="27"/>
      <c r="E43" s="27"/>
      <c r="F43" s="27"/>
      <c r="G43" s="27"/>
      <c r="H43" s="27" t="s">
        <v>684</v>
      </c>
      <c r="I43" s="28">
        <v>95208.34</v>
      </c>
      <c r="J43" s="321"/>
      <c r="K43" s="322">
        <f>ROUND(IF(I12=0, 0, I43/I12),5)</f>
        <v>9.6399999999999993E-3</v>
      </c>
    </row>
    <row r="44" spans="1:16" x14ac:dyDescent="0.25">
      <c r="A44" s="27"/>
      <c r="B44" s="27"/>
      <c r="C44" s="27"/>
      <c r="D44" s="27"/>
      <c r="E44" s="27"/>
      <c r="F44" s="27"/>
      <c r="G44" s="27"/>
      <c r="H44" s="27" t="s">
        <v>742</v>
      </c>
      <c r="I44" s="28">
        <v>75000</v>
      </c>
      <c r="J44" s="321"/>
      <c r="K44" s="322">
        <f>ROUND(IF(I12=0, 0, I44/I12),5)</f>
        <v>7.6E-3</v>
      </c>
    </row>
    <row r="45" spans="1:16" x14ac:dyDescent="0.25">
      <c r="A45" s="27"/>
      <c r="B45" s="27"/>
      <c r="C45" s="27"/>
      <c r="D45" s="27"/>
      <c r="E45" s="27"/>
      <c r="F45" s="27"/>
      <c r="G45" s="27"/>
      <c r="H45" s="27" t="s">
        <v>777</v>
      </c>
      <c r="I45" s="28">
        <v>104000</v>
      </c>
      <c r="J45" s="321"/>
      <c r="K45" s="322">
        <f>ROUND(IF(I12=0, 0, I45/I12),5)</f>
        <v>1.0529999999999999E-2</v>
      </c>
    </row>
    <row r="46" spans="1:16" ht="15.75" thickBot="1" x14ac:dyDescent="0.3">
      <c r="A46" s="27"/>
      <c r="B46" s="27"/>
      <c r="C46" s="27"/>
      <c r="D46" s="27"/>
      <c r="E46" s="27"/>
      <c r="F46" s="27"/>
      <c r="G46" s="27"/>
      <c r="H46" s="27" t="s">
        <v>778</v>
      </c>
      <c r="I46" s="29">
        <v>89000</v>
      </c>
      <c r="J46" s="321"/>
      <c r="K46" s="326">
        <f>ROUND(IF(I12=0, 0, I46/I12),5)</f>
        <v>9.0100000000000006E-3</v>
      </c>
    </row>
    <row r="47" spans="1:16" x14ac:dyDescent="0.25">
      <c r="A47" s="27"/>
      <c r="B47" s="27"/>
      <c r="C47" s="27"/>
      <c r="D47" s="27"/>
      <c r="E47" s="27"/>
      <c r="F47" s="27"/>
      <c r="G47" s="27" t="s">
        <v>471</v>
      </c>
      <c r="H47" s="27"/>
      <c r="I47" s="28">
        <f>ROUND(SUM(I29:I46),5)</f>
        <v>6159183.3499999996</v>
      </c>
      <c r="J47" s="321"/>
      <c r="K47" s="322">
        <f>ROUND(IF(I12=0, 0, I47/I12),5)</f>
        <v>0.62385999999999997</v>
      </c>
      <c r="P47" s="197">
        <f>I47-'P5'!I48</f>
        <v>0</v>
      </c>
    </row>
    <row r="48" spans="1:16" ht="30" customHeight="1" x14ac:dyDescent="0.25">
      <c r="A48" s="27"/>
      <c r="B48" s="27"/>
      <c r="C48" s="27"/>
      <c r="D48" s="27"/>
      <c r="E48" s="27"/>
      <c r="F48" s="27"/>
      <c r="G48" s="27" t="s">
        <v>779</v>
      </c>
      <c r="H48" s="27"/>
      <c r="I48" s="315">
        <v>199092.67</v>
      </c>
      <c r="J48" s="321"/>
      <c r="K48" s="322">
        <f>ROUND(IF(I12=0, 0, I48/I12),5)</f>
        <v>2.017E-2</v>
      </c>
      <c r="M48" s="107"/>
    </row>
    <row r="49" spans="1:11" ht="15.75" thickBot="1" x14ac:dyDescent="0.3">
      <c r="A49" s="27"/>
      <c r="B49" s="27"/>
      <c r="C49" s="27"/>
      <c r="D49" s="27"/>
      <c r="E49" s="27"/>
      <c r="F49" s="27"/>
      <c r="G49" s="27" t="s">
        <v>839</v>
      </c>
      <c r="H49" s="27"/>
      <c r="I49" s="29">
        <v>409785</v>
      </c>
      <c r="J49" s="321"/>
      <c r="K49" s="326">
        <f>ROUND(IF(I12=0, 0, I49/I12),5)</f>
        <v>4.1509999999999998E-2</v>
      </c>
    </row>
    <row r="50" spans="1:11" x14ac:dyDescent="0.25">
      <c r="A50" s="27"/>
      <c r="B50" s="27"/>
      <c r="C50" s="27"/>
      <c r="D50" s="27"/>
      <c r="E50" s="27"/>
      <c r="F50" s="27" t="s">
        <v>780</v>
      </c>
      <c r="G50" s="27"/>
      <c r="H50" s="27"/>
      <c r="I50" s="28">
        <f>ROUND(SUM(I16:I18)+I22+SUM(I25:I28)+SUM(I47:I49),5)</f>
        <v>6929793.9199999999</v>
      </c>
      <c r="J50" s="321"/>
      <c r="K50" s="322">
        <f>ROUND(IF(I12=0, 0, I50/I12),5)</f>
        <v>0.70191000000000003</v>
      </c>
    </row>
    <row r="51" spans="1:11" ht="30" customHeight="1" x14ac:dyDescent="0.25">
      <c r="A51" s="27"/>
      <c r="B51" s="27"/>
      <c r="C51" s="27"/>
      <c r="D51" s="27"/>
      <c r="E51" s="27"/>
      <c r="F51" s="27" t="s">
        <v>781</v>
      </c>
      <c r="G51" s="27"/>
      <c r="H51" s="27"/>
      <c r="I51" s="28"/>
      <c r="J51" s="321"/>
      <c r="K51" s="322"/>
    </row>
    <row r="52" spans="1:11" x14ac:dyDescent="0.25">
      <c r="A52" s="27"/>
      <c r="B52" s="27"/>
      <c r="C52" s="27"/>
      <c r="D52" s="27"/>
      <c r="E52" s="27"/>
      <c r="F52" s="27"/>
      <c r="G52" s="27" t="s">
        <v>718</v>
      </c>
      <c r="H52" s="27"/>
      <c r="I52" s="28"/>
      <c r="J52" s="321"/>
      <c r="K52" s="322"/>
    </row>
    <row r="53" spans="1:11" ht="15.75" thickBot="1" x14ac:dyDescent="0.3">
      <c r="A53" s="27"/>
      <c r="B53" s="27"/>
      <c r="C53" s="27"/>
      <c r="D53" s="27"/>
      <c r="E53" s="27"/>
      <c r="F53" s="27"/>
      <c r="G53" s="27"/>
      <c r="H53" s="27" t="s">
        <v>783</v>
      </c>
      <c r="I53" s="29">
        <v>123010.35</v>
      </c>
      <c r="J53" s="321"/>
      <c r="K53" s="326">
        <f>ROUND(IF(I12=0, 0, I53/I12),5)</f>
        <v>1.2460000000000001E-2</v>
      </c>
    </row>
    <row r="54" spans="1:11" x14ac:dyDescent="0.25">
      <c r="A54" s="27"/>
      <c r="B54" s="27"/>
      <c r="C54" s="27"/>
      <c r="D54" s="27"/>
      <c r="E54" s="27"/>
      <c r="F54" s="27"/>
      <c r="G54" s="27" t="s">
        <v>784</v>
      </c>
      <c r="H54" s="27"/>
      <c r="I54" s="28">
        <f>ROUND(SUM(I52:I53),5)</f>
        <v>123010.35</v>
      </c>
      <c r="J54" s="321"/>
      <c r="K54" s="322">
        <f>ROUND(IF(I12=0, 0, I54/I12),5)</f>
        <v>1.2460000000000001E-2</v>
      </c>
    </row>
    <row r="55" spans="1:11" ht="30" customHeight="1" thickBot="1" x14ac:dyDescent="0.3">
      <c r="A55" s="27"/>
      <c r="B55" s="27"/>
      <c r="C55" s="27"/>
      <c r="D55" s="27"/>
      <c r="E55" s="27"/>
      <c r="F55" s="27"/>
      <c r="G55" s="27" t="s">
        <v>787</v>
      </c>
      <c r="H55" s="27"/>
      <c r="I55" s="29">
        <v>143651.14000000001</v>
      </c>
      <c r="J55" s="321"/>
      <c r="K55" s="326">
        <f>ROUND(IF(I12=0, 0, I55/I12),5)</f>
        <v>1.455E-2</v>
      </c>
    </row>
    <row r="56" spans="1:11" x14ac:dyDescent="0.25">
      <c r="A56" s="27"/>
      <c r="B56" s="27"/>
      <c r="C56" s="27"/>
      <c r="D56" s="27"/>
      <c r="E56" s="27"/>
      <c r="F56" s="27" t="s">
        <v>790</v>
      </c>
      <c r="G56" s="27"/>
      <c r="H56" s="27"/>
      <c r="I56" s="28">
        <f>ROUND(I51+SUM(I54:I55),5)</f>
        <v>266661.49</v>
      </c>
      <c r="J56" s="321"/>
      <c r="K56" s="322">
        <f>ROUND(IF(I12=0, 0, I56/I12),5)</f>
        <v>2.7009999999999999E-2</v>
      </c>
    </row>
    <row r="57" spans="1:11" ht="30" customHeight="1" x14ac:dyDescent="0.25">
      <c r="A57" s="27"/>
      <c r="B57" s="27"/>
      <c r="C57" s="27"/>
      <c r="D57" s="27"/>
      <c r="E57" s="27"/>
      <c r="F57" s="27" t="s">
        <v>791</v>
      </c>
      <c r="G57" s="27"/>
      <c r="H57" s="27"/>
      <c r="I57" s="28"/>
      <c r="J57" s="321"/>
      <c r="K57" s="322"/>
    </row>
    <row r="58" spans="1:11" x14ac:dyDescent="0.25">
      <c r="A58" s="27"/>
      <c r="B58" s="27"/>
      <c r="C58" s="27"/>
      <c r="D58" s="27"/>
      <c r="E58" s="27"/>
      <c r="F58" s="27"/>
      <c r="G58" s="27" t="s">
        <v>792</v>
      </c>
      <c r="H58" s="27"/>
      <c r="I58" s="28">
        <v>2638.63</v>
      </c>
      <c r="J58" s="321"/>
      <c r="K58" s="322">
        <f>ROUND(IF(I12=0, 0, I58/I12),5)</f>
        <v>2.7E-4</v>
      </c>
    </row>
    <row r="59" spans="1:11" x14ac:dyDescent="0.25">
      <c r="A59" s="27"/>
      <c r="B59" s="27"/>
      <c r="C59" s="27"/>
      <c r="D59" s="27"/>
      <c r="E59" s="27"/>
      <c r="F59" s="27"/>
      <c r="G59" s="27" t="s">
        <v>793</v>
      </c>
      <c r="H59" s="27"/>
      <c r="I59" s="28">
        <v>52597.38</v>
      </c>
      <c r="J59" s="321"/>
      <c r="K59" s="322">
        <f>ROUND(IF(I12=0, 0, I59/I12),5)</f>
        <v>5.3299999999999997E-3</v>
      </c>
    </row>
    <row r="60" spans="1:11" x14ac:dyDescent="0.25">
      <c r="A60" s="27"/>
      <c r="B60" s="27"/>
      <c r="C60" s="27"/>
      <c r="D60" s="27"/>
      <c r="E60" s="27"/>
      <c r="F60" s="27"/>
      <c r="G60" s="27" t="s">
        <v>794</v>
      </c>
      <c r="H60" s="27"/>
      <c r="I60" s="28">
        <v>2400</v>
      </c>
      <c r="J60" s="321"/>
      <c r="K60" s="322">
        <f>ROUND(IF(I12=0, 0, I60/I12),5)</f>
        <v>2.4000000000000001E-4</v>
      </c>
    </row>
    <row r="61" spans="1:11" x14ac:dyDescent="0.25">
      <c r="A61" s="27"/>
      <c r="B61" s="27"/>
      <c r="C61" s="27"/>
      <c r="D61" s="27"/>
      <c r="E61" s="27"/>
      <c r="F61" s="27"/>
      <c r="G61" s="27" t="s">
        <v>749</v>
      </c>
      <c r="H61" s="27"/>
      <c r="I61" s="28">
        <v>3016.67</v>
      </c>
      <c r="J61" s="321"/>
      <c r="K61" s="322">
        <f>ROUND(IF(I12=0, 0, I61/I12),5)</f>
        <v>3.1E-4</v>
      </c>
    </row>
    <row r="62" spans="1:11" ht="15.75" thickBot="1" x14ac:dyDescent="0.3">
      <c r="A62" s="27"/>
      <c r="B62" s="27"/>
      <c r="C62" s="27"/>
      <c r="D62" s="27"/>
      <c r="E62" s="27"/>
      <c r="F62" s="27"/>
      <c r="G62" s="27" t="s">
        <v>795</v>
      </c>
      <c r="H62" s="27"/>
      <c r="I62" s="29">
        <v>149605.31</v>
      </c>
      <c r="J62" s="321"/>
      <c r="K62" s="326">
        <f>ROUND(IF(I12=0, 0, I62/I12),5)</f>
        <v>1.515E-2</v>
      </c>
    </row>
    <row r="63" spans="1:11" x14ac:dyDescent="0.25">
      <c r="A63" s="27"/>
      <c r="B63" s="27"/>
      <c r="C63" s="27"/>
      <c r="D63" s="27"/>
      <c r="E63" s="27"/>
      <c r="F63" s="27" t="s">
        <v>796</v>
      </c>
      <c r="G63" s="27"/>
      <c r="H63" s="27"/>
      <c r="I63" s="28">
        <f>ROUND(SUM(I57:I62),5)</f>
        <v>210257.99</v>
      </c>
      <c r="J63" s="321"/>
      <c r="K63" s="322">
        <f>ROUND(IF(I12=0, 0, I63/I12),5)</f>
        <v>2.1299999999999999E-2</v>
      </c>
    </row>
    <row r="64" spans="1:11" ht="30" customHeight="1" x14ac:dyDescent="0.25">
      <c r="A64" s="27"/>
      <c r="B64" s="27"/>
      <c r="C64" s="27"/>
      <c r="D64" s="27"/>
      <c r="E64" s="27"/>
      <c r="F64" s="27" t="s">
        <v>797</v>
      </c>
      <c r="G64" s="27"/>
      <c r="H64" s="27"/>
      <c r="I64" s="28"/>
      <c r="J64" s="321"/>
      <c r="K64" s="322"/>
    </row>
    <row r="65" spans="1:11" x14ac:dyDescent="0.25">
      <c r="A65" s="27"/>
      <c r="B65" s="27"/>
      <c r="C65" s="27"/>
      <c r="D65" s="27"/>
      <c r="E65" s="27"/>
      <c r="F65" s="27"/>
      <c r="G65" s="27" t="s">
        <v>820</v>
      </c>
      <c r="H65" s="27"/>
      <c r="I65" s="28">
        <v>97000</v>
      </c>
      <c r="J65" s="321"/>
      <c r="K65" s="322">
        <f>ROUND(IF(I12=0, 0, I65/I12),5)</f>
        <v>9.8300000000000002E-3</v>
      </c>
    </row>
    <row r="66" spans="1:11" x14ac:dyDescent="0.25">
      <c r="A66" s="27"/>
      <c r="B66" s="27"/>
      <c r="C66" s="27"/>
      <c r="D66" s="27"/>
      <c r="E66" s="27"/>
      <c r="F66" s="27"/>
      <c r="G66" s="27" t="s">
        <v>840</v>
      </c>
      <c r="H66" s="27"/>
      <c r="I66" s="28"/>
      <c r="J66" s="321"/>
      <c r="K66" s="322"/>
    </row>
    <row r="67" spans="1:11" ht="15.75" thickBot="1" x14ac:dyDescent="0.3">
      <c r="A67" s="27"/>
      <c r="B67" s="27"/>
      <c r="C67" s="27"/>
      <c r="D67" s="27"/>
      <c r="E67" s="27"/>
      <c r="F67" s="27"/>
      <c r="G67" s="27"/>
      <c r="H67" s="27" t="s">
        <v>841</v>
      </c>
      <c r="I67" s="29">
        <v>4580</v>
      </c>
      <c r="J67" s="321"/>
      <c r="K67" s="326">
        <f>ROUND(IF(I12=0, 0, I67/I12),5)</f>
        <v>4.6000000000000001E-4</v>
      </c>
    </row>
    <row r="68" spans="1:11" x14ac:dyDescent="0.25">
      <c r="A68" s="27"/>
      <c r="B68" s="27"/>
      <c r="C68" s="27"/>
      <c r="D68" s="27"/>
      <c r="E68" s="27"/>
      <c r="F68" s="27"/>
      <c r="G68" s="27" t="s">
        <v>842</v>
      </c>
      <c r="H68" s="27"/>
      <c r="I68" s="28">
        <f>ROUND(SUM(I66:I67),5)</f>
        <v>4580</v>
      </c>
      <c r="J68" s="321"/>
      <c r="K68" s="322">
        <f>ROUND(IF(I12=0, 0, I68/I12),5)</f>
        <v>4.6000000000000001E-4</v>
      </c>
    </row>
    <row r="69" spans="1:11" ht="30" customHeight="1" x14ac:dyDescent="0.25">
      <c r="A69" s="27"/>
      <c r="B69" s="27"/>
      <c r="C69" s="27"/>
      <c r="D69" s="27"/>
      <c r="E69" s="27"/>
      <c r="F69" s="27"/>
      <c r="G69" s="27" t="s">
        <v>798</v>
      </c>
      <c r="H69" s="27"/>
      <c r="I69" s="28">
        <v>164590.71</v>
      </c>
      <c r="J69" s="321"/>
      <c r="K69" s="322">
        <f>ROUND(IF(I12=0, 0, I69/I12),5)</f>
        <v>1.6670000000000001E-2</v>
      </c>
    </row>
    <row r="70" spans="1:11" x14ac:dyDescent="0.25">
      <c r="A70" s="27"/>
      <c r="B70" s="27"/>
      <c r="C70" s="27"/>
      <c r="D70" s="27"/>
      <c r="E70" s="27"/>
      <c r="F70" s="27"/>
      <c r="G70" s="27" t="s">
        <v>799</v>
      </c>
      <c r="H70" s="27"/>
      <c r="I70" s="28">
        <v>15000</v>
      </c>
      <c r="J70" s="321"/>
      <c r="K70" s="322">
        <f>ROUND(IF(I12=0, 0, I70/I12),5)</f>
        <v>1.5200000000000001E-3</v>
      </c>
    </row>
    <row r="71" spans="1:11" ht="15.75" thickBot="1" x14ac:dyDescent="0.3">
      <c r="A71" s="27"/>
      <c r="B71" s="27"/>
      <c r="C71" s="27"/>
      <c r="D71" s="27"/>
      <c r="E71" s="27"/>
      <c r="F71" s="27"/>
      <c r="G71" s="27" t="s">
        <v>843</v>
      </c>
      <c r="H71" s="27"/>
      <c r="I71" s="29">
        <v>22034</v>
      </c>
      <c r="J71" s="321"/>
      <c r="K71" s="326">
        <f>ROUND(IF(I12=0, 0, I71/I12),5)</f>
        <v>2.2300000000000002E-3</v>
      </c>
    </row>
    <row r="72" spans="1:11" x14ac:dyDescent="0.25">
      <c r="A72" s="27"/>
      <c r="B72" s="27"/>
      <c r="C72" s="27"/>
      <c r="D72" s="27"/>
      <c r="E72" s="27"/>
      <c r="F72" s="27" t="s">
        <v>800</v>
      </c>
      <c r="G72" s="27"/>
      <c r="H72" s="27"/>
      <c r="I72" s="28">
        <f>ROUND(SUM(I64:I65)+SUM(I68:I71),5)</f>
        <v>303204.71000000002</v>
      </c>
      <c r="J72" s="321"/>
      <c r="K72" s="322">
        <f>ROUND(IF(I12=0, 0, I72/I12),5)</f>
        <v>3.0710000000000001E-2</v>
      </c>
    </row>
    <row r="73" spans="1:11" ht="30" customHeight="1" x14ac:dyDescent="0.25">
      <c r="A73" s="27"/>
      <c r="B73" s="27"/>
      <c r="C73" s="27"/>
      <c r="D73" s="27"/>
      <c r="E73" s="27"/>
      <c r="F73" s="27" t="s">
        <v>801</v>
      </c>
      <c r="G73" s="27"/>
      <c r="H73" s="27"/>
      <c r="I73" s="28"/>
      <c r="J73" s="321"/>
      <c r="K73" s="322"/>
    </row>
    <row r="74" spans="1:11" x14ac:dyDescent="0.25">
      <c r="A74" s="27"/>
      <c r="B74" s="27"/>
      <c r="C74" s="27"/>
      <c r="D74" s="27"/>
      <c r="E74" s="27"/>
      <c r="F74" s="27"/>
      <c r="G74" s="27" t="s">
        <v>802</v>
      </c>
      <c r="H74" s="27"/>
      <c r="I74" s="28">
        <v>88692.35</v>
      </c>
      <c r="J74" s="321"/>
      <c r="K74" s="322">
        <f>ROUND(IF(I12=0, 0, I74/I12),5)</f>
        <v>8.9800000000000001E-3</v>
      </c>
    </row>
    <row r="75" spans="1:11" x14ac:dyDescent="0.25">
      <c r="A75" s="27"/>
      <c r="B75" s="27"/>
      <c r="C75" s="27"/>
      <c r="D75" s="27"/>
      <c r="E75" s="27"/>
      <c r="F75" s="27"/>
      <c r="G75" s="27" t="s">
        <v>804</v>
      </c>
      <c r="H75" s="27"/>
      <c r="I75" s="28">
        <v>125000</v>
      </c>
      <c r="J75" s="321"/>
      <c r="K75" s="322">
        <f>ROUND(IF(I12=0, 0, I75/I12),5)</f>
        <v>1.2659999999999999E-2</v>
      </c>
    </row>
    <row r="76" spans="1:11" x14ac:dyDescent="0.25">
      <c r="A76" s="27"/>
      <c r="B76" s="27"/>
      <c r="C76" s="27"/>
      <c r="D76" s="27"/>
      <c r="E76" s="27"/>
      <c r="F76" s="27"/>
      <c r="G76" s="27" t="s">
        <v>805</v>
      </c>
      <c r="H76" s="27"/>
      <c r="I76" s="28">
        <v>13045</v>
      </c>
      <c r="J76" s="321"/>
      <c r="K76" s="322">
        <f>ROUND(IF(I12=0, 0, I76/I12),5)</f>
        <v>1.32E-3</v>
      </c>
    </row>
    <row r="77" spans="1:11" ht="15.75" thickBot="1" x14ac:dyDescent="0.3">
      <c r="A77" s="27"/>
      <c r="B77" s="27"/>
      <c r="C77" s="27"/>
      <c r="D77" s="27"/>
      <c r="E77" s="27"/>
      <c r="F77" s="27"/>
      <c r="G77" s="27" t="s">
        <v>826</v>
      </c>
      <c r="H77" s="27"/>
      <c r="I77" s="30">
        <v>10359.950000000001</v>
      </c>
      <c r="J77" s="321"/>
      <c r="K77" s="323">
        <f>ROUND(IF(I12=0, 0, I77/I12),5)</f>
        <v>1.0499999999999999E-3</v>
      </c>
    </row>
    <row r="78" spans="1:11" ht="15.75" thickBot="1" x14ac:dyDescent="0.3">
      <c r="A78" s="27"/>
      <c r="B78" s="27"/>
      <c r="C78" s="27"/>
      <c r="D78" s="27"/>
      <c r="E78" s="27"/>
      <c r="F78" s="27" t="s">
        <v>806</v>
      </c>
      <c r="G78" s="27"/>
      <c r="H78" s="27"/>
      <c r="I78" s="33">
        <f>ROUND(SUM(I73:I77),5)</f>
        <v>237097.3</v>
      </c>
      <c r="J78" s="321"/>
      <c r="K78" s="325">
        <f>ROUND(IF(I12=0, 0, I78/I12),5)</f>
        <v>2.402E-2</v>
      </c>
    </row>
    <row r="79" spans="1:11" ht="30" customHeight="1" x14ac:dyDescent="0.25">
      <c r="A79" s="27"/>
      <c r="B79" s="27"/>
      <c r="C79" s="27"/>
      <c r="D79" s="27"/>
      <c r="E79" s="27" t="s">
        <v>807</v>
      </c>
      <c r="F79" s="27"/>
      <c r="G79" s="27"/>
      <c r="H79" s="27"/>
      <c r="I79" s="28">
        <f>ROUND(I15+I50+I56+I63+I72+I78,5)</f>
        <v>7947015.4100000001</v>
      </c>
      <c r="J79" s="321"/>
      <c r="K79" s="322">
        <f>ROUND(IF(I12=0, 0, I79/I12),5)</f>
        <v>0.80493999999999999</v>
      </c>
    </row>
    <row r="80" spans="1:11" ht="30" customHeight="1" x14ac:dyDescent="0.25">
      <c r="A80" s="27"/>
      <c r="B80" s="27"/>
      <c r="C80" s="27"/>
      <c r="D80" s="27"/>
      <c r="E80" s="27" t="s">
        <v>808</v>
      </c>
      <c r="F80" s="27"/>
      <c r="G80" s="27"/>
      <c r="H80" s="27"/>
      <c r="I80" s="28"/>
      <c r="J80" s="321"/>
      <c r="K80" s="322"/>
    </row>
    <row r="81" spans="1:11" ht="15.75" thickBot="1" x14ac:dyDescent="0.3">
      <c r="A81" s="27"/>
      <c r="B81" s="27"/>
      <c r="C81" s="27"/>
      <c r="D81" s="27"/>
      <c r="E81" s="27"/>
      <c r="F81" s="27" t="s">
        <v>810</v>
      </c>
      <c r="G81" s="27"/>
      <c r="H81" s="27"/>
      <c r="I81" s="30">
        <v>325434</v>
      </c>
      <c r="J81" s="321"/>
      <c r="K81" s="323">
        <f>ROUND(IF(I12=0, 0, I81/I12),5)</f>
        <v>3.2960000000000003E-2</v>
      </c>
    </row>
    <row r="82" spans="1:11" ht="15.75" thickBot="1" x14ac:dyDescent="0.3">
      <c r="A82" s="27"/>
      <c r="B82" s="27"/>
      <c r="C82" s="27"/>
      <c r="D82" s="27"/>
      <c r="E82" s="27" t="s">
        <v>811</v>
      </c>
      <c r="F82" s="27"/>
      <c r="G82" s="27"/>
      <c r="H82" s="27"/>
      <c r="I82" s="34">
        <f>ROUND(SUM(I80:I81),5)</f>
        <v>325434</v>
      </c>
      <c r="J82" s="321"/>
      <c r="K82" s="324">
        <f>ROUND(IF(I12=0, 0, I82/I12),5)</f>
        <v>3.2960000000000003E-2</v>
      </c>
    </row>
    <row r="83" spans="1:11" ht="30" customHeight="1" thickBot="1" x14ac:dyDescent="0.3">
      <c r="A83" s="27"/>
      <c r="B83" s="27"/>
      <c r="C83" s="27"/>
      <c r="D83" s="27" t="s">
        <v>357</v>
      </c>
      <c r="E83" s="27"/>
      <c r="F83" s="27"/>
      <c r="G83" s="27"/>
      <c r="H83" s="27"/>
      <c r="I83" s="34">
        <f>ROUND(I14+I79+I82,5)</f>
        <v>8272449.4100000001</v>
      </c>
      <c r="J83" s="321"/>
      <c r="K83" s="324">
        <f>ROUND(IF(I12=0, 0, I83/I12),5)</f>
        <v>0.83791000000000004</v>
      </c>
    </row>
    <row r="84" spans="1:11" ht="30" customHeight="1" thickBot="1" x14ac:dyDescent="0.3">
      <c r="A84" s="27"/>
      <c r="B84" s="27" t="s">
        <v>358</v>
      </c>
      <c r="C84" s="27"/>
      <c r="D84" s="27"/>
      <c r="E84" s="27"/>
      <c r="F84" s="27"/>
      <c r="G84" s="27"/>
      <c r="H84" s="27"/>
      <c r="I84" s="34">
        <f>ROUND(I3+I13-I83,5)</f>
        <v>1600310.59</v>
      </c>
      <c r="J84" s="321"/>
      <c r="K84" s="324">
        <f>ROUND(IF(I12=0, 0, I84/I12),5)</f>
        <v>0.16209000000000001</v>
      </c>
    </row>
    <row r="85" spans="1:11" s="104" customFormat="1" ht="30" customHeight="1" thickBot="1" x14ac:dyDescent="0.25">
      <c r="A85" s="27" t="s">
        <v>372</v>
      </c>
      <c r="B85" s="27"/>
      <c r="C85" s="27"/>
      <c r="D85" s="27"/>
      <c r="E85" s="27"/>
      <c r="F85" s="27"/>
      <c r="G85" s="27"/>
      <c r="H85" s="27"/>
      <c r="I85" s="35">
        <f>I84</f>
        <v>1600310.59</v>
      </c>
      <c r="J85" s="27"/>
      <c r="K85" s="327">
        <f>ROUND(IF(I12=0, 0, I85/I12),5)</f>
        <v>0.16209000000000001</v>
      </c>
    </row>
    <row r="86" spans="1:11" ht="15.75" thickTop="1" x14ac:dyDescent="0.25"/>
  </sheetData>
  <pageMargins left="0.7" right="0.7" top="0.75" bottom="0.75" header="0.25" footer="0.3"/>
  <pageSetup orientation="portrait" r:id="rId1"/>
  <headerFooter>
    <oddHeader>&amp;L&amp;"Arial,Bold"&amp;8 2:42 AM
&amp;"Arial,Bold"&amp;8 07/04/16
&amp;"Arial,Bold"&amp;8 Accrual Basis&amp;C&amp;"Arial,Bold"&amp;12 TeKnowledge Shared Services (Pvt) Ltd
&amp;"Arial,Bold"&amp;14 Profit &amp;&amp; Loss
&amp;"Arial,Bold"&amp;10 May 27 through June 30, 2016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234498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234498" r:id="rId4" name="HEADER"/>
      </mc:Fallback>
    </mc:AlternateContent>
    <mc:AlternateContent xmlns:mc="http://schemas.openxmlformats.org/markup-compatibility/2006">
      <mc:Choice Requires="x14">
        <control shapeId="234497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234497" r:id="rId6" name="FILTER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23"/>
  <sheetViews>
    <sheetView topLeftCell="A13" workbookViewId="0">
      <selection activeCell="J10" sqref="J10"/>
    </sheetView>
  </sheetViews>
  <sheetFormatPr defaultRowHeight="15" x14ac:dyDescent="0.25"/>
  <cols>
    <col min="1" max="7" width="3" style="50" customWidth="1"/>
    <col min="8" max="8" width="28.7109375" style="50" customWidth="1"/>
    <col min="9" max="9" width="15.42578125" style="26" bestFit="1" customWidth="1"/>
    <col min="10" max="10" width="10.140625" style="23" bestFit="1" customWidth="1"/>
    <col min="11" max="11" width="18.140625" style="23" bestFit="1" customWidth="1"/>
    <col min="12" max="13" width="9.140625" style="23"/>
    <col min="14" max="14" width="31.140625" style="23" bestFit="1" customWidth="1"/>
    <col min="15" max="15" width="13.28515625" style="23" bestFit="1" customWidth="1"/>
    <col min="16" max="16" width="18.140625" style="23" bestFit="1" customWidth="1"/>
    <col min="17" max="16384" width="9.140625" style="23"/>
  </cols>
  <sheetData>
    <row r="1" spans="1:16" s="102" customFormat="1" ht="15.75" thickBot="1" x14ac:dyDescent="0.3">
      <c r="A1" s="31"/>
      <c r="B1" s="31"/>
      <c r="C1" s="31"/>
      <c r="D1" s="31"/>
      <c r="E1" s="31"/>
      <c r="F1" s="31"/>
      <c r="G1" s="31"/>
      <c r="H1" s="31"/>
      <c r="I1" s="32" t="s">
        <v>830</v>
      </c>
      <c r="N1" s="23"/>
      <c r="O1" s="23"/>
    </row>
    <row r="2" spans="1:16" ht="15.75" thickTop="1" x14ac:dyDescent="0.25">
      <c r="A2" s="27"/>
      <c r="B2" s="27" t="s">
        <v>53</v>
      </c>
      <c r="C2" s="27"/>
      <c r="D2" s="27"/>
      <c r="E2" s="27"/>
      <c r="F2" s="27"/>
      <c r="G2" s="27"/>
      <c r="H2" s="27"/>
      <c r="I2" s="28"/>
      <c r="N2" s="226" t="s">
        <v>622</v>
      </c>
      <c r="O2" s="227" t="s">
        <v>621</v>
      </c>
    </row>
    <row r="3" spans="1:16" x14ac:dyDescent="0.25">
      <c r="A3" s="27"/>
      <c r="B3" s="27"/>
      <c r="C3" s="27"/>
      <c r="D3" s="27" t="s">
        <v>54</v>
      </c>
      <c r="E3" s="27"/>
      <c r="F3" s="27"/>
      <c r="G3" s="27"/>
      <c r="H3" s="27"/>
      <c r="I3" s="28"/>
      <c r="N3" s="164" t="s">
        <v>812</v>
      </c>
      <c r="O3" s="295">
        <f>I48</f>
        <v>6159183.3499999996</v>
      </c>
    </row>
    <row r="4" spans="1:16" x14ac:dyDescent="0.25">
      <c r="A4" s="27"/>
      <c r="B4" s="27"/>
      <c r="C4" s="27"/>
      <c r="D4" s="27"/>
      <c r="E4" s="27" t="s">
        <v>751</v>
      </c>
      <c r="F4" s="27"/>
      <c r="G4" s="27"/>
      <c r="H4" s="27"/>
      <c r="I4" s="28"/>
      <c r="N4" s="164" t="s">
        <v>814</v>
      </c>
      <c r="O4" s="296">
        <f>I16</f>
        <v>0</v>
      </c>
    </row>
    <row r="5" spans="1:16" x14ac:dyDescent="0.25">
      <c r="A5" s="27"/>
      <c r="B5" s="27"/>
      <c r="C5" s="27"/>
      <c r="D5" s="27"/>
      <c r="E5" s="27"/>
      <c r="F5" s="27" t="s">
        <v>752</v>
      </c>
      <c r="G5" s="27"/>
      <c r="H5" s="27"/>
      <c r="I5" s="28">
        <v>143880</v>
      </c>
      <c r="N5" s="164" t="s">
        <v>815</v>
      </c>
      <c r="O5" s="296">
        <f>I22</f>
        <v>0</v>
      </c>
    </row>
    <row r="6" spans="1:16" ht="30" customHeight="1" x14ac:dyDescent="0.25">
      <c r="A6" s="27"/>
      <c r="B6" s="27"/>
      <c r="C6" s="27"/>
      <c r="D6" s="27"/>
      <c r="E6" s="27"/>
      <c r="F6" s="27" t="s">
        <v>753</v>
      </c>
      <c r="G6" s="27"/>
      <c r="H6" s="27"/>
      <c r="I6" s="28">
        <v>1018500</v>
      </c>
      <c r="N6" s="297" t="s">
        <v>25</v>
      </c>
      <c r="O6" s="298">
        <f>SUM(O3:O5)</f>
        <v>6159183.3499999996</v>
      </c>
    </row>
    <row r="7" spans="1:16" ht="30" customHeight="1" x14ac:dyDescent="0.25">
      <c r="A7" s="27"/>
      <c r="B7" s="27"/>
      <c r="C7" s="27"/>
      <c r="D7" s="27"/>
      <c r="E7" s="27"/>
      <c r="F7" s="27" t="s">
        <v>754</v>
      </c>
      <c r="G7" s="27"/>
      <c r="H7" s="27"/>
      <c r="I7" s="28">
        <f>863280+2175000</f>
        <v>3038280</v>
      </c>
      <c r="N7" s="299"/>
      <c r="O7" s="300"/>
    </row>
    <row r="8" spans="1:16" x14ac:dyDescent="0.25">
      <c r="A8" s="27"/>
      <c r="B8" s="27"/>
      <c r="C8" s="27"/>
      <c r="D8" s="27"/>
      <c r="E8" s="27"/>
      <c r="F8" s="27" t="s">
        <v>755</v>
      </c>
      <c r="G8" s="27"/>
      <c r="H8" s="27"/>
      <c r="I8" s="28">
        <v>5672100</v>
      </c>
      <c r="K8" s="111">
        <f>I8/50000</f>
        <v>113.44199999999999</v>
      </c>
      <c r="N8" s="301" t="s">
        <v>743</v>
      </c>
      <c r="O8" s="302" t="s">
        <v>621</v>
      </c>
    </row>
    <row r="9" spans="1:16" ht="15.75" thickBot="1" x14ac:dyDescent="0.3">
      <c r="A9" s="27"/>
      <c r="B9" s="27"/>
      <c r="C9" s="27"/>
      <c r="D9" s="27"/>
      <c r="E9" s="27"/>
      <c r="F9" s="27" t="s">
        <v>756</v>
      </c>
      <c r="G9" s="27"/>
      <c r="H9" s="27"/>
      <c r="I9" s="30"/>
      <c r="N9" s="164" t="s">
        <v>813</v>
      </c>
      <c r="O9" s="186">
        <f>I82-O6</f>
        <v>2562418.7599999998</v>
      </c>
    </row>
    <row r="10" spans="1:16" ht="15.75" thickBot="1" x14ac:dyDescent="0.3">
      <c r="A10" s="27"/>
      <c r="B10" s="27"/>
      <c r="C10" s="27"/>
      <c r="D10" s="27"/>
      <c r="E10" s="27" t="s">
        <v>757</v>
      </c>
      <c r="F10" s="27"/>
      <c r="G10" s="27"/>
      <c r="H10" s="27"/>
      <c r="I10" s="34">
        <f>ROUND(SUM(I4:I9),5)</f>
        <v>9872760</v>
      </c>
      <c r="N10" s="303" t="s">
        <v>25</v>
      </c>
      <c r="O10" s="304">
        <f>SUM(O9:O9)</f>
        <v>2562418.7599999998</v>
      </c>
    </row>
    <row r="11" spans="1:16" ht="15.75" thickBot="1" x14ac:dyDescent="0.3">
      <c r="A11" s="27"/>
      <c r="B11" s="27"/>
      <c r="C11" s="27"/>
      <c r="D11" s="27" t="s">
        <v>88</v>
      </c>
      <c r="E11" s="27"/>
      <c r="F11" s="27"/>
      <c r="G11" s="27"/>
      <c r="H11" s="27"/>
      <c r="I11" s="33">
        <f>ROUND(I3+I10,5)</f>
        <v>9872760</v>
      </c>
      <c r="O11" s="111"/>
    </row>
    <row r="12" spans="1:16" x14ac:dyDescent="0.25">
      <c r="A12" s="27"/>
      <c r="B12" s="27"/>
      <c r="C12" s="27" t="s">
        <v>147</v>
      </c>
      <c r="D12" s="27"/>
      <c r="E12" s="27"/>
      <c r="F12" s="27"/>
      <c r="G12" s="27"/>
      <c r="H12" s="27"/>
      <c r="I12" s="28">
        <f>I11</f>
        <v>9872760</v>
      </c>
      <c r="O12" s="108">
        <f>O6+O10-I82</f>
        <v>0</v>
      </c>
    </row>
    <row r="13" spans="1:16" x14ac:dyDescent="0.25">
      <c r="A13" s="27"/>
      <c r="B13" s="27"/>
      <c r="C13" s="27"/>
      <c r="D13" s="27" t="s">
        <v>148</v>
      </c>
      <c r="E13" s="27"/>
      <c r="F13" s="27"/>
      <c r="G13" s="27"/>
      <c r="H13" s="27"/>
      <c r="I13" s="28"/>
      <c r="O13" s="108"/>
    </row>
    <row r="14" spans="1:16" x14ac:dyDescent="0.25">
      <c r="A14" s="27"/>
      <c r="B14" s="27"/>
      <c r="C14" s="27"/>
      <c r="D14" s="27"/>
      <c r="E14" s="27" t="s">
        <v>758</v>
      </c>
      <c r="F14" s="27"/>
      <c r="G14" s="27"/>
      <c r="H14" s="27"/>
      <c r="I14" s="28"/>
      <c r="O14" s="107"/>
    </row>
    <row r="15" spans="1:16" x14ac:dyDescent="0.25">
      <c r="A15" s="27"/>
      <c r="B15" s="27"/>
      <c r="C15" s="27"/>
      <c r="D15" s="27"/>
      <c r="E15" s="27"/>
      <c r="F15" s="27" t="s">
        <v>759</v>
      </c>
      <c r="G15" s="27"/>
      <c r="H15" s="27"/>
      <c r="I15" s="28"/>
      <c r="O15" s="197"/>
      <c r="P15" s="111"/>
    </row>
    <row r="16" spans="1:16" x14ac:dyDescent="0.25">
      <c r="A16" s="27"/>
      <c r="B16" s="27"/>
      <c r="C16" s="27"/>
      <c r="D16" s="27"/>
      <c r="E16" s="27"/>
      <c r="F16" s="27"/>
      <c r="G16" s="27" t="s">
        <v>760</v>
      </c>
      <c r="H16" s="27"/>
      <c r="I16" s="28"/>
      <c r="N16" s="107">
        <f>'P6'!I17-'P5'!I16</f>
        <v>0</v>
      </c>
      <c r="O16" s="108"/>
    </row>
    <row r="17" spans="1:16" x14ac:dyDescent="0.25">
      <c r="A17" s="27"/>
      <c r="B17" s="27"/>
      <c r="C17" s="27"/>
      <c r="D17" s="27"/>
      <c r="E17" s="27"/>
      <c r="F17" s="27"/>
      <c r="G17" s="27" t="s">
        <v>761</v>
      </c>
      <c r="H17" s="27"/>
      <c r="I17" s="28"/>
      <c r="O17" s="108"/>
    </row>
    <row r="18" spans="1:16" x14ac:dyDescent="0.25">
      <c r="A18" s="27"/>
      <c r="B18" s="27"/>
      <c r="C18" s="27"/>
      <c r="D18" s="27"/>
      <c r="E18" s="27"/>
      <c r="F18" s="27"/>
      <c r="G18" s="27" t="s">
        <v>762</v>
      </c>
      <c r="H18" s="27"/>
      <c r="I18" s="28"/>
      <c r="O18" s="108"/>
    </row>
    <row r="19" spans="1:16" x14ac:dyDescent="0.25">
      <c r="A19" s="27"/>
      <c r="B19" s="27"/>
      <c r="C19" s="27"/>
      <c r="D19" s="27"/>
      <c r="E19" s="27"/>
      <c r="F19" s="27"/>
      <c r="G19" s="27"/>
      <c r="H19" s="27" t="s">
        <v>763</v>
      </c>
      <c r="I19" s="28">
        <v>16375</v>
      </c>
      <c r="O19" s="108"/>
    </row>
    <row r="20" spans="1:16" ht="15.75" thickBot="1" x14ac:dyDescent="0.3">
      <c r="A20" s="27"/>
      <c r="B20" s="27"/>
      <c r="C20" s="27"/>
      <c r="D20" s="27"/>
      <c r="E20" s="27"/>
      <c r="F20" s="27"/>
      <c r="G20" s="27"/>
      <c r="H20" s="27" t="s">
        <v>764</v>
      </c>
      <c r="I20" s="29">
        <v>9450</v>
      </c>
    </row>
    <row r="21" spans="1:16" ht="30" customHeight="1" x14ac:dyDescent="0.25">
      <c r="A21" s="27"/>
      <c r="B21" s="27"/>
      <c r="C21" s="27"/>
      <c r="D21" s="27"/>
      <c r="E21" s="27"/>
      <c r="F21" s="27"/>
      <c r="G21" s="27" t="s">
        <v>766</v>
      </c>
      <c r="H21" s="27"/>
      <c r="I21" s="28">
        <f>ROUND(SUM(I18:I20),5)</f>
        <v>25825</v>
      </c>
    </row>
    <row r="22" spans="1:16" x14ac:dyDescent="0.25">
      <c r="A22" s="27"/>
      <c r="B22" s="27"/>
      <c r="C22" s="27"/>
      <c r="D22" s="27"/>
      <c r="E22" s="27"/>
      <c r="F22" s="27"/>
      <c r="G22" s="27" t="s">
        <v>767</v>
      </c>
      <c r="H22" s="27"/>
      <c r="I22" s="28"/>
    </row>
    <row r="23" spans="1:16" x14ac:dyDescent="0.25">
      <c r="A23" s="27"/>
      <c r="B23" s="27"/>
      <c r="C23" s="27"/>
      <c r="D23" s="27"/>
      <c r="E23" s="27"/>
      <c r="F23" s="27"/>
      <c r="G23" s="27" t="s">
        <v>768</v>
      </c>
      <c r="H23" s="27"/>
      <c r="I23" s="28"/>
    </row>
    <row r="24" spans="1:16" x14ac:dyDescent="0.25">
      <c r="A24" s="27"/>
      <c r="B24" s="27"/>
      <c r="C24" s="27"/>
      <c r="D24" s="27"/>
      <c r="E24" s="27"/>
      <c r="F24" s="27"/>
      <c r="G24" s="27"/>
      <c r="H24" s="27" t="s">
        <v>769</v>
      </c>
      <c r="I24" s="28">
        <v>212726</v>
      </c>
    </row>
    <row r="25" spans="1:16" ht="15.75" thickBot="1" x14ac:dyDescent="0.3">
      <c r="A25" s="27"/>
      <c r="B25" s="27"/>
      <c r="C25" s="27"/>
      <c r="D25" s="27"/>
      <c r="E25" s="27"/>
      <c r="F25" s="27"/>
      <c r="G25" s="27"/>
      <c r="H25" s="27" t="s">
        <v>770</v>
      </c>
      <c r="I25" s="29">
        <v>12723.9</v>
      </c>
    </row>
    <row r="26" spans="1:16" x14ac:dyDescent="0.25">
      <c r="A26" s="27"/>
      <c r="B26" s="27"/>
      <c r="C26" s="27"/>
      <c r="D26" s="27"/>
      <c r="E26" s="27"/>
      <c r="F26" s="27"/>
      <c r="G26" s="27" t="s">
        <v>771</v>
      </c>
      <c r="H26" s="27"/>
      <c r="I26" s="28">
        <f>ROUND(SUM(I23:I25),5)</f>
        <v>225449.9</v>
      </c>
    </row>
    <row r="27" spans="1:16" x14ac:dyDescent="0.25">
      <c r="A27" s="27"/>
      <c r="B27" s="27"/>
      <c r="C27" s="27"/>
      <c r="D27" s="27"/>
      <c r="E27" s="27"/>
      <c r="F27" s="27"/>
      <c r="G27" s="27" t="s">
        <v>772</v>
      </c>
      <c r="H27" s="27"/>
      <c r="I27" s="28">
        <v>53376</v>
      </c>
    </row>
    <row r="28" spans="1:16" ht="30" customHeight="1" x14ac:dyDescent="0.25">
      <c r="A28" s="27"/>
      <c r="B28" s="27"/>
      <c r="C28" s="27"/>
      <c r="D28" s="27"/>
      <c r="E28" s="27"/>
      <c r="F28" s="27"/>
      <c r="G28" s="27" t="s">
        <v>831</v>
      </c>
      <c r="H28" s="27"/>
      <c r="I28" s="28">
        <v>3404</v>
      </c>
    </row>
    <row r="29" spans="1:16" x14ac:dyDescent="0.25">
      <c r="A29" s="27"/>
      <c r="B29" s="27"/>
      <c r="C29" s="27"/>
      <c r="D29" s="27"/>
      <c r="E29" s="27"/>
      <c r="F29" s="27"/>
      <c r="G29" s="27" t="s">
        <v>773</v>
      </c>
      <c r="H29" s="27"/>
      <c r="I29" s="28">
        <v>9600</v>
      </c>
      <c r="P29" s="306"/>
    </row>
    <row r="30" spans="1:16" x14ac:dyDescent="0.25">
      <c r="A30" s="27"/>
      <c r="B30" s="27"/>
      <c r="C30" s="27"/>
      <c r="D30" s="27"/>
      <c r="E30" s="27"/>
      <c r="F30" s="27"/>
      <c r="G30" s="27" t="s">
        <v>428</v>
      </c>
      <c r="H30" s="27"/>
      <c r="I30" s="28"/>
    </row>
    <row r="31" spans="1:16" x14ac:dyDescent="0.25">
      <c r="A31" s="27"/>
      <c r="B31" s="27"/>
      <c r="C31" s="27"/>
      <c r="D31" s="27"/>
      <c r="E31" s="27"/>
      <c r="F31" s="27"/>
      <c r="G31" s="27"/>
      <c r="H31" s="27" t="s">
        <v>429</v>
      </c>
      <c r="I31" s="28">
        <v>268750</v>
      </c>
    </row>
    <row r="32" spans="1:16" x14ac:dyDescent="0.25">
      <c r="A32" s="27"/>
      <c r="B32" s="27"/>
      <c r="C32" s="27"/>
      <c r="D32" s="27"/>
      <c r="E32" s="27"/>
      <c r="F32" s="27"/>
      <c r="G32" s="27"/>
      <c r="H32" s="27" t="s">
        <v>774</v>
      </c>
      <c r="I32" s="161">
        <v>152000</v>
      </c>
    </row>
    <row r="33" spans="1:11" x14ac:dyDescent="0.25">
      <c r="A33" s="27"/>
      <c r="B33" s="27"/>
      <c r="C33" s="27"/>
      <c r="D33" s="27"/>
      <c r="E33" s="27"/>
      <c r="F33" s="27"/>
      <c r="G33" s="27"/>
      <c r="H33" s="27" t="s">
        <v>832</v>
      </c>
      <c r="I33" s="28">
        <v>350000</v>
      </c>
    </row>
    <row r="34" spans="1:11" x14ac:dyDescent="0.25">
      <c r="A34" s="27"/>
      <c r="B34" s="27"/>
      <c r="C34" s="27"/>
      <c r="D34" s="27"/>
      <c r="E34" s="27"/>
      <c r="F34" s="27"/>
      <c r="G34" s="27"/>
      <c r="H34" s="27" t="s">
        <v>734</v>
      </c>
      <c r="I34" s="28">
        <v>264250</v>
      </c>
    </row>
    <row r="35" spans="1:11" x14ac:dyDescent="0.25">
      <c r="A35" s="27"/>
      <c r="B35" s="27"/>
      <c r="C35" s="27"/>
      <c r="D35" s="27"/>
      <c r="E35" s="27"/>
      <c r="F35" s="27"/>
      <c r="G35" s="27"/>
      <c r="H35" s="27" t="s">
        <v>775</v>
      </c>
      <c r="I35" s="28">
        <v>183125</v>
      </c>
    </row>
    <row r="36" spans="1:11" x14ac:dyDescent="0.25">
      <c r="A36" s="27"/>
      <c r="B36" s="27"/>
      <c r="C36" s="27"/>
      <c r="D36" s="27"/>
      <c r="E36" s="27"/>
      <c r="F36" s="27"/>
      <c r="G36" s="27"/>
      <c r="H36" s="27" t="s">
        <v>435</v>
      </c>
      <c r="I36" s="315">
        <v>334450</v>
      </c>
    </row>
    <row r="37" spans="1:11" x14ac:dyDescent="0.25">
      <c r="A37" s="27"/>
      <c r="B37" s="27"/>
      <c r="C37" s="27"/>
      <c r="D37" s="27"/>
      <c r="E37" s="27"/>
      <c r="F37" s="27"/>
      <c r="G37" s="27"/>
      <c r="H37" s="27" t="s">
        <v>441</v>
      </c>
      <c r="I37" s="315">
        <v>261250</v>
      </c>
      <c r="J37" s="107"/>
    </row>
    <row r="38" spans="1:11" x14ac:dyDescent="0.25">
      <c r="A38" s="27"/>
      <c r="B38" s="27"/>
      <c r="C38" s="27"/>
      <c r="D38" s="27"/>
      <c r="E38" s="27"/>
      <c r="F38" s="27"/>
      <c r="G38" s="27"/>
      <c r="H38" s="27" t="s">
        <v>447</v>
      </c>
      <c r="I38" s="28">
        <v>199791.67</v>
      </c>
    </row>
    <row r="39" spans="1:11" x14ac:dyDescent="0.25">
      <c r="A39" s="27"/>
      <c r="B39" s="27"/>
      <c r="C39" s="27"/>
      <c r="D39" s="27"/>
      <c r="E39" s="27"/>
      <c r="F39" s="27"/>
      <c r="G39" s="27"/>
      <c r="H39" s="27" t="s">
        <v>453</v>
      </c>
      <c r="I39" s="28">
        <v>2897691.67</v>
      </c>
    </row>
    <row r="40" spans="1:11" x14ac:dyDescent="0.25">
      <c r="A40" s="27"/>
      <c r="B40" s="27"/>
      <c r="C40" s="27"/>
      <c r="D40" s="27"/>
      <c r="E40" s="27"/>
      <c r="F40" s="27"/>
      <c r="G40" s="27"/>
      <c r="H40" s="27" t="s">
        <v>817</v>
      </c>
      <c r="I40" s="28">
        <v>72500</v>
      </c>
    </row>
    <row r="41" spans="1:11" x14ac:dyDescent="0.25">
      <c r="A41" s="27"/>
      <c r="B41" s="27"/>
      <c r="C41" s="27"/>
      <c r="D41" s="27"/>
      <c r="E41" s="27"/>
      <c r="F41" s="27"/>
      <c r="G41" s="27"/>
      <c r="H41" s="27" t="s">
        <v>698</v>
      </c>
      <c r="I41" s="28">
        <v>244750</v>
      </c>
    </row>
    <row r="42" spans="1:11" x14ac:dyDescent="0.25">
      <c r="A42" s="27"/>
      <c r="B42" s="27"/>
      <c r="C42" s="27"/>
      <c r="D42" s="27"/>
      <c r="E42" s="27"/>
      <c r="F42" s="27"/>
      <c r="G42" s="27"/>
      <c r="H42" s="27" t="s">
        <v>459</v>
      </c>
      <c r="I42" s="28">
        <v>412916.67</v>
      </c>
    </row>
    <row r="43" spans="1:11" x14ac:dyDescent="0.25">
      <c r="A43" s="27"/>
      <c r="B43" s="27"/>
      <c r="C43" s="27"/>
      <c r="D43" s="27"/>
      <c r="E43" s="27"/>
      <c r="F43" s="27"/>
      <c r="G43" s="27"/>
      <c r="H43" s="27" t="s">
        <v>776</v>
      </c>
      <c r="I43" s="28">
        <v>154500</v>
      </c>
    </row>
    <row r="44" spans="1:11" x14ac:dyDescent="0.25">
      <c r="A44" s="27"/>
      <c r="B44" s="27"/>
      <c r="C44" s="27"/>
      <c r="D44" s="27"/>
      <c r="E44" s="27"/>
      <c r="F44" s="27"/>
      <c r="G44" s="27"/>
      <c r="H44" s="27" t="s">
        <v>684</v>
      </c>
      <c r="I44" s="28">
        <v>95208.34</v>
      </c>
    </row>
    <row r="45" spans="1:11" x14ac:dyDescent="0.25">
      <c r="A45" s="27"/>
      <c r="B45" s="27"/>
      <c r="C45" s="27"/>
      <c r="D45" s="27"/>
      <c r="E45" s="27"/>
      <c r="F45" s="27"/>
      <c r="G45" s="27"/>
      <c r="H45" s="27" t="s">
        <v>742</v>
      </c>
      <c r="I45" s="28">
        <v>75000</v>
      </c>
    </row>
    <row r="46" spans="1:11" x14ac:dyDescent="0.25">
      <c r="A46" s="27"/>
      <c r="B46" s="27"/>
      <c r="C46" s="27"/>
      <c r="D46" s="27"/>
      <c r="E46" s="27"/>
      <c r="F46" s="27"/>
      <c r="G46" s="27"/>
      <c r="H46" s="27" t="s">
        <v>777</v>
      </c>
      <c r="I46" s="28">
        <v>104000</v>
      </c>
    </row>
    <row r="47" spans="1:11" ht="15.75" thickBot="1" x14ac:dyDescent="0.3">
      <c r="A47" s="27"/>
      <c r="B47" s="27"/>
      <c r="C47" s="27"/>
      <c r="D47" s="27"/>
      <c r="E47" s="27"/>
      <c r="F47" s="27"/>
      <c r="G47" s="27"/>
      <c r="H47" s="27" t="s">
        <v>778</v>
      </c>
      <c r="I47" s="29">
        <v>89000</v>
      </c>
    </row>
    <row r="48" spans="1:11" x14ac:dyDescent="0.25">
      <c r="A48" s="27"/>
      <c r="B48" s="27"/>
      <c r="C48" s="27"/>
      <c r="D48" s="27"/>
      <c r="E48" s="27"/>
      <c r="F48" s="27"/>
      <c r="G48" s="27" t="s">
        <v>471</v>
      </c>
      <c r="H48" s="27"/>
      <c r="I48" s="28">
        <f>ROUND(SUM(I30:I47),5)</f>
        <v>6159183.3499999996</v>
      </c>
      <c r="K48" s="197"/>
    </row>
    <row r="49" spans="1:11" ht="15.75" thickBot="1" x14ac:dyDescent="0.3">
      <c r="A49" s="27"/>
      <c r="B49" s="27"/>
      <c r="C49" s="27"/>
      <c r="D49" s="27"/>
      <c r="E49" s="27"/>
      <c r="F49" s="27"/>
      <c r="G49" s="27" t="s">
        <v>779</v>
      </c>
      <c r="H49" s="27"/>
      <c r="I49" s="29">
        <v>789569.57</v>
      </c>
      <c r="K49" s="306"/>
    </row>
    <row r="50" spans="1:11" x14ac:dyDescent="0.25">
      <c r="A50" s="27"/>
      <c r="B50" s="27"/>
      <c r="C50" s="27"/>
      <c r="D50" s="27"/>
      <c r="E50" s="27"/>
      <c r="F50" s="27" t="s">
        <v>780</v>
      </c>
      <c r="G50" s="27"/>
      <c r="H50" s="27"/>
      <c r="I50" s="28">
        <f>ROUND(SUM(I15:I17)+SUM(I21:I22)+SUM(I26:I29)+SUM(I48:I49),5)</f>
        <v>7266407.8200000003</v>
      </c>
    </row>
    <row r="51" spans="1:11" x14ac:dyDescent="0.25">
      <c r="A51" s="27"/>
      <c r="B51" s="27"/>
      <c r="C51" s="27"/>
      <c r="D51" s="27"/>
      <c r="E51" s="27"/>
      <c r="F51" s="27" t="s">
        <v>781</v>
      </c>
      <c r="G51" s="27"/>
      <c r="H51" s="27"/>
      <c r="I51" s="28"/>
    </row>
    <row r="52" spans="1:11" x14ac:dyDescent="0.25">
      <c r="A52" s="27"/>
      <c r="B52" s="27"/>
      <c r="C52" s="27"/>
      <c r="D52" s="27"/>
      <c r="E52" s="27"/>
      <c r="F52" s="27"/>
      <c r="G52" s="27" t="s">
        <v>718</v>
      </c>
      <c r="H52" s="27"/>
      <c r="I52" s="28"/>
    </row>
    <row r="53" spans="1:11" x14ac:dyDescent="0.25">
      <c r="A53" s="27"/>
      <c r="B53" s="27"/>
      <c r="C53" s="27"/>
      <c r="D53" s="27"/>
      <c r="E53" s="27"/>
      <c r="F53" s="27"/>
      <c r="G53" s="27"/>
      <c r="H53" s="27" t="s">
        <v>782</v>
      </c>
      <c r="I53" s="28">
        <v>3655.73</v>
      </c>
    </row>
    <row r="54" spans="1:11" ht="15.75" thickBot="1" x14ac:dyDescent="0.3">
      <c r="A54" s="27"/>
      <c r="B54" s="27"/>
      <c r="C54" s="27"/>
      <c r="D54" s="27"/>
      <c r="E54" s="27"/>
      <c r="F54" s="27"/>
      <c r="G54" s="27"/>
      <c r="H54" s="27" t="s">
        <v>783</v>
      </c>
      <c r="I54" s="29">
        <v>154101.07999999999</v>
      </c>
    </row>
    <row r="55" spans="1:11" x14ac:dyDescent="0.25">
      <c r="A55" s="27"/>
      <c r="B55" s="27"/>
      <c r="C55" s="27"/>
      <c r="D55" s="27"/>
      <c r="E55" s="27"/>
      <c r="F55" s="27"/>
      <c r="G55" s="27" t="s">
        <v>784</v>
      </c>
      <c r="H55" s="27"/>
      <c r="I55" s="28">
        <f>ROUND(SUM(I52:I54),5)</f>
        <v>157756.81</v>
      </c>
    </row>
    <row r="56" spans="1:11" x14ac:dyDescent="0.25">
      <c r="A56" s="27"/>
      <c r="B56" s="27"/>
      <c r="C56" s="27"/>
      <c r="D56" s="27"/>
      <c r="E56" s="27"/>
      <c r="F56" s="27"/>
      <c r="G56" s="27" t="s">
        <v>786</v>
      </c>
      <c r="H56" s="27"/>
      <c r="I56" s="28">
        <v>42317.98</v>
      </c>
    </row>
    <row r="57" spans="1:11" x14ac:dyDescent="0.25">
      <c r="A57" s="27"/>
      <c r="B57" s="27"/>
      <c r="C57" s="27"/>
      <c r="D57" s="27"/>
      <c r="E57" s="27"/>
      <c r="F57" s="27"/>
      <c r="G57" s="27" t="s">
        <v>787</v>
      </c>
      <c r="H57" s="27"/>
      <c r="I57" s="28">
        <v>154856.14000000001</v>
      </c>
    </row>
    <row r="58" spans="1:11" x14ac:dyDescent="0.25">
      <c r="A58" s="27"/>
      <c r="B58" s="27"/>
      <c r="C58" s="27"/>
      <c r="D58" s="27"/>
      <c r="E58" s="27"/>
      <c r="F58" s="27"/>
      <c r="G58" s="27" t="s">
        <v>788</v>
      </c>
      <c r="H58" s="27"/>
      <c r="I58" s="28">
        <v>3655.73</v>
      </c>
    </row>
    <row r="59" spans="1:11" ht="15.75" thickBot="1" x14ac:dyDescent="0.3">
      <c r="A59" s="27"/>
      <c r="B59" s="27"/>
      <c r="C59" s="27"/>
      <c r="D59" s="27"/>
      <c r="E59" s="27"/>
      <c r="F59" s="27"/>
      <c r="G59" s="27" t="s">
        <v>789</v>
      </c>
      <c r="H59" s="27"/>
      <c r="I59" s="29">
        <v>14030</v>
      </c>
    </row>
    <row r="60" spans="1:11" x14ac:dyDescent="0.25">
      <c r="A60" s="27"/>
      <c r="B60" s="27"/>
      <c r="C60" s="27"/>
      <c r="D60" s="27"/>
      <c r="E60" s="27"/>
      <c r="F60" s="27" t="s">
        <v>790</v>
      </c>
      <c r="G60" s="27"/>
      <c r="H60" s="27"/>
      <c r="I60" s="28">
        <f>ROUND(I51+SUM(I55:I59),5)</f>
        <v>372616.66</v>
      </c>
    </row>
    <row r="61" spans="1:11" x14ac:dyDescent="0.25">
      <c r="A61" s="27"/>
      <c r="B61" s="27"/>
      <c r="C61" s="27"/>
      <c r="D61" s="27"/>
      <c r="E61" s="27"/>
      <c r="F61" s="27" t="s">
        <v>791</v>
      </c>
      <c r="G61" s="27"/>
      <c r="H61" s="27"/>
      <c r="I61" s="28"/>
    </row>
    <row r="62" spans="1:11" x14ac:dyDescent="0.25">
      <c r="A62" s="27"/>
      <c r="B62" s="27"/>
      <c r="C62" s="27"/>
      <c r="D62" s="27"/>
      <c r="E62" s="27"/>
      <c r="F62" s="27"/>
      <c r="G62" s="27" t="s">
        <v>792</v>
      </c>
      <c r="H62" s="27"/>
      <c r="I62" s="28">
        <v>2638.63</v>
      </c>
    </row>
    <row r="63" spans="1:11" x14ac:dyDescent="0.25">
      <c r="A63" s="27"/>
      <c r="B63" s="27"/>
      <c r="C63" s="27"/>
      <c r="D63" s="27"/>
      <c r="E63" s="27"/>
      <c r="F63" s="27"/>
      <c r="G63" s="27" t="s">
        <v>793</v>
      </c>
      <c r="H63" s="27"/>
      <c r="I63" s="28">
        <v>52597.38</v>
      </c>
    </row>
    <row r="64" spans="1:11" x14ac:dyDescent="0.25">
      <c r="A64" s="27"/>
      <c r="B64" s="27"/>
      <c r="C64" s="27"/>
      <c r="D64" s="27"/>
      <c r="E64" s="27"/>
      <c r="F64" s="27"/>
      <c r="G64" s="27" t="s">
        <v>794</v>
      </c>
      <c r="H64" s="27"/>
      <c r="I64" s="28">
        <v>165481.69</v>
      </c>
    </row>
    <row r="65" spans="1:9" x14ac:dyDescent="0.25">
      <c r="A65" s="27"/>
      <c r="B65" s="27"/>
      <c r="C65" s="27"/>
      <c r="D65" s="27"/>
      <c r="E65" s="27"/>
      <c r="F65" s="27"/>
      <c r="G65" s="27" t="s">
        <v>749</v>
      </c>
      <c r="H65" s="27"/>
      <c r="I65" s="28">
        <v>3016.67</v>
      </c>
    </row>
    <row r="66" spans="1:9" ht="15.75" thickBot="1" x14ac:dyDescent="0.3">
      <c r="A66" s="27"/>
      <c r="B66" s="27"/>
      <c r="C66" s="27"/>
      <c r="D66" s="27"/>
      <c r="E66" s="27"/>
      <c r="F66" s="27"/>
      <c r="G66" s="27" t="s">
        <v>795</v>
      </c>
      <c r="H66" s="27"/>
      <c r="I66" s="29">
        <v>149605.31</v>
      </c>
    </row>
    <row r="67" spans="1:9" x14ac:dyDescent="0.25">
      <c r="A67" s="27"/>
      <c r="B67" s="27"/>
      <c r="C67" s="27"/>
      <c r="D67" s="27"/>
      <c r="E67" s="27"/>
      <c r="F67" s="27" t="s">
        <v>796</v>
      </c>
      <c r="G67" s="27"/>
      <c r="H67" s="27"/>
      <c r="I67" s="28">
        <f>ROUND(SUM(I61:I66),5)</f>
        <v>373339.68</v>
      </c>
    </row>
    <row r="68" spans="1:9" x14ac:dyDescent="0.25">
      <c r="A68" s="27"/>
      <c r="B68" s="27"/>
      <c r="C68" s="27"/>
      <c r="D68" s="27"/>
      <c r="E68" s="27"/>
      <c r="F68" s="27" t="s">
        <v>797</v>
      </c>
      <c r="G68" s="27"/>
      <c r="H68" s="27"/>
      <c r="I68" s="28"/>
    </row>
    <row r="69" spans="1:9" ht="15.75" thickBot="1" x14ac:dyDescent="0.3">
      <c r="A69" s="27"/>
      <c r="B69" s="27"/>
      <c r="C69" s="27"/>
      <c r="D69" s="27"/>
      <c r="E69" s="27"/>
      <c r="F69" s="27"/>
      <c r="G69" s="27" t="s">
        <v>798</v>
      </c>
      <c r="H69" s="27"/>
      <c r="I69" s="29">
        <v>117127</v>
      </c>
    </row>
    <row r="70" spans="1:9" x14ac:dyDescent="0.25">
      <c r="A70" s="27"/>
      <c r="B70" s="27"/>
      <c r="C70" s="27"/>
      <c r="D70" s="27"/>
      <c r="E70" s="27"/>
      <c r="F70" s="27" t="s">
        <v>800</v>
      </c>
      <c r="G70" s="27"/>
      <c r="H70" s="27"/>
      <c r="I70" s="28">
        <f>ROUND(SUM(I68:I69),5)</f>
        <v>117127</v>
      </c>
    </row>
    <row r="71" spans="1:9" x14ac:dyDescent="0.25">
      <c r="A71" s="27"/>
      <c r="B71" s="27"/>
      <c r="C71" s="27"/>
      <c r="D71" s="27"/>
      <c r="E71" s="27"/>
      <c r="F71" s="27" t="s">
        <v>801</v>
      </c>
      <c r="G71" s="27"/>
      <c r="H71" s="27"/>
      <c r="I71" s="28"/>
    </row>
    <row r="72" spans="1:9" x14ac:dyDescent="0.25">
      <c r="A72" s="27"/>
      <c r="B72" s="27"/>
      <c r="C72" s="27"/>
      <c r="D72" s="27"/>
      <c r="E72" s="27"/>
      <c r="F72" s="27"/>
      <c r="G72" s="27" t="s">
        <v>802</v>
      </c>
      <c r="H72" s="27"/>
      <c r="I72" s="28">
        <v>93902</v>
      </c>
    </row>
    <row r="73" spans="1:9" x14ac:dyDescent="0.25">
      <c r="A73" s="27"/>
      <c r="B73" s="27"/>
      <c r="C73" s="27"/>
      <c r="D73" s="27"/>
      <c r="E73" s="27"/>
      <c r="F73" s="27"/>
      <c r="G73" s="27" t="s">
        <v>803</v>
      </c>
      <c r="H73" s="27"/>
      <c r="I73" s="28">
        <v>24370</v>
      </c>
    </row>
    <row r="74" spans="1:9" x14ac:dyDescent="0.25">
      <c r="A74" s="27"/>
      <c r="B74" s="27"/>
      <c r="C74" s="27"/>
      <c r="D74" s="27"/>
      <c r="E74" s="27"/>
      <c r="F74" s="27"/>
      <c r="G74" s="27" t="s">
        <v>804</v>
      </c>
      <c r="H74" s="27"/>
      <c r="I74" s="28">
        <v>125000</v>
      </c>
    </row>
    <row r="75" spans="1:9" x14ac:dyDescent="0.25">
      <c r="A75" s="27"/>
      <c r="B75" s="27"/>
      <c r="C75" s="27"/>
      <c r="D75" s="27"/>
      <c r="E75" s="27"/>
      <c r="F75" s="27"/>
      <c r="G75" s="27" t="s">
        <v>805</v>
      </c>
      <c r="H75" s="27"/>
      <c r="I75" s="28">
        <v>13045</v>
      </c>
    </row>
    <row r="76" spans="1:9" ht="15.75" thickBot="1" x14ac:dyDescent="0.3">
      <c r="A76" s="27"/>
      <c r="B76" s="27"/>
      <c r="C76" s="27"/>
      <c r="D76" s="27"/>
      <c r="E76" s="27"/>
      <c r="F76" s="27"/>
      <c r="G76" s="27" t="s">
        <v>826</v>
      </c>
      <c r="H76" s="27"/>
      <c r="I76" s="30">
        <v>10359.950000000001</v>
      </c>
    </row>
    <row r="77" spans="1:9" ht="15.75" thickBot="1" x14ac:dyDescent="0.3">
      <c r="A77" s="27"/>
      <c r="B77" s="27"/>
      <c r="C77" s="27"/>
      <c r="D77" s="27"/>
      <c r="E77" s="27"/>
      <c r="F77" s="27" t="s">
        <v>806</v>
      </c>
      <c r="G77" s="27"/>
      <c r="H77" s="27"/>
      <c r="I77" s="33">
        <f>ROUND(SUM(I71:I76),5)</f>
        <v>266676.95</v>
      </c>
    </row>
    <row r="78" spans="1:9" x14ac:dyDescent="0.25">
      <c r="A78" s="27"/>
      <c r="B78" s="27"/>
      <c r="C78" s="27"/>
      <c r="D78" s="27"/>
      <c r="E78" s="27" t="s">
        <v>807</v>
      </c>
      <c r="F78" s="27"/>
      <c r="G78" s="27"/>
      <c r="H78" s="27"/>
      <c r="I78" s="28">
        <f>ROUND(I14+I50+I60+I67+I70+I77,5)</f>
        <v>8396168.1099999994</v>
      </c>
    </row>
    <row r="79" spans="1:9" x14ac:dyDescent="0.25">
      <c r="A79" s="27"/>
      <c r="B79" s="27"/>
      <c r="C79" s="27"/>
      <c r="D79" s="27"/>
      <c r="E79" s="27" t="s">
        <v>808</v>
      </c>
      <c r="F79" s="27"/>
      <c r="G79" s="27"/>
      <c r="H79" s="27"/>
      <c r="I79" s="28"/>
    </row>
    <row r="80" spans="1:9" ht="15.75" thickBot="1" x14ac:dyDescent="0.3">
      <c r="A80" s="27"/>
      <c r="B80" s="27"/>
      <c r="C80" s="27"/>
      <c r="D80" s="27"/>
      <c r="E80" s="27"/>
      <c r="F80" s="27" t="s">
        <v>810</v>
      </c>
      <c r="G80" s="27"/>
      <c r="H80" s="27"/>
      <c r="I80" s="30">
        <v>325434</v>
      </c>
    </row>
    <row r="81" spans="1:15" ht="15.75" thickBot="1" x14ac:dyDescent="0.3">
      <c r="A81" s="27"/>
      <c r="B81" s="27"/>
      <c r="C81" s="27"/>
      <c r="D81" s="27"/>
      <c r="E81" s="27" t="s">
        <v>811</v>
      </c>
      <c r="F81" s="27"/>
      <c r="G81" s="27"/>
      <c r="H81" s="27"/>
      <c r="I81" s="34">
        <f>ROUND(SUM(I79:I80),5)</f>
        <v>325434</v>
      </c>
    </row>
    <row r="82" spans="1:15" ht="15.75" thickBot="1" x14ac:dyDescent="0.3">
      <c r="A82" s="27"/>
      <c r="B82" s="27"/>
      <c r="C82" s="27"/>
      <c r="D82" s="27" t="s">
        <v>357</v>
      </c>
      <c r="E82" s="27"/>
      <c r="F82" s="27"/>
      <c r="G82" s="27"/>
      <c r="H82" s="27"/>
      <c r="I82" s="34">
        <f>ROUND(I13+I78+I81,5)</f>
        <v>8721602.1099999994</v>
      </c>
      <c r="K82" s="330"/>
    </row>
    <row r="83" spans="1:15" ht="15.75" thickBot="1" x14ac:dyDescent="0.3">
      <c r="A83" s="27"/>
      <c r="B83" s="27" t="s">
        <v>358</v>
      </c>
      <c r="C83" s="27"/>
      <c r="D83" s="27"/>
      <c r="E83" s="27"/>
      <c r="F83" s="27"/>
      <c r="G83" s="27"/>
      <c r="H83" s="27"/>
      <c r="I83" s="34">
        <f>ROUND(I2+I12-I82,5)</f>
        <v>1151157.8899999999</v>
      </c>
    </row>
    <row r="84" spans="1:15" ht="15.75" thickBot="1" x14ac:dyDescent="0.3">
      <c r="A84" s="27" t="s">
        <v>372</v>
      </c>
      <c r="B84" s="27"/>
      <c r="C84" s="27"/>
      <c r="D84" s="27"/>
      <c r="E84" s="27"/>
      <c r="F84" s="27"/>
      <c r="G84" s="27"/>
      <c r="H84" s="27"/>
      <c r="I84" s="35">
        <f>I83</f>
        <v>1151157.8899999999</v>
      </c>
    </row>
    <row r="85" spans="1:15" ht="15.75" thickTop="1" x14ac:dyDescent="0.25"/>
    <row r="86" spans="1:15" x14ac:dyDescent="0.25">
      <c r="I86" s="26">
        <f>'KPM -  TeKSS '!J19*'KPM -  TeKSS '!J4*1000-'P5'!I84</f>
        <v>0</v>
      </c>
    </row>
    <row r="88" spans="1:15" s="104" customFormat="1" x14ac:dyDescent="0.25">
      <c r="A88" s="50"/>
      <c r="B88" s="50"/>
      <c r="C88" s="50"/>
      <c r="D88" s="50"/>
      <c r="E88" s="50"/>
      <c r="F88" s="50"/>
      <c r="G88" s="50"/>
      <c r="H88" s="50"/>
      <c r="I88" s="26"/>
      <c r="N88" s="23"/>
      <c r="O88" s="23"/>
    </row>
    <row r="95" spans="1:15" x14ac:dyDescent="0.25">
      <c r="K95" s="108"/>
    </row>
    <row r="96" spans="1:15" x14ac:dyDescent="0.25">
      <c r="K96" s="197"/>
    </row>
    <row r="194" spans="14:15" x14ac:dyDescent="0.25">
      <c r="N194" s="104"/>
      <c r="O194" s="104"/>
    </row>
    <row r="217" spans="14:15" x14ac:dyDescent="0.25">
      <c r="N217" s="102"/>
      <c r="O217" s="102"/>
    </row>
    <row r="223" spans="14:15" x14ac:dyDescent="0.25">
      <c r="N223" s="104"/>
      <c r="O223" s="10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P224"/>
  <sheetViews>
    <sheetView topLeftCell="A7" workbookViewId="0">
      <selection activeCell="G22" sqref="G22"/>
    </sheetView>
  </sheetViews>
  <sheetFormatPr defaultRowHeight="15" x14ac:dyDescent="0.25"/>
  <cols>
    <col min="1" max="7" width="3" style="50" customWidth="1"/>
    <col min="8" max="8" width="28.7109375" style="50" customWidth="1"/>
    <col min="9" max="9" width="10.85546875" style="26" bestFit="1" customWidth="1"/>
    <col min="10" max="13" width="9.140625" style="23"/>
    <col min="14" max="14" width="31.140625" style="23" bestFit="1" customWidth="1"/>
    <col min="15" max="15" width="13.28515625" style="23" bestFit="1" customWidth="1"/>
    <col min="16" max="16" width="18.140625" style="23" bestFit="1" customWidth="1"/>
    <col min="17" max="16384" width="9.140625" style="23"/>
  </cols>
  <sheetData>
    <row r="1" spans="1:16" s="102" customFormat="1" ht="15.75" thickBot="1" x14ac:dyDescent="0.3">
      <c r="A1" s="31"/>
      <c r="B1" s="31"/>
      <c r="C1" s="31"/>
      <c r="D1" s="31"/>
      <c r="E1" s="31"/>
      <c r="F1" s="31"/>
      <c r="G1" s="31"/>
      <c r="H1" s="31"/>
      <c r="I1" s="32" t="s">
        <v>824</v>
      </c>
      <c r="N1" s="23"/>
      <c r="O1" s="23"/>
    </row>
    <row r="2" spans="1:16" ht="15.75" thickTop="1" x14ac:dyDescent="0.25">
      <c r="A2" s="27"/>
      <c r="B2" s="27" t="s">
        <v>53</v>
      </c>
      <c r="C2" s="27"/>
      <c r="D2" s="27"/>
      <c r="E2" s="27"/>
      <c r="F2" s="27"/>
      <c r="G2" s="27"/>
      <c r="H2" s="27"/>
      <c r="I2" s="28"/>
      <c r="N2" s="226" t="s">
        <v>622</v>
      </c>
      <c r="O2" s="227" t="s">
        <v>621</v>
      </c>
    </row>
    <row r="3" spans="1:16" x14ac:dyDescent="0.25">
      <c r="A3" s="27"/>
      <c r="B3" s="27"/>
      <c r="C3" s="27"/>
      <c r="D3" s="27" t="s">
        <v>54</v>
      </c>
      <c r="E3" s="27"/>
      <c r="F3" s="27"/>
      <c r="G3" s="27"/>
      <c r="H3" s="27"/>
      <c r="I3" s="28"/>
      <c r="N3" s="164" t="s">
        <v>812</v>
      </c>
      <c r="O3" s="295">
        <f>I47</f>
        <v>6311183.3499999996</v>
      </c>
    </row>
    <row r="4" spans="1:16" x14ac:dyDescent="0.25">
      <c r="A4" s="27"/>
      <c r="B4" s="27"/>
      <c r="C4" s="27"/>
      <c r="D4" s="27"/>
      <c r="E4" s="27" t="s">
        <v>751</v>
      </c>
      <c r="F4" s="27"/>
      <c r="G4" s="27"/>
      <c r="H4" s="27"/>
      <c r="I4" s="28"/>
      <c r="N4" s="164" t="s">
        <v>814</v>
      </c>
      <c r="O4" s="296">
        <f>I16</f>
        <v>0</v>
      </c>
    </row>
    <row r="5" spans="1:16" x14ac:dyDescent="0.25">
      <c r="A5" s="27"/>
      <c r="B5" s="27"/>
      <c r="C5" s="27"/>
      <c r="D5" s="27"/>
      <c r="E5" s="27"/>
      <c r="F5" s="27" t="s">
        <v>752</v>
      </c>
      <c r="G5" s="27"/>
      <c r="H5" s="27"/>
      <c r="I5" s="28">
        <v>143880</v>
      </c>
      <c r="N5" s="164" t="s">
        <v>815</v>
      </c>
      <c r="O5" s="296">
        <f>I22</f>
        <v>0</v>
      </c>
    </row>
    <row r="6" spans="1:16" ht="30" customHeight="1" x14ac:dyDescent="0.25">
      <c r="A6" s="27"/>
      <c r="B6" s="27"/>
      <c r="C6" s="27"/>
      <c r="D6" s="27"/>
      <c r="E6" s="27"/>
      <c r="F6" s="27" t="s">
        <v>753</v>
      </c>
      <c r="G6" s="27"/>
      <c r="H6" s="27"/>
      <c r="I6" s="28">
        <v>1018500</v>
      </c>
      <c r="N6" s="297" t="s">
        <v>25</v>
      </c>
      <c r="O6" s="298">
        <f>SUM(O3:O5)</f>
        <v>6311183.3499999996</v>
      </c>
    </row>
    <row r="7" spans="1:16" ht="30" customHeight="1" x14ac:dyDescent="0.25">
      <c r="A7" s="27"/>
      <c r="B7" s="27"/>
      <c r="C7" s="27"/>
      <c r="D7" s="27"/>
      <c r="E7" s="27"/>
      <c r="F7" s="27" t="s">
        <v>754</v>
      </c>
      <c r="G7" s="27"/>
      <c r="H7" s="27"/>
      <c r="I7" s="28">
        <v>863280</v>
      </c>
      <c r="N7" s="299"/>
      <c r="O7" s="300"/>
    </row>
    <row r="8" spans="1:16" x14ac:dyDescent="0.25">
      <c r="A8" s="27"/>
      <c r="B8" s="27"/>
      <c r="C8" s="27"/>
      <c r="D8" s="27"/>
      <c r="E8" s="27"/>
      <c r="F8" s="27" t="s">
        <v>755</v>
      </c>
      <c r="G8" s="27"/>
      <c r="H8" s="27"/>
      <c r="I8" s="28">
        <v>5672100</v>
      </c>
      <c r="K8" s="23">
        <f>I8/50000</f>
        <v>113.44199999999999</v>
      </c>
      <c r="N8" s="301" t="s">
        <v>743</v>
      </c>
      <c r="O8" s="302" t="s">
        <v>621</v>
      </c>
    </row>
    <row r="9" spans="1:16" ht="15.75" thickBot="1" x14ac:dyDescent="0.3">
      <c r="A9" s="27"/>
      <c r="B9" s="27"/>
      <c r="C9" s="27"/>
      <c r="D9" s="27"/>
      <c r="E9" s="27"/>
      <c r="F9" s="27" t="s">
        <v>756</v>
      </c>
      <c r="G9" s="27"/>
      <c r="H9" s="27"/>
      <c r="I9" s="30"/>
      <c r="N9" s="164" t="s">
        <v>813</v>
      </c>
      <c r="O9" s="186">
        <f>I81-O6</f>
        <v>2357926.7100000009</v>
      </c>
    </row>
    <row r="10" spans="1:16" ht="15.75" thickBot="1" x14ac:dyDescent="0.3">
      <c r="A10" s="27"/>
      <c r="B10" s="27"/>
      <c r="C10" s="27"/>
      <c r="D10" s="27"/>
      <c r="E10" s="27" t="s">
        <v>757</v>
      </c>
      <c r="F10" s="27"/>
      <c r="G10" s="27"/>
      <c r="H10" s="27"/>
      <c r="I10" s="34">
        <f>ROUND(SUM(I4:I9),5)</f>
        <v>7697760</v>
      </c>
      <c r="N10" s="303" t="s">
        <v>25</v>
      </c>
      <c r="O10" s="304">
        <f>SUM(O9:O9)</f>
        <v>2357926.7100000009</v>
      </c>
    </row>
    <row r="11" spans="1:16" ht="15.75" thickBot="1" x14ac:dyDescent="0.3">
      <c r="A11" s="27"/>
      <c r="B11" s="27"/>
      <c r="C11" s="27"/>
      <c r="D11" s="27" t="s">
        <v>88</v>
      </c>
      <c r="E11" s="27"/>
      <c r="F11" s="27"/>
      <c r="G11" s="27"/>
      <c r="H11" s="27"/>
      <c r="I11" s="33">
        <f>ROUND(I3+I10,5)</f>
        <v>7697760</v>
      </c>
      <c r="O11" s="111"/>
    </row>
    <row r="12" spans="1:16" x14ac:dyDescent="0.25">
      <c r="A12" s="27"/>
      <c r="B12" s="27"/>
      <c r="C12" s="27" t="s">
        <v>147</v>
      </c>
      <c r="D12" s="27"/>
      <c r="E12" s="27"/>
      <c r="F12" s="27"/>
      <c r="G12" s="27"/>
      <c r="H12" s="27"/>
      <c r="I12" s="28">
        <f>I11</f>
        <v>7697760</v>
      </c>
      <c r="O12" s="108">
        <f>O6+O10-I81</f>
        <v>0</v>
      </c>
    </row>
    <row r="13" spans="1:16" x14ac:dyDescent="0.25">
      <c r="A13" s="27"/>
      <c r="B13" s="27"/>
      <c r="C13" s="27"/>
      <c r="D13" s="27" t="s">
        <v>148</v>
      </c>
      <c r="E13" s="27"/>
      <c r="F13" s="27"/>
      <c r="G13" s="27"/>
      <c r="H13" s="27"/>
      <c r="I13" s="28"/>
      <c r="O13" s="108"/>
    </row>
    <row r="14" spans="1:16" x14ac:dyDescent="0.25">
      <c r="A14" s="27"/>
      <c r="B14" s="27"/>
      <c r="C14" s="27"/>
      <c r="D14" s="27"/>
      <c r="E14" s="27" t="s">
        <v>758</v>
      </c>
      <c r="F14" s="27"/>
      <c r="G14" s="27"/>
      <c r="H14" s="27"/>
      <c r="I14" s="28"/>
      <c r="O14" s="107"/>
    </row>
    <row r="15" spans="1:16" x14ac:dyDescent="0.25">
      <c r="A15" s="27"/>
      <c r="B15" s="27"/>
      <c r="C15" s="27"/>
      <c r="D15" s="27"/>
      <c r="E15" s="27"/>
      <c r="F15" s="27" t="s">
        <v>759</v>
      </c>
      <c r="G15" s="27"/>
      <c r="H15" s="27"/>
      <c r="I15" s="28"/>
      <c r="O15" s="197"/>
      <c r="P15" s="111"/>
    </row>
    <row r="16" spans="1:16" x14ac:dyDescent="0.25">
      <c r="A16" s="27"/>
      <c r="B16" s="27"/>
      <c r="C16" s="27"/>
      <c r="D16" s="27"/>
      <c r="E16" s="27"/>
      <c r="F16" s="27"/>
      <c r="G16" s="27" t="s">
        <v>760</v>
      </c>
      <c r="H16" s="27"/>
      <c r="I16" s="28"/>
      <c r="O16" s="108"/>
    </row>
    <row r="17" spans="1:16" x14ac:dyDescent="0.25">
      <c r="A17" s="27"/>
      <c r="B17" s="27"/>
      <c r="C17" s="27"/>
      <c r="D17" s="27"/>
      <c r="E17" s="27"/>
      <c r="F17" s="27"/>
      <c r="G17" s="27" t="s">
        <v>761</v>
      </c>
      <c r="H17" s="27"/>
      <c r="I17" s="28"/>
      <c r="O17" s="108"/>
    </row>
    <row r="18" spans="1:16" x14ac:dyDescent="0.25">
      <c r="A18" s="27"/>
      <c r="B18" s="27"/>
      <c r="C18" s="27"/>
      <c r="D18" s="27"/>
      <c r="E18" s="27"/>
      <c r="F18" s="27"/>
      <c r="G18" s="27" t="s">
        <v>762</v>
      </c>
      <c r="H18" s="27"/>
      <c r="I18" s="28"/>
      <c r="O18" s="108"/>
    </row>
    <row r="19" spans="1:16" ht="15.75" thickBot="1" x14ac:dyDescent="0.3">
      <c r="A19" s="27"/>
      <c r="B19" s="27"/>
      <c r="C19" s="27"/>
      <c r="D19" s="27"/>
      <c r="E19" s="27"/>
      <c r="F19" s="27"/>
      <c r="G19" s="27"/>
      <c r="H19" s="27" t="s">
        <v>763</v>
      </c>
      <c r="I19" s="29">
        <v>13400</v>
      </c>
      <c r="O19" s="108"/>
    </row>
    <row r="20" spans="1:16" x14ac:dyDescent="0.25">
      <c r="A20" s="27"/>
      <c r="B20" s="27"/>
      <c r="C20" s="27"/>
      <c r="D20" s="27"/>
      <c r="E20" s="27"/>
      <c r="F20" s="27"/>
      <c r="G20" s="27" t="s">
        <v>766</v>
      </c>
      <c r="H20" s="27"/>
      <c r="I20" s="28">
        <f>ROUND(SUM(I18:I19),5)</f>
        <v>13400</v>
      </c>
    </row>
    <row r="21" spans="1:16" ht="30" customHeight="1" x14ac:dyDescent="0.25">
      <c r="A21" s="27"/>
      <c r="B21" s="27"/>
      <c r="C21" s="27"/>
      <c r="D21" s="27"/>
      <c r="E21" s="27"/>
      <c r="F21" s="27"/>
      <c r="G21" s="27" t="s">
        <v>825</v>
      </c>
      <c r="H21" s="27"/>
      <c r="I21" s="28">
        <v>70700</v>
      </c>
    </row>
    <row r="22" spans="1:16" x14ac:dyDescent="0.25">
      <c r="A22" s="27"/>
      <c r="B22" s="27"/>
      <c r="C22" s="27"/>
      <c r="D22" s="27"/>
      <c r="E22" s="27"/>
      <c r="F22" s="27"/>
      <c r="G22" s="27" t="s">
        <v>767</v>
      </c>
      <c r="H22" s="27"/>
      <c r="I22" s="28"/>
    </row>
    <row r="23" spans="1:16" x14ac:dyDescent="0.25">
      <c r="A23" s="27"/>
      <c r="B23" s="27"/>
      <c r="C23" s="27"/>
      <c r="D23" s="27"/>
      <c r="E23" s="27"/>
      <c r="F23" s="27"/>
      <c r="G23" s="27" t="s">
        <v>768</v>
      </c>
      <c r="H23" s="27"/>
      <c r="I23" s="28"/>
    </row>
    <row r="24" spans="1:16" x14ac:dyDescent="0.25">
      <c r="A24" s="27"/>
      <c r="B24" s="27"/>
      <c r="C24" s="27"/>
      <c r="D24" s="27"/>
      <c r="E24" s="27"/>
      <c r="F24" s="27"/>
      <c r="G24" s="27"/>
      <c r="H24" s="27" t="s">
        <v>769</v>
      </c>
      <c r="I24" s="28">
        <v>157455.92000000001</v>
      </c>
    </row>
    <row r="25" spans="1:16" ht="15.75" thickBot="1" x14ac:dyDescent="0.3">
      <c r="A25" s="27"/>
      <c r="B25" s="27"/>
      <c r="C25" s="27"/>
      <c r="D25" s="27"/>
      <c r="E25" s="27"/>
      <c r="F25" s="27"/>
      <c r="G25" s="27"/>
      <c r="H25" s="27" t="s">
        <v>770</v>
      </c>
      <c r="I25" s="29">
        <v>942.77</v>
      </c>
    </row>
    <row r="26" spans="1:16" x14ac:dyDescent="0.25">
      <c r="A26" s="27"/>
      <c r="B26" s="27"/>
      <c r="C26" s="27"/>
      <c r="D26" s="27"/>
      <c r="E26" s="27"/>
      <c r="F26" s="27"/>
      <c r="G26" s="27" t="s">
        <v>771</v>
      </c>
      <c r="H26" s="27"/>
      <c r="I26" s="28">
        <f>ROUND(SUM(I23:I25),5)</f>
        <v>158398.69</v>
      </c>
    </row>
    <row r="27" spans="1:16" x14ac:dyDescent="0.25">
      <c r="A27" s="27"/>
      <c r="B27" s="27"/>
      <c r="C27" s="27"/>
      <c r="D27" s="27"/>
      <c r="E27" s="27"/>
      <c r="F27" s="27"/>
      <c r="G27" s="27" t="s">
        <v>772</v>
      </c>
      <c r="H27" s="27"/>
      <c r="I27" s="28">
        <v>840</v>
      </c>
    </row>
    <row r="28" spans="1:16" ht="30" customHeight="1" x14ac:dyDescent="0.25">
      <c r="A28" s="27"/>
      <c r="B28" s="27"/>
      <c r="C28" s="27"/>
      <c r="D28" s="27"/>
      <c r="E28" s="27"/>
      <c r="F28" s="27"/>
      <c r="G28" s="27" t="s">
        <v>773</v>
      </c>
      <c r="H28" s="27"/>
      <c r="I28" s="28">
        <v>78994</v>
      </c>
    </row>
    <row r="29" spans="1:16" x14ac:dyDescent="0.25">
      <c r="A29" s="27"/>
      <c r="B29" s="27"/>
      <c r="C29" s="27"/>
      <c r="D29" s="27"/>
      <c r="E29" s="27"/>
      <c r="F29" s="27"/>
      <c r="G29" s="27" t="s">
        <v>428</v>
      </c>
      <c r="H29" s="27"/>
      <c r="I29" s="28"/>
      <c r="P29" s="306"/>
    </row>
    <row r="30" spans="1:16" x14ac:dyDescent="0.25">
      <c r="A30" s="27"/>
      <c r="B30" s="27"/>
      <c r="C30" s="27"/>
      <c r="D30" s="27"/>
      <c r="E30" s="27"/>
      <c r="F30" s="27"/>
      <c r="G30" s="27"/>
      <c r="H30" s="27" t="s">
        <v>429</v>
      </c>
      <c r="I30" s="28">
        <v>268750</v>
      </c>
    </row>
    <row r="31" spans="1:16" x14ac:dyDescent="0.25">
      <c r="A31" s="27"/>
      <c r="B31" s="27"/>
      <c r="C31" s="27"/>
      <c r="D31" s="27"/>
      <c r="E31" s="27"/>
      <c r="F31" s="27"/>
      <c r="G31" s="27"/>
      <c r="H31" s="27" t="s">
        <v>734</v>
      </c>
      <c r="I31" s="28">
        <v>264250</v>
      </c>
    </row>
    <row r="32" spans="1:16" x14ac:dyDescent="0.25">
      <c r="A32" s="27"/>
      <c r="B32" s="27"/>
      <c r="C32" s="27"/>
      <c r="D32" s="27"/>
      <c r="E32" s="27"/>
      <c r="F32" s="27"/>
      <c r="G32" s="27"/>
      <c r="H32" s="27" t="s">
        <v>775</v>
      </c>
      <c r="I32" s="28">
        <v>183125</v>
      </c>
    </row>
    <row r="33" spans="1:9" x14ac:dyDescent="0.25">
      <c r="A33" s="27"/>
      <c r="B33" s="27"/>
      <c r="C33" s="27"/>
      <c r="D33" s="27"/>
      <c r="E33" s="27"/>
      <c r="F33" s="27"/>
      <c r="G33" s="27"/>
      <c r="H33" s="27" t="s">
        <v>435</v>
      </c>
      <c r="I33" s="315">
        <v>486450</v>
      </c>
    </row>
    <row r="34" spans="1:9" x14ac:dyDescent="0.25">
      <c r="A34" s="27"/>
      <c r="B34" s="27"/>
      <c r="C34" s="27"/>
      <c r="D34" s="27"/>
      <c r="E34" s="27"/>
      <c r="F34" s="27"/>
      <c r="G34" s="27"/>
      <c r="H34" s="27" t="s">
        <v>441</v>
      </c>
      <c r="I34" s="315">
        <v>261250</v>
      </c>
    </row>
    <row r="35" spans="1:9" x14ac:dyDescent="0.25">
      <c r="A35" s="27"/>
      <c r="B35" s="27"/>
      <c r="C35" s="27"/>
      <c r="D35" s="27"/>
      <c r="E35" s="27"/>
      <c r="F35" s="27"/>
      <c r="G35" s="27"/>
      <c r="H35" s="27" t="s">
        <v>447</v>
      </c>
      <c r="I35" s="28">
        <v>199791.67</v>
      </c>
    </row>
    <row r="36" spans="1:9" x14ac:dyDescent="0.25">
      <c r="A36" s="27"/>
      <c r="B36" s="27"/>
      <c r="C36" s="27"/>
      <c r="D36" s="27"/>
      <c r="E36" s="27"/>
      <c r="F36" s="27"/>
      <c r="G36" s="27"/>
      <c r="H36" s="27" t="s">
        <v>774</v>
      </c>
      <c r="I36" s="28">
        <f>'P5'!I32</f>
        <v>152000</v>
      </c>
    </row>
    <row r="37" spans="1:9" ht="15.75" customHeight="1" x14ac:dyDescent="0.25">
      <c r="A37" s="27"/>
      <c r="B37" s="27"/>
      <c r="C37" s="27"/>
      <c r="D37" s="27"/>
      <c r="E37" s="27"/>
      <c r="F37" s="27"/>
      <c r="G37" s="27"/>
      <c r="H37" s="27" t="s">
        <v>453</v>
      </c>
      <c r="I37" s="28">
        <v>2897691.67</v>
      </c>
    </row>
    <row r="38" spans="1:9" x14ac:dyDescent="0.25">
      <c r="A38" s="27"/>
      <c r="B38" s="27"/>
      <c r="C38" s="27"/>
      <c r="D38" s="27"/>
      <c r="E38" s="27"/>
      <c r="F38" s="27"/>
      <c r="G38" s="27"/>
      <c r="H38" s="27" t="s">
        <v>817</v>
      </c>
      <c r="I38" s="28">
        <v>72500</v>
      </c>
    </row>
    <row r="39" spans="1:9" x14ac:dyDescent="0.25">
      <c r="A39" s="27"/>
      <c r="B39" s="27"/>
      <c r="C39" s="27"/>
      <c r="D39" s="27"/>
      <c r="E39" s="27"/>
      <c r="F39" s="27"/>
      <c r="G39" s="27"/>
      <c r="H39" s="27" t="s">
        <v>698</v>
      </c>
      <c r="I39" s="28">
        <v>244750</v>
      </c>
    </row>
    <row r="40" spans="1:9" x14ac:dyDescent="0.25">
      <c r="A40" s="27"/>
      <c r="B40" s="27"/>
      <c r="C40" s="27"/>
      <c r="D40" s="27"/>
      <c r="E40" s="27"/>
      <c r="F40" s="27"/>
      <c r="G40" s="27"/>
      <c r="H40" s="27" t="s">
        <v>459</v>
      </c>
      <c r="I40" s="28">
        <v>412916.67</v>
      </c>
    </row>
    <row r="41" spans="1:9" x14ac:dyDescent="0.25">
      <c r="A41" s="27"/>
      <c r="B41" s="27"/>
      <c r="C41" s="27"/>
      <c r="D41" s="27"/>
      <c r="E41" s="27"/>
      <c r="F41" s="27"/>
      <c r="G41" s="27"/>
      <c r="H41" s="27" t="s">
        <v>776</v>
      </c>
      <c r="I41" s="28">
        <v>154500</v>
      </c>
    </row>
    <row r="42" spans="1:9" x14ac:dyDescent="0.25">
      <c r="A42" s="27"/>
      <c r="B42" s="27"/>
      <c r="C42" s="27"/>
      <c r="D42" s="27"/>
      <c r="E42" s="27"/>
      <c r="F42" s="27"/>
      <c r="G42" s="27"/>
      <c r="H42" s="27" t="s">
        <v>684</v>
      </c>
      <c r="I42" s="28">
        <v>95208.34</v>
      </c>
    </row>
    <row r="43" spans="1:9" x14ac:dyDescent="0.25">
      <c r="A43" s="27"/>
      <c r="B43" s="27"/>
      <c r="C43" s="27"/>
      <c r="D43" s="27"/>
      <c r="E43" s="27"/>
      <c r="F43" s="27"/>
      <c r="G43" s="27"/>
      <c r="H43" s="27" t="s">
        <v>742</v>
      </c>
      <c r="I43" s="28">
        <v>75000</v>
      </c>
    </row>
    <row r="44" spans="1:9" x14ac:dyDescent="0.25">
      <c r="A44" s="27"/>
      <c r="B44" s="27"/>
      <c r="C44" s="27"/>
      <c r="D44" s="27"/>
      <c r="E44" s="27"/>
      <c r="F44" s="27"/>
      <c r="G44" s="27"/>
      <c r="H44" s="27" t="s">
        <v>827</v>
      </c>
      <c r="I44" s="28">
        <v>350000</v>
      </c>
    </row>
    <row r="45" spans="1:9" x14ac:dyDescent="0.25">
      <c r="A45" s="27"/>
      <c r="B45" s="27"/>
      <c r="C45" s="27"/>
      <c r="D45" s="27"/>
      <c r="E45" s="27"/>
      <c r="F45" s="27"/>
      <c r="G45" s="27"/>
      <c r="H45" s="27" t="s">
        <v>777</v>
      </c>
      <c r="I45" s="28">
        <v>104000</v>
      </c>
    </row>
    <row r="46" spans="1:9" ht="15.75" thickBot="1" x14ac:dyDescent="0.3">
      <c r="A46" s="27"/>
      <c r="B46" s="27"/>
      <c r="C46" s="27"/>
      <c r="D46" s="27"/>
      <c r="E46" s="27"/>
      <c r="F46" s="27"/>
      <c r="G46" s="27"/>
      <c r="H46" s="27" t="s">
        <v>778</v>
      </c>
      <c r="I46" s="29">
        <v>89000</v>
      </c>
    </row>
    <row r="47" spans="1:9" x14ac:dyDescent="0.25">
      <c r="A47" s="27"/>
      <c r="B47" s="27"/>
      <c r="C47" s="27"/>
      <c r="D47" s="27"/>
      <c r="E47" s="27"/>
      <c r="F47" s="27"/>
      <c r="G47" s="27" t="s">
        <v>471</v>
      </c>
      <c r="H47" s="27"/>
      <c r="I47" s="28">
        <f>ROUND(SUM(I29:I46),5)</f>
        <v>6311183.3499999996</v>
      </c>
    </row>
    <row r="48" spans="1:9" ht="30" customHeight="1" thickBot="1" x14ac:dyDescent="0.3">
      <c r="A48" s="27"/>
      <c r="B48" s="27"/>
      <c r="C48" s="27"/>
      <c r="D48" s="27"/>
      <c r="E48" s="27"/>
      <c r="F48" s="27"/>
      <c r="G48" s="27" t="s">
        <v>779</v>
      </c>
      <c r="H48" s="27"/>
      <c r="I48" s="29">
        <v>641922</v>
      </c>
    </row>
    <row r="49" spans="1:9" x14ac:dyDescent="0.25">
      <c r="A49" s="27"/>
      <c r="B49" s="27"/>
      <c r="C49" s="27"/>
      <c r="D49" s="27"/>
      <c r="E49" s="27"/>
      <c r="F49" s="27" t="s">
        <v>780</v>
      </c>
      <c r="G49" s="27"/>
      <c r="H49" s="27"/>
      <c r="I49" s="28">
        <f>ROUND(SUM(I15:I17)+SUM(I20:I22)+SUM(I26:I28)+SUM(I47:I48),5)</f>
        <v>7275438.04</v>
      </c>
    </row>
    <row r="50" spans="1:9" x14ac:dyDescent="0.25">
      <c r="A50" s="27"/>
      <c r="B50" s="27"/>
      <c r="C50" s="27"/>
      <c r="D50" s="27"/>
      <c r="E50" s="27"/>
      <c r="F50" s="27" t="s">
        <v>781</v>
      </c>
      <c r="G50" s="27"/>
      <c r="H50" s="27"/>
      <c r="I50" s="28"/>
    </row>
    <row r="51" spans="1:9" x14ac:dyDescent="0.25">
      <c r="A51" s="27"/>
      <c r="B51" s="27"/>
      <c r="C51" s="27"/>
      <c r="D51" s="27"/>
      <c r="E51" s="27"/>
      <c r="F51" s="27"/>
      <c r="G51" s="27" t="s">
        <v>718</v>
      </c>
      <c r="H51" s="27"/>
      <c r="I51" s="28"/>
    </row>
    <row r="52" spans="1:9" x14ac:dyDescent="0.25">
      <c r="A52" s="27"/>
      <c r="B52" s="27"/>
      <c r="C52" s="27"/>
      <c r="D52" s="27"/>
      <c r="E52" s="27"/>
      <c r="F52" s="27"/>
      <c r="G52" s="27"/>
      <c r="H52" s="27" t="s">
        <v>782</v>
      </c>
      <c r="I52" s="28">
        <v>3655.73</v>
      </c>
    </row>
    <row r="53" spans="1:9" ht="15.75" thickBot="1" x14ac:dyDescent="0.3">
      <c r="A53" s="27"/>
      <c r="B53" s="27"/>
      <c r="C53" s="27"/>
      <c r="D53" s="27"/>
      <c r="E53" s="27"/>
      <c r="F53" s="27"/>
      <c r="G53" s="27"/>
      <c r="H53" s="27" t="s">
        <v>783</v>
      </c>
      <c r="I53" s="29">
        <v>156609.32</v>
      </c>
    </row>
    <row r="54" spans="1:9" ht="30" customHeight="1" x14ac:dyDescent="0.25">
      <c r="A54" s="27"/>
      <c r="B54" s="27"/>
      <c r="C54" s="27"/>
      <c r="D54" s="27"/>
      <c r="E54" s="27"/>
      <c r="F54" s="27"/>
      <c r="G54" s="27" t="s">
        <v>784</v>
      </c>
      <c r="H54" s="27"/>
      <c r="I54" s="28">
        <f>ROUND(SUM(I51:I53),5)</f>
        <v>160265.04999999999</v>
      </c>
    </row>
    <row r="55" spans="1:9" x14ac:dyDescent="0.25">
      <c r="A55" s="27"/>
      <c r="B55" s="27"/>
      <c r="C55" s="27"/>
      <c r="D55" s="27"/>
      <c r="E55" s="27"/>
      <c r="F55" s="27"/>
      <c r="G55" s="27" t="s">
        <v>785</v>
      </c>
      <c r="H55" s="27"/>
      <c r="I55" s="28">
        <v>17099</v>
      </c>
    </row>
    <row r="56" spans="1:9" x14ac:dyDescent="0.25">
      <c r="A56" s="27"/>
      <c r="B56" s="27"/>
      <c r="C56" s="27"/>
      <c r="D56" s="27"/>
      <c r="E56" s="27"/>
      <c r="F56" s="27"/>
      <c r="G56" s="27" t="s">
        <v>786</v>
      </c>
      <c r="H56" s="27"/>
      <c r="I56" s="28">
        <v>8679</v>
      </c>
    </row>
    <row r="57" spans="1:9" x14ac:dyDescent="0.25">
      <c r="A57" s="27"/>
      <c r="B57" s="27"/>
      <c r="C57" s="27"/>
      <c r="D57" s="27"/>
      <c r="E57" s="27"/>
      <c r="F57" s="27"/>
      <c r="G57" s="27" t="s">
        <v>787</v>
      </c>
      <c r="H57" s="27"/>
      <c r="I57" s="28">
        <v>152827.59</v>
      </c>
    </row>
    <row r="58" spans="1:9" x14ac:dyDescent="0.25">
      <c r="A58" s="27"/>
      <c r="B58" s="27"/>
      <c r="C58" s="27"/>
      <c r="D58" s="27"/>
      <c r="E58" s="27"/>
      <c r="F58" s="27"/>
      <c r="G58" s="27" t="s">
        <v>788</v>
      </c>
      <c r="H58" s="27"/>
      <c r="I58" s="28">
        <v>3655.73</v>
      </c>
    </row>
    <row r="59" spans="1:9" ht="15.75" thickBot="1" x14ac:dyDescent="0.3">
      <c r="A59" s="27"/>
      <c r="B59" s="27"/>
      <c r="C59" s="27"/>
      <c r="D59" s="27"/>
      <c r="E59" s="27"/>
      <c r="F59" s="27"/>
      <c r="G59" s="27" t="s">
        <v>789</v>
      </c>
      <c r="H59" s="27"/>
      <c r="I59" s="29">
        <v>14030.62</v>
      </c>
    </row>
    <row r="60" spans="1:9" ht="30" customHeight="1" x14ac:dyDescent="0.25">
      <c r="A60" s="27"/>
      <c r="B60" s="27"/>
      <c r="C60" s="27"/>
      <c r="D60" s="27"/>
      <c r="E60" s="27"/>
      <c r="F60" s="27" t="s">
        <v>790</v>
      </c>
      <c r="G60" s="27"/>
      <c r="H60" s="27"/>
      <c r="I60" s="28">
        <f>ROUND(I50+SUM(I54:I59),5)</f>
        <v>356556.99</v>
      </c>
    </row>
    <row r="61" spans="1:9" x14ac:dyDescent="0.25">
      <c r="A61" s="27"/>
      <c r="B61" s="27"/>
      <c r="C61" s="27"/>
      <c r="D61" s="27"/>
      <c r="E61" s="27"/>
      <c r="F61" s="27" t="s">
        <v>791</v>
      </c>
      <c r="G61" s="27"/>
      <c r="H61" s="27"/>
      <c r="I61" s="28"/>
    </row>
    <row r="62" spans="1:9" x14ac:dyDescent="0.25">
      <c r="A62" s="27"/>
      <c r="B62" s="27"/>
      <c r="C62" s="27"/>
      <c r="D62" s="27"/>
      <c r="E62" s="27"/>
      <c r="F62" s="27"/>
      <c r="G62" s="27" t="s">
        <v>792</v>
      </c>
      <c r="H62" s="27"/>
      <c r="I62" s="28">
        <v>2638.63</v>
      </c>
    </row>
    <row r="63" spans="1:9" x14ac:dyDescent="0.25">
      <c r="A63" s="27"/>
      <c r="B63" s="27"/>
      <c r="C63" s="27"/>
      <c r="D63" s="27"/>
      <c r="E63" s="27"/>
      <c r="F63" s="27"/>
      <c r="G63" s="27" t="s">
        <v>793</v>
      </c>
      <c r="H63" s="27"/>
      <c r="I63" s="28">
        <v>52597.38</v>
      </c>
    </row>
    <row r="64" spans="1:9" x14ac:dyDescent="0.25">
      <c r="A64" s="27"/>
      <c r="B64" s="27"/>
      <c r="C64" s="27"/>
      <c r="D64" s="27"/>
      <c r="E64" s="27"/>
      <c r="F64" s="27"/>
      <c r="G64" s="27" t="s">
        <v>794</v>
      </c>
      <c r="H64" s="27"/>
      <c r="I64" s="28">
        <v>165481.69</v>
      </c>
    </row>
    <row r="65" spans="1:9" x14ac:dyDescent="0.25">
      <c r="A65" s="27"/>
      <c r="B65" s="27"/>
      <c r="C65" s="27"/>
      <c r="D65" s="27"/>
      <c r="E65" s="27"/>
      <c r="F65" s="27"/>
      <c r="G65" s="27" t="s">
        <v>749</v>
      </c>
      <c r="H65" s="27"/>
      <c r="I65" s="28">
        <v>3016.67</v>
      </c>
    </row>
    <row r="66" spans="1:9" ht="30" customHeight="1" thickBot="1" x14ac:dyDescent="0.3">
      <c r="A66" s="27"/>
      <c r="B66" s="27"/>
      <c r="C66" s="27"/>
      <c r="D66" s="27"/>
      <c r="E66" s="27"/>
      <c r="F66" s="27"/>
      <c r="G66" s="27" t="s">
        <v>795</v>
      </c>
      <c r="H66" s="27"/>
      <c r="I66" s="29">
        <v>149605.31</v>
      </c>
    </row>
    <row r="67" spans="1:9" x14ac:dyDescent="0.25">
      <c r="A67" s="27"/>
      <c r="B67" s="27"/>
      <c r="C67" s="27"/>
      <c r="D67" s="27"/>
      <c r="E67" s="27"/>
      <c r="F67" s="27" t="s">
        <v>796</v>
      </c>
      <c r="G67" s="27"/>
      <c r="H67" s="27"/>
      <c r="I67" s="28">
        <f>ROUND(SUM(I61:I66),5)</f>
        <v>373339.68</v>
      </c>
    </row>
    <row r="68" spans="1:9" x14ac:dyDescent="0.25">
      <c r="A68" s="27"/>
      <c r="B68" s="27"/>
      <c r="C68" s="27"/>
      <c r="D68" s="27"/>
      <c r="E68" s="27"/>
      <c r="F68" s="27" t="s">
        <v>797</v>
      </c>
      <c r="G68" s="27"/>
      <c r="H68" s="27"/>
      <c r="I68" s="28"/>
    </row>
    <row r="69" spans="1:9" ht="15.75" thickBot="1" x14ac:dyDescent="0.3">
      <c r="A69" s="27"/>
      <c r="B69" s="27"/>
      <c r="C69" s="27"/>
      <c r="D69" s="27"/>
      <c r="E69" s="27"/>
      <c r="F69" s="27"/>
      <c r="G69" s="27" t="s">
        <v>798</v>
      </c>
      <c r="H69" s="27"/>
      <c r="I69" s="29">
        <v>78738</v>
      </c>
    </row>
    <row r="70" spans="1:9" x14ac:dyDescent="0.25">
      <c r="A70" s="27"/>
      <c r="B70" s="27"/>
      <c r="C70" s="27"/>
      <c r="D70" s="27"/>
      <c r="E70" s="27"/>
      <c r="F70" s="27" t="s">
        <v>800</v>
      </c>
      <c r="G70" s="27"/>
      <c r="H70" s="27"/>
      <c r="I70" s="28">
        <f>ROUND(SUM(I68:I69),5)</f>
        <v>78738</v>
      </c>
    </row>
    <row r="71" spans="1:9" x14ac:dyDescent="0.25">
      <c r="A71" s="27"/>
      <c r="B71" s="27"/>
      <c r="C71" s="27"/>
      <c r="D71" s="27"/>
      <c r="E71" s="27"/>
      <c r="F71" s="27" t="s">
        <v>801</v>
      </c>
      <c r="G71" s="27"/>
      <c r="H71" s="27"/>
      <c r="I71" s="28"/>
    </row>
    <row r="72" spans="1:9" ht="30" customHeight="1" x14ac:dyDescent="0.25">
      <c r="A72" s="27"/>
      <c r="B72" s="27"/>
      <c r="C72" s="27"/>
      <c r="D72" s="27"/>
      <c r="E72" s="27"/>
      <c r="F72" s="27"/>
      <c r="G72" s="27" t="s">
        <v>802</v>
      </c>
      <c r="H72" s="27"/>
      <c r="I72" s="28">
        <v>111199</v>
      </c>
    </row>
    <row r="73" spans="1:9" x14ac:dyDescent="0.25">
      <c r="A73" s="27"/>
      <c r="B73" s="27"/>
      <c r="C73" s="27"/>
      <c r="D73" s="27"/>
      <c r="E73" s="27"/>
      <c r="F73" s="27"/>
      <c r="G73" s="27" t="s">
        <v>804</v>
      </c>
      <c r="H73" s="27"/>
      <c r="I73" s="28">
        <v>125000</v>
      </c>
    </row>
    <row r="74" spans="1:9" x14ac:dyDescent="0.25">
      <c r="A74" s="27"/>
      <c r="B74" s="27"/>
      <c r="C74" s="27"/>
      <c r="D74" s="27"/>
      <c r="E74" s="27"/>
      <c r="F74" s="27"/>
      <c r="G74" s="27" t="s">
        <v>805</v>
      </c>
      <c r="H74" s="27"/>
      <c r="I74" s="28">
        <v>13045</v>
      </c>
    </row>
    <row r="75" spans="1:9" ht="15.75" thickBot="1" x14ac:dyDescent="0.3">
      <c r="A75" s="27"/>
      <c r="B75" s="27"/>
      <c r="C75" s="27"/>
      <c r="D75" s="27"/>
      <c r="E75" s="27"/>
      <c r="F75" s="27"/>
      <c r="G75" s="27" t="s">
        <v>826</v>
      </c>
      <c r="H75" s="27"/>
      <c r="I75" s="30">
        <v>10359.35</v>
      </c>
    </row>
    <row r="76" spans="1:9" ht="15.75" thickBot="1" x14ac:dyDescent="0.3">
      <c r="A76" s="27"/>
      <c r="B76" s="27"/>
      <c r="C76" s="27"/>
      <c r="D76" s="27"/>
      <c r="E76" s="27"/>
      <c r="F76" s="27" t="s">
        <v>806</v>
      </c>
      <c r="G76" s="27"/>
      <c r="H76" s="27"/>
      <c r="I76" s="33">
        <f>ROUND(SUM(I71:I75),5)</f>
        <v>259603.35</v>
      </c>
    </row>
    <row r="77" spans="1:9" x14ac:dyDescent="0.25">
      <c r="A77" s="27"/>
      <c r="B77" s="27"/>
      <c r="C77" s="27"/>
      <c r="D77" s="27"/>
      <c r="E77" s="27" t="s">
        <v>807</v>
      </c>
      <c r="F77" s="27"/>
      <c r="G77" s="27"/>
      <c r="H77" s="27"/>
      <c r="I77" s="28">
        <f>ROUND(I14+I49+I60+I67+I70+I76,5)</f>
        <v>8343676.0599999996</v>
      </c>
    </row>
    <row r="78" spans="1:9" ht="30" customHeight="1" x14ac:dyDescent="0.25">
      <c r="A78" s="27"/>
      <c r="B78" s="27"/>
      <c r="C78" s="27"/>
      <c r="D78" s="27"/>
      <c r="E78" s="27" t="s">
        <v>808</v>
      </c>
      <c r="F78" s="27"/>
      <c r="G78" s="27"/>
      <c r="H78" s="27"/>
      <c r="I78" s="28"/>
    </row>
    <row r="79" spans="1:9" ht="15.75" thickBot="1" x14ac:dyDescent="0.3">
      <c r="A79" s="27"/>
      <c r="B79" s="27"/>
      <c r="C79" s="27"/>
      <c r="D79" s="27"/>
      <c r="E79" s="27"/>
      <c r="F79" s="27" t="s">
        <v>810</v>
      </c>
      <c r="G79" s="27"/>
      <c r="H79" s="27"/>
      <c r="I79" s="30">
        <v>325434</v>
      </c>
    </row>
    <row r="80" spans="1:9" ht="15.75" thickBot="1" x14ac:dyDescent="0.3">
      <c r="A80" s="27"/>
      <c r="B80" s="27"/>
      <c r="C80" s="27"/>
      <c r="D80" s="27"/>
      <c r="E80" s="27" t="s">
        <v>811</v>
      </c>
      <c r="F80" s="27"/>
      <c r="G80" s="27"/>
      <c r="H80" s="27"/>
      <c r="I80" s="34">
        <f>ROUND(SUM(I78:I79),5)</f>
        <v>325434</v>
      </c>
    </row>
    <row r="81" spans="1:15" ht="15.75" thickBot="1" x14ac:dyDescent="0.3">
      <c r="A81" s="27"/>
      <c r="B81" s="27"/>
      <c r="C81" s="27"/>
      <c r="D81" s="27" t="s">
        <v>357</v>
      </c>
      <c r="E81" s="27"/>
      <c r="F81" s="27"/>
      <c r="G81" s="27"/>
      <c r="H81" s="27"/>
      <c r="I81" s="34">
        <f>ROUND(I13+I77+I80,5)</f>
        <v>8669110.0600000005</v>
      </c>
    </row>
    <row r="82" spans="1:15" ht="15.75" thickBot="1" x14ac:dyDescent="0.3">
      <c r="A82" s="27"/>
      <c r="B82" s="27" t="s">
        <v>358</v>
      </c>
      <c r="C82" s="27"/>
      <c r="D82" s="27"/>
      <c r="E82" s="27"/>
      <c r="F82" s="27"/>
      <c r="G82" s="27"/>
      <c r="H82" s="27"/>
      <c r="I82" s="34">
        <f>ROUND(I2+I12-I81,5)</f>
        <v>-971350.06</v>
      </c>
    </row>
    <row r="83" spans="1:15" ht="15.75" thickBot="1" x14ac:dyDescent="0.3">
      <c r="A83" s="27"/>
      <c r="B83" s="27"/>
      <c r="C83" s="27"/>
      <c r="D83" s="27"/>
      <c r="E83" s="27"/>
      <c r="F83" s="27"/>
      <c r="G83" s="27"/>
      <c r="H83" s="27"/>
      <c r="I83" s="35">
        <f>I82</f>
        <v>-971350.06</v>
      </c>
    </row>
    <row r="84" spans="1:15" ht="30" customHeight="1" thickTop="1" x14ac:dyDescent="0.25">
      <c r="A84" s="27"/>
    </row>
    <row r="85" spans="1:15" ht="30" customHeight="1" x14ac:dyDescent="0.25">
      <c r="A85" s="27"/>
    </row>
    <row r="86" spans="1:15" x14ac:dyDescent="0.25">
      <c r="A86" s="27"/>
    </row>
    <row r="87" spans="1:15" x14ac:dyDescent="0.25">
      <c r="A87" s="27" t="s">
        <v>372</v>
      </c>
    </row>
    <row r="88" spans="1:15" ht="30" customHeight="1" x14ac:dyDescent="0.25"/>
    <row r="89" spans="1:15" s="104" customFormat="1" ht="30" customHeight="1" x14ac:dyDescent="0.25">
      <c r="A89" s="50"/>
      <c r="B89" s="50"/>
      <c r="C89" s="50"/>
      <c r="D89" s="50"/>
      <c r="E89" s="50"/>
      <c r="F89" s="50"/>
      <c r="G89" s="50"/>
      <c r="H89" s="50"/>
      <c r="I89" s="26"/>
      <c r="N89" s="23"/>
      <c r="O89" s="23"/>
    </row>
    <row r="96" spans="1:15" x14ac:dyDescent="0.25">
      <c r="K96" s="108"/>
    </row>
    <row r="97" spans="11:11" x14ac:dyDescent="0.25">
      <c r="K97" s="197"/>
    </row>
    <row r="195" spans="14:15" x14ac:dyDescent="0.25">
      <c r="N195" s="104"/>
      <c r="O195" s="104"/>
    </row>
    <row r="218" spans="14:15" x14ac:dyDescent="0.25">
      <c r="N218" s="102"/>
      <c r="O218" s="102"/>
    </row>
    <row r="224" spans="14:15" x14ac:dyDescent="0.25">
      <c r="N224" s="104"/>
      <c r="O224" s="10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P223"/>
  <sheetViews>
    <sheetView workbookViewId="0">
      <selection activeCell="I8" sqref="I8"/>
    </sheetView>
  </sheetViews>
  <sheetFormatPr defaultRowHeight="15" x14ac:dyDescent="0.25"/>
  <cols>
    <col min="1" max="7" width="3" style="50" customWidth="1"/>
    <col min="8" max="8" width="28.7109375" style="50" customWidth="1"/>
    <col min="9" max="9" width="15.28515625" style="26" bestFit="1" customWidth="1"/>
    <col min="10" max="13" width="9.140625" style="23"/>
    <col min="14" max="14" width="31.140625" style="23" bestFit="1" customWidth="1"/>
    <col min="15" max="15" width="13.28515625" style="23" bestFit="1" customWidth="1"/>
    <col min="16" max="16" width="18.140625" style="23" bestFit="1" customWidth="1"/>
    <col min="17" max="16384" width="9.140625" style="23"/>
  </cols>
  <sheetData>
    <row r="1" spans="1:16" s="102" customFormat="1" ht="15.75" thickBot="1" x14ac:dyDescent="0.3">
      <c r="A1" s="31"/>
      <c r="B1" s="31"/>
      <c r="C1" s="31"/>
      <c r="D1" s="31"/>
      <c r="E1" s="31"/>
      <c r="F1" s="31"/>
      <c r="G1" s="31"/>
      <c r="H1" s="31"/>
      <c r="I1" s="32" t="s">
        <v>819</v>
      </c>
      <c r="N1" s="23"/>
      <c r="O1" s="23"/>
    </row>
    <row r="2" spans="1:16" ht="15.75" thickTop="1" x14ac:dyDescent="0.25">
      <c r="A2" s="27"/>
      <c r="B2" s="27" t="s">
        <v>53</v>
      </c>
      <c r="C2" s="27"/>
      <c r="D2" s="27"/>
      <c r="E2" s="27"/>
      <c r="F2" s="27"/>
      <c r="G2" s="27"/>
      <c r="H2" s="27"/>
      <c r="I2" s="28"/>
      <c r="N2" s="226" t="s">
        <v>622</v>
      </c>
      <c r="O2" s="227" t="s">
        <v>621</v>
      </c>
    </row>
    <row r="3" spans="1:16" x14ac:dyDescent="0.25">
      <c r="A3" s="27"/>
      <c r="B3" s="27"/>
      <c r="C3" s="27"/>
      <c r="D3" s="27" t="s">
        <v>54</v>
      </c>
      <c r="E3" s="27"/>
      <c r="F3" s="27"/>
      <c r="G3" s="27"/>
      <c r="H3" s="27"/>
      <c r="I3" s="28"/>
      <c r="N3" s="164" t="s">
        <v>812</v>
      </c>
      <c r="O3" s="295">
        <f>I48</f>
        <v>6379616.6699999999</v>
      </c>
    </row>
    <row r="4" spans="1:16" x14ac:dyDescent="0.25">
      <c r="A4" s="27"/>
      <c r="B4" s="27"/>
      <c r="C4" s="27"/>
      <c r="D4" s="27"/>
      <c r="E4" s="27" t="s">
        <v>751</v>
      </c>
      <c r="F4" s="27"/>
      <c r="G4" s="27"/>
      <c r="H4" s="27"/>
      <c r="I4" s="28"/>
      <c r="N4" s="164" t="s">
        <v>814</v>
      </c>
      <c r="O4" s="296">
        <f>I16</f>
        <v>200000</v>
      </c>
    </row>
    <row r="5" spans="1:16" x14ac:dyDescent="0.25">
      <c r="A5" s="27"/>
      <c r="B5" s="27"/>
      <c r="C5" s="27"/>
      <c r="D5" s="27"/>
      <c r="E5" s="27"/>
      <c r="F5" s="27" t="s">
        <v>752</v>
      </c>
      <c r="G5" s="27"/>
      <c r="H5" s="27"/>
      <c r="I5" s="28">
        <v>143880</v>
      </c>
      <c r="N5" s="164" t="s">
        <v>815</v>
      </c>
      <c r="O5" s="296">
        <f>+I24</f>
        <v>93184</v>
      </c>
    </row>
    <row r="6" spans="1:16" ht="30" customHeight="1" x14ac:dyDescent="0.25">
      <c r="A6" s="27"/>
      <c r="B6" s="27"/>
      <c r="C6" s="27"/>
      <c r="D6" s="27"/>
      <c r="E6" s="27"/>
      <c r="F6" s="27" t="s">
        <v>753</v>
      </c>
      <c r="G6" s="27"/>
      <c r="H6" s="27"/>
      <c r="I6" s="28">
        <v>1007160</v>
      </c>
      <c r="N6" s="297" t="s">
        <v>25</v>
      </c>
      <c r="O6" s="298">
        <f>SUM(O3:O5)</f>
        <v>6672800.6699999999</v>
      </c>
    </row>
    <row r="7" spans="1:16" ht="30" customHeight="1" x14ac:dyDescent="0.25">
      <c r="A7" s="27"/>
      <c r="B7" s="27"/>
      <c r="C7" s="27"/>
      <c r="D7" s="27"/>
      <c r="E7" s="27"/>
      <c r="F7" s="27" t="s">
        <v>754</v>
      </c>
      <c r="G7" s="27"/>
      <c r="H7" s="27"/>
      <c r="I7" s="28">
        <v>863280</v>
      </c>
      <c r="N7" s="299"/>
      <c r="O7" s="300"/>
    </row>
    <row r="8" spans="1:16" x14ac:dyDescent="0.25">
      <c r="A8" s="27"/>
      <c r="B8" s="27"/>
      <c r="C8" s="27"/>
      <c r="D8" s="27"/>
      <c r="E8" s="27"/>
      <c r="F8" s="27" t="s">
        <v>755</v>
      </c>
      <c r="G8" s="27"/>
      <c r="H8" s="27"/>
      <c r="I8" s="28">
        <v>5672100</v>
      </c>
      <c r="N8" s="301" t="s">
        <v>743</v>
      </c>
      <c r="O8" s="302" t="s">
        <v>621</v>
      </c>
    </row>
    <row r="9" spans="1:16" ht="15.75" thickBot="1" x14ac:dyDescent="0.3">
      <c r="A9" s="27"/>
      <c r="B9" s="27"/>
      <c r="C9" s="27"/>
      <c r="D9" s="27"/>
      <c r="E9" s="27"/>
      <c r="F9" s="27" t="s">
        <v>756</v>
      </c>
      <c r="G9" s="27"/>
      <c r="H9" s="27"/>
      <c r="I9" s="30">
        <v>2337000</v>
      </c>
      <c r="N9" s="164" t="s">
        <v>813</v>
      </c>
      <c r="O9" s="186">
        <f>+I84-O6</f>
        <v>4044578.3900000006</v>
      </c>
    </row>
    <row r="10" spans="1:16" ht="15.75" thickBot="1" x14ac:dyDescent="0.3">
      <c r="A10" s="27"/>
      <c r="B10" s="27"/>
      <c r="C10" s="27"/>
      <c r="D10" s="27"/>
      <c r="E10" s="27" t="s">
        <v>757</v>
      </c>
      <c r="F10" s="27"/>
      <c r="G10" s="27"/>
      <c r="H10" s="27"/>
      <c r="I10" s="34">
        <f>ROUND(SUM(I4:I9),5)</f>
        <v>10023420</v>
      </c>
      <c r="N10" s="303" t="s">
        <v>25</v>
      </c>
      <c r="O10" s="304">
        <f>SUM(O9:O9)</f>
        <v>4044578.3900000006</v>
      </c>
    </row>
    <row r="11" spans="1:16" ht="15.75" thickBot="1" x14ac:dyDescent="0.3">
      <c r="A11" s="27"/>
      <c r="B11" s="27"/>
      <c r="C11" s="27"/>
      <c r="D11" s="27" t="s">
        <v>88</v>
      </c>
      <c r="E11" s="27"/>
      <c r="F11" s="27"/>
      <c r="G11" s="27"/>
      <c r="H11" s="27"/>
      <c r="I11" s="33">
        <f>ROUND(I3+I10,5)</f>
        <v>10023420</v>
      </c>
      <c r="O11" s="111"/>
    </row>
    <row r="12" spans="1:16" x14ac:dyDescent="0.25">
      <c r="A12" s="27"/>
      <c r="B12" s="27"/>
      <c r="C12" s="27" t="s">
        <v>147</v>
      </c>
      <c r="D12" s="27"/>
      <c r="E12" s="27"/>
      <c r="F12" s="27"/>
      <c r="G12" s="27"/>
      <c r="H12" s="27"/>
      <c r="I12" s="28">
        <f>I11</f>
        <v>10023420</v>
      </c>
      <c r="K12" s="23">
        <f>I8/50000</f>
        <v>113.44199999999999</v>
      </c>
      <c r="O12" s="108"/>
    </row>
    <row r="13" spans="1:16" x14ac:dyDescent="0.25">
      <c r="A13" s="27"/>
      <c r="B13" s="27"/>
      <c r="C13" s="27"/>
      <c r="D13" s="27" t="s">
        <v>148</v>
      </c>
      <c r="E13" s="27"/>
      <c r="F13" s="27"/>
      <c r="G13" s="27"/>
      <c r="H13" s="27"/>
      <c r="I13" s="28"/>
      <c r="O13" s="108"/>
    </row>
    <row r="14" spans="1:16" x14ac:dyDescent="0.25">
      <c r="A14" s="27"/>
      <c r="B14" s="27"/>
      <c r="C14" s="27"/>
      <c r="D14" s="27"/>
      <c r="E14" s="27" t="s">
        <v>758</v>
      </c>
      <c r="F14" s="27"/>
      <c r="G14" s="27"/>
      <c r="H14" s="27"/>
      <c r="I14" s="28"/>
      <c r="O14" s="107"/>
    </row>
    <row r="15" spans="1:16" x14ac:dyDescent="0.25">
      <c r="A15" s="27"/>
      <c r="B15" s="27"/>
      <c r="C15" s="27"/>
      <c r="D15" s="27"/>
      <c r="E15" s="27"/>
      <c r="F15" s="27" t="s">
        <v>759</v>
      </c>
      <c r="G15" s="27"/>
      <c r="H15" s="27"/>
      <c r="I15" s="28"/>
      <c r="O15" s="197"/>
      <c r="P15" s="111"/>
    </row>
    <row r="16" spans="1:16" x14ac:dyDescent="0.25">
      <c r="A16" s="27"/>
      <c r="B16" s="27"/>
      <c r="C16" s="27"/>
      <c r="D16" s="27"/>
      <c r="E16" s="27"/>
      <c r="F16" s="27"/>
      <c r="G16" s="27" t="s">
        <v>760</v>
      </c>
      <c r="H16" s="27"/>
      <c r="I16" s="28">
        <v>200000</v>
      </c>
      <c r="O16" s="108"/>
    </row>
    <row r="17" spans="1:16" x14ac:dyDescent="0.25">
      <c r="A17" s="27"/>
      <c r="B17" s="27"/>
      <c r="C17" s="27"/>
      <c r="D17" s="27"/>
      <c r="E17" s="27"/>
      <c r="F17" s="27"/>
      <c r="G17" s="27" t="s">
        <v>816</v>
      </c>
      <c r="H17" s="27"/>
      <c r="I17" s="28">
        <v>7000</v>
      </c>
      <c r="O17" s="108"/>
    </row>
    <row r="18" spans="1:16" x14ac:dyDescent="0.25">
      <c r="A18" s="27"/>
      <c r="B18" s="27"/>
      <c r="C18" s="27"/>
      <c r="D18" s="27"/>
      <c r="E18" s="27"/>
      <c r="F18" s="27"/>
      <c r="G18" s="27" t="s">
        <v>761</v>
      </c>
      <c r="H18" s="27"/>
      <c r="I18" s="28">
        <v>190000</v>
      </c>
      <c r="O18" s="108"/>
    </row>
    <row r="19" spans="1:16" x14ac:dyDescent="0.25">
      <c r="A19" s="27"/>
      <c r="B19" s="27"/>
      <c r="C19" s="27"/>
      <c r="D19" s="27"/>
      <c r="E19" s="27"/>
      <c r="F19" s="27"/>
      <c r="G19" s="27" t="s">
        <v>762</v>
      </c>
      <c r="H19" s="27"/>
      <c r="I19" s="28"/>
      <c r="O19" s="108"/>
    </row>
    <row r="20" spans="1:16" x14ac:dyDescent="0.25">
      <c r="A20" s="27"/>
      <c r="B20" s="27"/>
      <c r="C20" s="27"/>
      <c r="D20" s="27"/>
      <c r="E20" s="27"/>
      <c r="F20" s="27"/>
      <c r="G20" s="27"/>
      <c r="H20" s="27" t="s">
        <v>763</v>
      </c>
      <c r="I20" s="28">
        <v>49450</v>
      </c>
    </row>
    <row r="21" spans="1:16" ht="30" customHeight="1" x14ac:dyDescent="0.25">
      <c r="A21" s="27"/>
      <c r="B21" s="27"/>
      <c r="C21" s="27"/>
      <c r="D21" s="27"/>
      <c r="E21" s="27"/>
      <c r="F21" s="27"/>
      <c r="G21" s="27"/>
      <c r="H21" s="27" t="s">
        <v>764</v>
      </c>
      <c r="I21" s="28">
        <v>66733</v>
      </c>
    </row>
    <row r="22" spans="1:16" ht="15.75" thickBot="1" x14ac:dyDescent="0.3">
      <c r="A22" s="27"/>
      <c r="B22" s="27"/>
      <c r="C22" s="27"/>
      <c r="D22" s="27"/>
      <c r="E22" s="27"/>
      <c r="F22" s="27"/>
      <c r="G22" s="27"/>
      <c r="H22" s="27" t="s">
        <v>765</v>
      </c>
      <c r="I22" s="29">
        <v>3100</v>
      </c>
    </row>
    <row r="23" spans="1:16" x14ac:dyDescent="0.25">
      <c r="A23" s="27"/>
      <c r="B23" s="27"/>
      <c r="C23" s="27"/>
      <c r="D23" s="27"/>
      <c r="E23" s="27"/>
      <c r="F23" s="27"/>
      <c r="G23" s="27" t="s">
        <v>766</v>
      </c>
      <c r="H23" s="27"/>
      <c r="I23" s="28">
        <f>ROUND(SUM(I19:I22),5)</f>
        <v>119283</v>
      </c>
    </row>
    <row r="24" spans="1:16" x14ac:dyDescent="0.25">
      <c r="A24" s="27"/>
      <c r="B24" s="27"/>
      <c r="C24" s="27"/>
      <c r="D24" s="27"/>
      <c r="E24" s="27"/>
      <c r="F24" s="27"/>
      <c r="G24" s="27" t="s">
        <v>767</v>
      </c>
      <c r="H24" s="27"/>
      <c r="I24" s="28">
        <v>93184</v>
      </c>
    </row>
    <row r="25" spans="1:16" x14ac:dyDescent="0.25">
      <c r="A25" s="27"/>
      <c r="B25" s="27"/>
      <c r="C25" s="27"/>
      <c r="D25" s="27"/>
      <c r="E25" s="27"/>
      <c r="F25" s="27"/>
      <c r="G25" s="27" t="s">
        <v>768</v>
      </c>
      <c r="H25" s="27"/>
      <c r="I25" s="28"/>
    </row>
    <row r="26" spans="1:16" x14ac:dyDescent="0.25">
      <c r="A26" s="27"/>
      <c r="B26" s="27"/>
      <c r="C26" s="27"/>
      <c r="D26" s="27"/>
      <c r="E26" s="27"/>
      <c r="F26" s="27"/>
      <c r="G26" s="27"/>
      <c r="H26" s="27" t="s">
        <v>769</v>
      </c>
      <c r="I26" s="28">
        <v>159118.26999999999</v>
      </c>
    </row>
    <row r="27" spans="1:16" ht="15.75" thickBot="1" x14ac:dyDescent="0.3">
      <c r="A27" s="27"/>
      <c r="B27" s="27"/>
      <c r="C27" s="27"/>
      <c r="D27" s="27"/>
      <c r="E27" s="27"/>
      <c r="F27" s="27"/>
      <c r="G27" s="27"/>
      <c r="H27" s="27" t="s">
        <v>770</v>
      </c>
      <c r="I27" s="29">
        <v>3716.21</v>
      </c>
    </row>
    <row r="28" spans="1:16" ht="30" customHeight="1" x14ac:dyDescent="0.25">
      <c r="A28" s="27"/>
      <c r="B28" s="27"/>
      <c r="C28" s="27"/>
      <c r="D28" s="27"/>
      <c r="E28" s="27"/>
      <c r="F28" s="27"/>
      <c r="G28" s="27" t="s">
        <v>771</v>
      </c>
      <c r="H28" s="27"/>
      <c r="I28" s="28">
        <f>ROUND(SUM(I25:I27),5)</f>
        <v>162834.48000000001</v>
      </c>
    </row>
    <row r="29" spans="1:16" x14ac:dyDescent="0.25">
      <c r="A29" s="27"/>
      <c r="B29" s="27"/>
      <c r="C29" s="27"/>
      <c r="D29" s="27"/>
      <c r="E29" s="27"/>
      <c r="F29" s="27"/>
      <c r="G29" s="27" t="s">
        <v>772</v>
      </c>
      <c r="H29" s="27"/>
      <c r="I29" s="28">
        <v>2014</v>
      </c>
      <c r="P29" s="306"/>
    </row>
    <row r="30" spans="1:16" x14ac:dyDescent="0.25">
      <c r="A30" s="27"/>
      <c r="B30" s="27"/>
      <c r="C30" s="27"/>
      <c r="D30" s="27"/>
      <c r="E30" s="27"/>
      <c r="F30" s="27"/>
      <c r="G30" s="27" t="s">
        <v>428</v>
      </c>
      <c r="H30" s="27"/>
      <c r="I30" s="28"/>
    </row>
    <row r="31" spans="1:16" x14ac:dyDescent="0.25">
      <c r="A31" s="27"/>
      <c r="B31" s="27"/>
      <c r="C31" s="27"/>
      <c r="D31" s="27"/>
      <c r="E31" s="27"/>
      <c r="F31" s="27"/>
      <c r="G31" s="27"/>
      <c r="H31" s="27" t="s">
        <v>429</v>
      </c>
      <c r="I31" s="28">
        <v>268750</v>
      </c>
    </row>
    <row r="32" spans="1:16" x14ac:dyDescent="0.25">
      <c r="A32" s="27"/>
      <c r="B32" s="27"/>
      <c r="C32" s="27"/>
      <c r="D32" s="27"/>
      <c r="E32" s="27"/>
      <c r="F32" s="27"/>
      <c r="G32" s="27"/>
      <c r="H32" s="27" t="s">
        <v>774</v>
      </c>
      <c r="I32" s="28">
        <v>152000</v>
      </c>
    </row>
    <row r="33" spans="1:9" x14ac:dyDescent="0.25">
      <c r="A33" s="27"/>
      <c r="B33" s="27"/>
      <c r="C33" s="27"/>
      <c r="D33" s="27"/>
      <c r="E33" s="27"/>
      <c r="F33" s="27"/>
      <c r="G33" s="27"/>
      <c r="H33" s="27" t="s">
        <v>734</v>
      </c>
      <c r="I33" s="28">
        <v>232750</v>
      </c>
    </row>
    <row r="34" spans="1:9" x14ac:dyDescent="0.25">
      <c r="A34" s="27"/>
      <c r="B34" s="27"/>
      <c r="C34" s="27"/>
      <c r="D34" s="27"/>
      <c r="E34" s="27"/>
      <c r="F34" s="27"/>
      <c r="G34" s="27"/>
      <c r="H34" s="27" t="s">
        <v>775</v>
      </c>
      <c r="I34" s="28">
        <v>185625</v>
      </c>
    </row>
    <row r="35" spans="1:9" x14ac:dyDescent="0.25">
      <c r="A35" s="27"/>
      <c r="B35" s="27"/>
      <c r="C35" s="27"/>
      <c r="D35" s="27"/>
      <c r="E35" s="27"/>
      <c r="F35" s="27"/>
      <c r="G35" s="27"/>
      <c r="H35" s="27" t="s">
        <v>435</v>
      </c>
      <c r="I35" s="28">
        <v>527950</v>
      </c>
    </row>
    <row r="36" spans="1:9" x14ac:dyDescent="0.25">
      <c r="A36" s="27"/>
      <c r="B36" s="27"/>
      <c r="C36" s="27"/>
      <c r="D36" s="27"/>
      <c r="E36" s="27"/>
      <c r="F36" s="27"/>
      <c r="G36" s="27"/>
      <c r="H36" s="27" t="s">
        <v>441</v>
      </c>
      <c r="I36" s="28">
        <v>451250</v>
      </c>
    </row>
    <row r="37" spans="1:9" x14ac:dyDescent="0.25">
      <c r="A37" s="27"/>
      <c r="B37" s="27"/>
      <c r="C37" s="27"/>
      <c r="D37" s="27"/>
      <c r="E37" s="27"/>
      <c r="F37" s="27"/>
      <c r="G37" s="27"/>
      <c r="H37" s="27" t="s">
        <v>447</v>
      </c>
      <c r="I37" s="28">
        <v>183750</v>
      </c>
    </row>
    <row r="38" spans="1:9" x14ac:dyDescent="0.25">
      <c r="A38" s="27"/>
      <c r="B38" s="27"/>
      <c r="C38" s="27"/>
      <c r="D38" s="27"/>
      <c r="E38" s="27"/>
      <c r="F38" s="27"/>
      <c r="G38" s="27"/>
      <c r="H38" s="27" t="s">
        <v>453</v>
      </c>
      <c r="I38" s="28">
        <v>2898675</v>
      </c>
    </row>
    <row r="39" spans="1:9" x14ac:dyDescent="0.25">
      <c r="A39" s="27"/>
      <c r="B39" s="27"/>
      <c r="C39" s="27"/>
      <c r="D39" s="27"/>
      <c r="E39" s="27"/>
      <c r="F39" s="27"/>
      <c r="G39" s="27"/>
      <c r="H39" s="27" t="s">
        <v>817</v>
      </c>
      <c r="I39" s="28">
        <v>39100</v>
      </c>
    </row>
    <row r="40" spans="1:9" x14ac:dyDescent="0.25">
      <c r="A40" s="27"/>
      <c r="B40" s="27"/>
      <c r="C40" s="27"/>
      <c r="D40" s="27"/>
      <c r="E40" s="27"/>
      <c r="F40" s="27"/>
      <c r="G40" s="27"/>
      <c r="H40" s="27" t="s">
        <v>698</v>
      </c>
      <c r="I40" s="28">
        <v>217150</v>
      </c>
    </row>
    <row r="41" spans="1:9" x14ac:dyDescent="0.25">
      <c r="A41" s="27"/>
      <c r="B41" s="27"/>
      <c r="C41" s="27"/>
      <c r="D41" s="27"/>
      <c r="E41" s="27"/>
      <c r="F41" s="27"/>
      <c r="G41" s="27"/>
      <c r="H41" s="27" t="s">
        <v>459</v>
      </c>
      <c r="I41" s="28">
        <v>136250</v>
      </c>
    </row>
    <row r="42" spans="1:9" x14ac:dyDescent="0.25">
      <c r="A42" s="27"/>
      <c r="B42" s="27"/>
      <c r="C42" s="27"/>
      <c r="D42" s="27"/>
      <c r="E42" s="27"/>
      <c r="F42" s="27"/>
      <c r="G42" s="27"/>
      <c r="H42" s="27" t="s">
        <v>776</v>
      </c>
      <c r="I42" s="28">
        <v>160666.67000000001</v>
      </c>
    </row>
    <row r="43" spans="1:9" x14ac:dyDescent="0.25">
      <c r="A43" s="27"/>
      <c r="B43" s="27"/>
      <c r="C43" s="27"/>
      <c r="D43" s="27"/>
      <c r="E43" s="27"/>
      <c r="F43" s="27"/>
      <c r="G43" s="27"/>
      <c r="H43" s="27" t="s">
        <v>684</v>
      </c>
      <c r="I43" s="28">
        <v>102450</v>
      </c>
    </row>
    <row r="44" spans="1:9" x14ac:dyDescent="0.25">
      <c r="A44" s="27"/>
      <c r="B44" s="27"/>
      <c r="C44" s="27"/>
      <c r="D44" s="27"/>
      <c r="E44" s="27"/>
      <c r="F44" s="27"/>
      <c r="G44" s="27"/>
      <c r="H44" s="27" t="s">
        <v>742</v>
      </c>
      <c r="I44" s="28">
        <v>230925</v>
      </c>
    </row>
    <row r="45" spans="1:9" x14ac:dyDescent="0.25">
      <c r="A45" s="27"/>
      <c r="B45" s="27"/>
      <c r="C45" s="27"/>
      <c r="D45" s="27"/>
      <c r="E45" s="27"/>
      <c r="F45" s="27"/>
      <c r="G45" s="27"/>
      <c r="H45" s="27" t="s">
        <v>827</v>
      </c>
      <c r="I45" s="28">
        <v>350000</v>
      </c>
    </row>
    <row r="46" spans="1:9" x14ac:dyDescent="0.25">
      <c r="A46" s="27"/>
      <c r="B46" s="27"/>
      <c r="C46" s="27"/>
      <c r="D46" s="27"/>
      <c r="E46" s="27"/>
      <c r="F46" s="27"/>
      <c r="G46" s="27"/>
      <c r="H46" s="27" t="s">
        <v>777</v>
      </c>
      <c r="I46" s="28">
        <v>160000</v>
      </c>
    </row>
    <row r="47" spans="1:9" ht="15.75" thickBot="1" x14ac:dyDescent="0.3">
      <c r="A47" s="27"/>
      <c r="B47" s="27"/>
      <c r="C47" s="27"/>
      <c r="D47" s="27"/>
      <c r="E47" s="27"/>
      <c r="F47" s="27"/>
      <c r="G47" s="27"/>
      <c r="H47" s="27" t="s">
        <v>778</v>
      </c>
      <c r="I47" s="29">
        <v>82325</v>
      </c>
    </row>
    <row r="48" spans="1:9" x14ac:dyDescent="0.25">
      <c r="A48" s="27"/>
      <c r="B48" s="27"/>
      <c r="C48" s="27"/>
      <c r="D48" s="27"/>
      <c r="E48" s="27"/>
      <c r="F48" s="27"/>
      <c r="G48" s="27" t="s">
        <v>471</v>
      </c>
      <c r="H48" s="27"/>
      <c r="I48" s="28">
        <f>ROUND(SUM(I30:I47),5)</f>
        <v>6379616.6699999999</v>
      </c>
    </row>
    <row r="49" spans="1:9" ht="15.75" thickBot="1" x14ac:dyDescent="0.3">
      <c r="A49" s="27"/>
      <c r="B49" s="27"/>
      <c r="C49" s="27"/>
      <c r="D49" s="27"/>
      <c r="E49" s="27"/>
      <c r="F49" s="27"/>
      <c r="G49" s="27" t="s">
        <v>779</v>
      </c>
      <c r="H49" s="27"/>
      <c r="I49" s="29">
        <v>271200</v>
      </c>
    </row>
    <row r="50" spans="1:9" x14ac:dyDescent="0.25">
      <c r="A50" s="27"/>
      <c r="B50" s="27"/>
      <c r="C50" s="27"/>
      <c r="D50" s="27"/>
      <c r="E50" s="27"/>
      <c r="F50" s="27" t="s">
        <v>780</v>
      </c>
      <c r="G50" s="27"/>
      <c r="H50" s="27"/>
      <c r="I50" s="28">
        <f>ROUND(SUM(I15:I18)+SUM(I23:I24)+SUM(I28:I29)+SUM(I48:I49),5)</f>
        <v>7425132.1500000004</v>
      </c>
    </row>
    <row r="51" spans="1:9" x14ac:dyDescent="0.25">
      <c r="A51" s="27"/>
      <c r="B51" s="27"/>
      <c r="C51" s="27"/>
      <c r="D51" s="27"/>
      <c r="E51" s="27"/>
      <c r="F51" s="27" t="s">
        <v>781</v>
      </c>
      <c r="G51" s="27"/>
      <c r="H51" s="27"/>
      <c r="I51" s="28"/>
    </row>
    <row r="52" spans="1:9" x14ac:dyDescent="0.25">
      <c r="A52" s="27"/>
      <c r="B52" s="27"/>
      <c r="C52" s="27"/>
      <c r="D52" s="27"/>
      <c r="E52" s="27"/>
      <c r="F52" s="27"/>
      <c r="G52" s="27" t="s">
        <v>718</v>
      </c>
      <c r="H52" s="27"/>
      <c r="I52" s="28"/>
    </row>
    <row r="53" spans="1:9" ht="30" customHeight="1" x14ac:dyDescent="0.25">
      <c r="A53" s="27"/>
      <c r="B53" s="27"/>
      <c r="C53" s="27"/>
      <c r="D53" s="27"/>
      <c r="E53" s="27"/>
      <c r="F53" s="27"/>
      <c r="G53" s="27"/>
      <c r="H53" s="27" t="s">
        <v>782</v>
      </c>
      <c r="I53" s="28">
        <v>3655.73</v>
      </c>
    </row>
    <row r="54" spans="1:9" ht="15.75" thickBot="1" x14ac:dyDescent="0.3">
      <c r="A54" s="27"/>
      <c r="B54" s="27"/>
      <c r="C54" s="27"/>
      <c r="D54" s="27"/>
      <c r="E54" s="27"/>
      <c r="F54" s="27"/>
      <c r="G54" s="27"/>
      <c r="H54" s="27" t="s">
        <v>783</v>
      </c>
      <c r="I54" s="29">
        <v>156609.32</v>
      </c>
    </row>
    <row r="55" spans="1:9" x14ac:dyDescent="0.25">
      <c r="A55" s="27"/>
      <c r="B55" s="27"/>
      <c r="C55" s="27"/>
      <c r="D55" s="27"/>
      <c r="E55" s="27"/>
      <c r="F55" s="27"/>
      <c r="G55" s="27" t="s">
        <v>784</v>
      </c>
      <c r="H55" s="27"/>
      <c r="I55" s="28">
        <f>ROUND(SUM(I52:I54),5)</f>
        <v>160265.04999999999</v>
      </c>
    </row>
    <row r="56" spans="1:9" x14ac:dyDescent="0.25">
      <c r="A56" s="27"/>
      <c r="B56" s="27"/>
      <c r="C56" s="27"/>
      <c r="D56" s="27"/>
      <c r="E56" s="27"/>
      <c r="F56" s="27"/>
      <c r="G56" s="27" t="s">
        <v>785</v>
      </c>
      <c r="H56" s="27"/>
      <c r="I56" s="28">
        <v>17099.099999999999</v>
      </c>
    </row>
    <row r="57" spans="1:9" x14ac:dyDescent="0.25">
      <c r="A57" s="27"/>
      <c r="B57" s="27"/>
      <c r="C57" s="27"/>
      <c r="D57" s="27"/>
      <c r="E57" s="27"/>
      <c r="F57" s="27"/>
      <c r="G57" s="27" t="s">
        <v>786</v>
      </c>
      <c r="H57" s="27"/>
      <c r="I57" s="28">
        <v>8679.98</v>
      </c>
    </row>
    <row r="58" spans="1:9" x14ac:dyDescent="0.25">
      <c r="A58" s="27"/>
      <c r="B58" s="27"/>
      <c r="C58" s="27"/>
      <c r="D58" s="27"/>
      <c r="E58" s="27"/>
      <c r="F58" s="27"/>
      <c r="G58" s="27" t="s">
        <v>787</v>
      </c>
      <c r="H58" s="27"/>
      <c r="I58" s="28">
        <v>152827.59</v>
      </c>
    </row>
    <row r="59" spans="1:9" ht="30" customHeight="1" x14ac:dyDescent="0.25">
      <c r="A59" s="27"/>
      <c r="B59" s="27"/>
      <c r="C59" s="27"/>
      <c r="D59" s="27"/>
      <c r="E59" s="27"/>
      <c r="F59" s="27"/>
      <c r="G59" s="27" t="s">
        <v>788</v>
      </c>
      <c r="H59" s="27"/>
      <c r="I59" s="28">
        <v>3655.73</v>
      </c>
    </row>
    <row r="60" spans="1:9" ht="15.75" thickBot="1" x14ac:dyDescent="0.3">
      <c r="A60" s="27"/>
      <c r="B60" s="27"/>
      <c r="C60" s="27"/>
      <c r="D60" s="27"/>
      <c r="E60" s="27"/>
      <c r="F60" s="27"/>
      <c r="G60" s="27" t="s">
        <v>789</v>
      </c>
      <c r="H60" s="27"/>
      <c r="I60" s="29">
        <v>14030.63</v>
      </c>
    </row>
    <row r="61" spans="1:9" x14ac:dyDescent="0.25">
      <c r="A61" s="27"/>
      <c r="B61" s="27"/>
      <c r="C61" s="27"/>
      <c r="D61" s="27"/>
      <c r="E61" s="27"/>
      <c r="F61" s="27" t="s">
        <v>790</v>
      </c>
      <c r="G61" s="27"/>
      <c r="H61" s="27"/>
      <c r="I61" s="28">
        <f>ROUND(I51+SUM(I55:I60),5)</f>
        <v>356558.08000000002</v>
      </c>
    </row>
    <row r="62" spans="1:9" x14ac:dyDescent="0.25">
      <c r="A62" s="27"/>
      <c r="B62" s="27"/>
      <c r="C62" s="27"/>
      <c r="D62" s="27"/>
      <c r="E62" s="27"/>
      <c r="F62" s="27" t="s">
        <v>791</v>
      </c>
      <c r="G62" s="27"/>
      <c r="H62" s="27"/>
      <c r="I62" s="28"/>
    </row>
    <row r="63" spans="1:9" x14ac:dyDescent="0.25">
      <c r="A63" s="27"/>
      <c r="B63" s="27"/>
      <c r="C63" s="27"/>
      <c r="D63" s="27"/>
      <c r="E63" s="27"/>
      <c r="F63" s="27"/>
      <c r="G63" s="27" t="s">
        <v>792</v>
      </c>
      <c r="H63" s="27"/>
      <c r="I63" s="28">
        <v>42135.22</v>
      </c>
    </row>
    <row r="64" spans="1:9" x14ac:dyDescent="0.25">
      <c r="A64" s="27"/>
      <c r="B64" s="27"/>
      <c r="C64" s="27"/>
      <c r="D64" s="27"/>
      <c r="E64" s="27"/>
      <c r="F64" s="27"/>
      <c r="G64" s="27" t="s">
        <v>793</v>
      </c>
      <c r="H64" s="27"/>
      <c r="I64" s="28">
        <v>52597.38</v>
      </c>
    </row>
    <row r="65" spans="1:9" ht="30" customHeight="1" x14ac:dyDescent="0.25">
      <c r="A65" s="27"/>
      <c r="B65" s="27"/>
      <c r="C65" s="27"/>
      <c r="D65" s="27"/>
      <c r="E65" s="27"/>
      <c r="F65" s="27"/>
      <c r="G65" s="27" t="s">
        <v>794</v>
      </c>
      <c r="H65" s="27"/>
      <c r="I65" s="28">
        <v>165481.69</v>
      </c>
    </row>
    <row r="66" spans="1:9" x14ac:dyDescent="0.25">
      <c r="A66" s="27"/>
      <c r="B66" s="27"/>
      <c r="C66" s="27"/>
      <c r="D66" s="27"/>
      <c r="E66" s="27"/>
      <c r="F66" s="27"/>
      <c r="G66" s="27" t="s">
        <v>749</v>
      </c>
      <c r="H66" s="27"/>
      <c r="I66" s="28">
        <v>3016.67</v>
      </c>
    </row>
    <row r="67" spans="1:9" ht="15.75" thickBot="1" x14ac:dyDescent="0.3">
      <c r="A67" s="27"/>
      <c r="B67" s="27"/>
      <c r="C67" s="27"/>
      <c r="D67" s="27"/>
      <c r="E67" s="27"/>
      <c r="F67" s="27"/>
      <c r="G67" s="27" t="s">
        <v>795</v>
      </c>
      <c r="H67" s="27"/>
      <c r="I67" s="29">
        <v>149605.31</v>
      </c>
    </row>
    <row r="68" spans="1:9" x14ac:dyDescent="0.25">
      <c r="A68" s="27"/>
      <c r="B68" s="27"/>
      <c r="C68" s="27"/>
      <c r="D68" s="27"/>
      <c r="E68" s="27"/>
      <c r="F68" s="27" t="s">
        <v>796</v>
      </c>
      <c r="G68" s="27"/>
      <c r="H68" s="27"/>
      <c r="I68" s="28">
        <f>ROUND(SUM(I62:I67),5)</f>
        <v>412836.27</v>
      </c>
    </row>
    <row r="69" spans="1:9" x14ac:dyDescent="0.25">
      <c r="A69" s="27"/>
      <c r="B69" s="27"/>
      <c r="C69" s="27"/>
      <c r="D69" s="27"/>
      <c r="E69" s="27"/>
      <c r="F69" s="27" t="s">
        <v>797</v>
      </c>
      <c r="G69" s="27"/>
      <c r="H69" s="27"/>
      <c r="I69" s="28"/>
    </row>
    <row r="70" spans="1:9" x14ac:dyDescent="0.25">
      <c r="A70" s="27"/>
      <c r="B70" s="27"/>
      <c r="C70" s="27"/>
      <c r="D70" s="27"/>
      <c r="E70" s="27"/>
      <c r="F70" s="27"/>
      <c r="G70" s="27" t="s">
        <v>820</v>
      </c>
      <c r="H70" s="27"/>
      <c r="I70" s="28">
        <v>534000</v>
      </c>
    </row>
    <row r="71" spans="1:9" ht="30" customHeight="1" x14ac:dyDescent="0.25">
      <c r="A71" s="27"/>
      <c r="B71" s="27"/>
      <c r="C71" s="27"/>
      <c r="D71" s="27"/>
      <c r="E71" s="27"/>
      <c r="F71" s="27"/>
      <c r="G71" s="27" t="s">
        <v>798</v>
      </c>
      <c r="H71" s="27"/>
      <c r="I71" s="28">
        <v>86300</v>
      </c>
    </row>
    <row r="72" spans="1:9" ht="15.75" thickBot="1" x14ac:dyDescent="0.3">
      <c r="A72" s="27"/>
      <c r="B72" s="27"/>
      <c r="C72" s="27"/>
      <c r="D72" s="27"/>
      <c r="E72" s="27"/>
      <c r="F72" s="27"/>
      <c r="G72" s="27" t="s">
        <v>799</v>
      </c>
      <c r="H72" s="27"/>
      <c r="I72" s="29">
        <v>15000</v>
      </c>
    </row>
    <row r="73" spans="1:9" x14ac:dyDescent="0.25">
      <c r="A73" s="27"/>
      <c r="B73" s="27"/>
      <c r="C73" s="27"/>
      <c r="D73" s="27"/>
      <c r="E73" s="27"/>
      <c r="F73" s="27" t="s">
        <v>800</v>
      </c>
      <c r="G73" s="27"/>
      <c r="H73" s="27"/>
      <c r="I73" s="28">
        <f>ROUND(SUM(I69:I72),5)</f>
        <v>635300</v>
      </c>
    </row>
    <row r="74" spans="1:9" x14ac:dyDescent="0.25">
      <c r="A74" s="27"/>
      <c r="B74" s="27"/>
      <c r="C74" s="27"/>
      <c r="D74" s="27"/>
      <c r="E74" s="27"/>
      <c r="F74" s="27" t="s">
        <v>801</v>
      </c>
      <c r="G74" s="27"/>
      <c r="H74" s="27"/>
      <c r="I74" s="28"/>
    </row>
    <row r="75" spans="1:9" x14ac:dyDescent="0.25">
      <c r="A75" s="27"/>
      <c r="B75" s="27"/>
      <c r="C75" s="27"/>
      <c r="D75" s="27"/>
      <c r="E75" s="27"/>
      <c r="F75" s="27"/>
      <c r="G75" s="27" t="s">
        <v>802</v>
      </c>
      <c r="H75" s="27"/>
      <c r="I75" s="28">
        <v>120031.2</v>
      </c>
    </row>
    <row r="76" spans="1:9" x14ac:dyDescent="0.25">
      <c r="A76" s="27"/>
      <c r="B76" s="27"/>
      <c r="C76" s="27"/>
      <c r="D76" s="27"/>
      <c r="E76" s="27"/>
      <c r="F76" s="27"/>
      <c r="G76" s="27" t="s">
        <v>804</v>
      </c>
      <c r="H76" s="27"/>
      <c r="I76" s="28">
        <v>125000</v>
      </c>
    </row>
    <row r="77" spans="1:9" ht="30" customHeight="1" thickBot="1" x14ac:dyDescent="0.3">
      <c r="A77" s="27"/>
      <c r="B77" s="27"/>
      <c r="C77" s="27"/>
      <c r="D77" s="27"/>
      <c r="E77" s="27"/>
      <c r="F77" s="27"/>
      <c r="G77" s="27" t="s">
        <v>805</v>
      </c>
      <c r="H77" s="27"/>
      <c r="I77" s="30">
        <v>23405.75</v>
      </c>
    </row>
    <row r="78" spans="1:9" ht="15.75" thickBot="1" x14ac:dyDescent="0.3">
      <c r="A78" s="27"/>
      <c r="B78" s="27"/>
      <c r="C78" s="27"/>
      <c r="D78" s="27"/>
      <c r="E78" s="27"/>
      <c r="F78" s="27" t="s">
        <v>806</v>
      </c>
      <c r="G78" s="27"/>
      <c r="H78" s="27"/>
      <c r="I78" s="33">
        <f>ROUND(SUM(I74:I77),5)</f>
        <v>268436.95</v>
      </c>
    </row>
    <row r="79" spans="1:9" x14ac:dyDescent="0.25">
      <c r="A79" s="27"/>
      <c r="B79" s="27"/>
      <c r="C79" s="27"/>
      <c r="D79" s="27"/>
      <c r="E79" s="27" t="s">
        <v>807</v>
      </c>
      <c r="F79" s="27"/>
      <c r="G79" s="27"/>
      <c r="H79" s="27"/>
      <c r="I79" s="28">
        <f>ROUND(I14+I50+I61+I68+I73+I78,5)</f>
        <v>9098263.4499999993</v>
      </c>
    </row>
    <row r="80" spans="1:9" x14ac:dyDescent="0.25">
      <c r="A80" s="27"/>
      <c r="B80" s="27"/>
      <c r="C80" s="27"/>
      <c r="D80" s="27"/>
      <c r="E80" s="27" t="s">
        <v>808</v>
      </c>
      <c r="F80" s="27"/>
      <c r="G80" s="27"/>
      <c r="H80" s="27"/>
      <c r="I80" s="28"/>
    </row>
    <row r="81" spans="1:15" x14ac:dyDescent="0.25">
      <c r="A81" s="27"/>
      <c r="B81" s="27"/>
      <c r="C81" s="27"/>
      <c r="D81" s="27"/>
      <c r="E81" s="27"/>
      <c r="F81" s="27" t="s">
        <v>809</v>
      </c>
      <c r="G81" s="27"/>
      <c r="H81" s="27"/>
      <c r="I81" s="28">
        <v>53980.22</v>
      </c>
    </row>
    <row r="82" spans="1:15" ht="15.75" thickBot="1" x14ac:dyDescent="0.3">
      <c r="A82" s="27"/>
      <c r="B82" s="27"/>
      <c r="C82" s="27"/>
      <c r="D82" s="27"/>
      <c r="E82" s="27"/>
      <c r="F82" s="27" t="s">
        <v>810</v>
      </c>
      <c r="G82" s="27"/>
      <c r="H82" s="27"/>
      <c r="I82" s="30">
        <v>1565135.39</v>
      </c>
    </row>
    <row r="83" spans="1:15" ht="30" customHeight="1" thickBot="1" x14ac:dyDescent="0.3">
      <c r="A83" s="27"/>
      <c r="B83" s="27"/>
      <c r="C83" s="27"/>
      <c r="D83" s="27"/>
      <c r="E83" s="27" t="s">
        <v>811</v>
      </c>
      <c r="F83" s="27"/>
      <c r="G83" s="27"/>
      <c r="H83" s="27"/>
      <c r="I83" s="34">
        <f>ROUND(SUM(I80:I82),5)</f>
        <v>1619115.61</v>
      </c>
    </row>
    <row r="84" spans="1:15" ht="30" customHeight="1" thickBot="1" x14ac:dyDescent="0.3">
      <c r="A84" s="27"/>
      <c r="B84" s="27"/>
      <c r="C84" s="27"/>
      <c r="D84" s="27" t="s">
        <v>357</v>
      </c>
      <c r="E84" s="27"/>
      <c r="F84" s="27"/>
      <c r="G84" s="27"/>
      <c r="H84" s="27"/>
      <c r="I84" s="34">
        <f>ROUND(I13+I79+I83,5)</f>
        <v>10717379.060000001</v>
      </c>
    </row>
    <row r="85" spans="1:15" ht="15.75" thickBot="1" x14ac:dyDescent="0.3">
      <c r="A85" s="27"/>
      <c r="B85" s="27" t="s">
        <v>358</v>
      </c>
      <c r="C85" s="27"/>
      <c r="D85" s="27"/>
      <c r="E85" s="27"/>
      <c r="F85" s="27"/>
      <c r="G85" s="27"/>
      <c r="H85" s="27"/>
      <c r="I85" s="34">
        <f>ROUND(I2+I12-I84,5)</f>
        <v>-693959.06</v>
      </c>
    </row>
    <row r="86" spans="1:15" ht="15.75" thickBot="1" x14ac:dyDescent="0.3">
      <c r="A86" s="27" t="s">
        <v>372</v>
      </c>
      <c r="B86" s="27"/>
      <c r="C86" s="27"/>
      <c r="D86" s="27"/>
      <c r="E86" s="27"/>
      <c r="F86" s="27"/>
      <c r="G86" s="27"/>
      <c r="H86" s="27"/>
      <c r="I86" s="35">
        <f>I85</f>
        <v>-693959.06</v>
      </c>
    </row>
    <row r="87" spans="1:15" ht="30" customHeight="1" thickTop="1" x14ac:dyDescent="0.25"/>
    <row r="88" spans="1:15" s="104" customFormat="1" ht="30" customHeight="1" x14ac:dyDescent="0.25">
      <c r="A88" s="50"/>
      <c r="B88" s="50"/>
      <c r="C88" s="50"/>
      <c r="D88" s="50"/>
      <c r="E88" s="50"/>
      <c r="F88" s="50"/>
      <c r="G88" s="50"/>
      <c r="H88" s="50"/>
      <c r="I88" s="26"/>
      <c r="N88" s="23"/>
      <c r="O88" s="23"/>
    </row>
    <row r="95" spans="1:15" x14ac:dyDescent="0.25">
      <c r="K95" s="108"/>
    </row>
    <row r="96" spans="1:15" x14ac:dyDescent="0.25">
      <c r="K96" s="197"/>
    </row>
    <row r="194" spans="14:15" x14ac:dyDescent="0.25">
      <c r="N194" s="104"/>
      <c r="O194" s="104"/>
    </row>
    <row r="217" spans="14:15" x14ac:dyDescent="0.25">
      <c r="N217" s="102"/>
      <c r="O217" s="102"/>
    </row>
    <row r="223" spans="14:15" x14ac:dyDescent="0.25">
      <c r="N223" s="104"/>
      <c r="O223" s="10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P223"/>
  <sheetViews>
    <sheetView workbookViewId="0">
      <selection activeCell="M18" sqref="M18"/>
    </sheetView>
  </sheetViews>
  <sheetFormatPr defaultRowHeight="15" x14ac:dyDescent="0.25"/>
  <cols>
    <col min="1" max="7" width="3" style="50" customWidth="1"/>
    <col min="8" max="8" width="28.7109375" style="50" customWidth="1"/>
    <col min="9" max="9" width="15" style="26" bestFit="1" customWidth="1"/>
    <col min="10" max="13" width="9.140625" style="23"/>
    <col min="14" max="14" width="31.140625" style="23" bestFit="1" customWidth="1"/>
    <col min="15" max="15" width="13.28515625" style="23" bestFit="1" customWidth="1"/>
    <col min="16" max="16" width="18.140625" style="23" bestFit="1" customWidth="1"/>
    <col min="17" max="16384" width="9.140625" style="23"/>
  </cols>
  <sheetData>
    <row r="1" spans="1:16" s="102" customFormat="1" ht="15.75" thickBot="1" x14ac:dyDescent="0.3">
      <c r="A1" s="31"/>
      <c r="B1" s="31"/>
      <c r="C1" s="31"/>
      <c r="D1" s="31"/>
      <c r="E1" s="31"/>
      <c r="F1" s="31"/>
      <c r="G1" s="31"/>
      <c r="H1" s="31"/>
      <c r="I1" s="32" t="s">
        <v>746</v>
      </c>
      <c r="N1" s="23"/>
      <c r="O1" s="23"/>
    </row>
    <row r="2" spans="1:16" ht="15.75" thickTop="1" x14ac:dyDescent="0.25">
      <c r="A2" s="27"/>
      <c r="B2" s="27" t="s">
        <v>53</v>
      </c>
      <c r="C2" s="27"/>
      <c r="D2" s="27"/>
      <c r="E2" s="27"/>
      <c r="F2" s="27"/>
      <c r="G2" s="27"/>
      <c r="H2" s="27"/>
      <c r="I2" s="28"/>
      <c r="N2" s="226" t="s">
        <v>622</v>
      </c>
      <c r="O2" s="227" t="s">
        <v>621</v>
      </c>
    </row>
    <row r="3" spans="1:16" x14ac:dyDescent="0.25">
      <c r="A3" s="27"/>
      <c r="B3" s="27"/>
      <c r="C3" s="27"/>
      <c r="D3" s="27" t="s">
        <v>54</v>
      </c>
      <c r="E3" s="27"/>
      <c r="F3" s="27"/>
      <c r="G3" s="27"/>
      <c r="H3" s="27"/>
      <c r="I3" s="28"/>
      <c r="N3" s="164" t="s">
        <v>812</v>
      </c>
      <c r="O3" s="295">
        <f>I48</f>
        <v>6379616.6699999999</v>
      </c>
    </row>
    <row r="4" spans="1:16" x14ac:dyDescent="0.25">
      <c r="A4" s="27"/>
      <c r="B4" s="27"/>
      <c r="C4" s="27"/>
      <c r="D4" s="27"/>
      <c r="E4" s="27" t="s">
        <v>751</v>
      </c>
      <c r="F4" s="27"/>
      <c r="G4" s="27"/>
      <c r="H4" s="27"/>
      <c r="I4" s="28"/>
      <c r="N4" s="164" t="s">
        <v>814</v>
      </c>
      <c r="O4" s="296">
        <f>+I16</f>
        <v>200000</v>
      </c>
    </row>
    <row r="5" spans="1:16" x14ac:dyDescent="0.25">
      <c r="A5" s="27"/>
      <c r="B5" s="27"/>
      <c r="C5" s="27"/>
      <c r="D5" s="27"/>
      <c r="E5" s="27"/>
      <c r="F5" s="27" t="s">
        <v>752</v>
      </c>
      <c r="G5" s="27"/>
      <c r="H5" s="27"/>
      <c r="I5" s="28">
        <v>143880</v>
      </c>
      <c r="N5" s="164" t="s">
        <v>815</v>
      </c>
      <c r="O5" s="296">
        <f>+I23</f>
        <v>93184</v>
      </c>
    </row>
    <row r="6" spans="1:16" ht="30" customHeight="1" x14ac:dyDescent="0.25">
      <c r="A6" s="27"/>
      <c r="B6" s="27"/>
      <c r="C6" s="27"/>
      <c r="D6" s="27"/>
      <c r="E6" s="27"/>
      <c r="F6" s="27" t="s">
        <v>753</v>
      </c>
      <c r="G6" s="27"/>
      <c r="H6" s="27"/>
      <c r="I6" s="28">
        <v>1007160</v>
      </c>
      <c r="N6" s="297" t="s">
        <v>25</v>
      </c>
      <c r="O6" s="298">
        <f>SUM(O3:O5)</f>
        <v>6672800.6699999999</v>
      </c>
    </row>
    <row r="7" spans="1:16" ht="30" customHeight="1" x14ac:dyDescent="0.25">
      <c r="A7" s="27"/>
      <c r="B7" s="27"/>
      <c r="C7" s="27"/>
      <c r="D7" s="27"/>
      <c r="E7" s="27"/>
      <c r="F7" s="27" t="s">
        <v>754</v>
      </c>
      <c r="G7" s="27"/>
      <c r="H7" s="27"/>
      <c r="I7" s="28">
        <v>863280</v>
      </c>
      <c r="N7" s="299"/>
      <c r="O7" s="300"/>
    </row>
    <row r="8" spans="1:16" x14ac:dyDescent="0.25">
      <c r="A8" s="27"/>
      <c r="B8" s="27"/>
      <c r="C8" s="27"/>
      <c r="D8" s="27"/>
      <c r="E8" s="27"/>
      <c r="F8" s="27" t="s">
        <v>755</v>
      </c>
      <c r="G8" s="27"/>
      <c r="H8" s="27"/>
      <c r="I8" s="28">
        <v>5672100</v>
      </c>
      <c r="N8" s="301" t="s">
        <v>743</v>
      </c>
      <c r="O8" s="302" t="s">
        <v>621</v>
      </c>
    </row>
    <row r="9" spans="1:16" ht="15.75" thickBot="1" x14ac:dyDescent="0.3">
      <c r="A9" s="27"/>
      <c r="B9" s="27"/>
      <c r="C9" s="27"/>
      <c r="D9" s="27"/>
      <c r="E9" s="27"/>
      <c r="F9" s="27" t="s">
        <v>756</v>
      </c>
      <c r="G9" s="27"/>
      <c r="H9" s="27"/>
      <c r="I9" s="30">
        <v>2337000</v>
      </c>
      <c r="N9" s="164" t="s">
        <v>813</v>
      </c>
      <c r="O9" s="186">
        <f>+I83-O6</f>
        <v>4240960.0199999996</v>
      </c>
    </row>
    <row r="10" spans="1:16" ht="15.75" thickBot="1" x14ac:dyDescent="0.3">
      <c r="A10" s="27"/>
      <c r="B10" s="27"/>
      <c r="C10" s="27"/>
      <c r="D10" s="27"/>
      <c r="E10" s="27" t="s">
        <v>757</v>
      </c>
      <c r="F10" s="27"/>
      <c r="G10" s="27"/>
      <c r="H10" s="27"/>
      <c r="I10" s="34">
        <f>ROUND(SUM(I4:I9),5)</f>
        <v>10023420</v>
      </c>
      <c r="N10" s="303" t="s">
        <v>25</v>
      </c>
      <c r="O10" s="304">
        <f>SUM(O9:O9)</f>
        <v>4240960.0199999996</v>
      </c>
    </row>
    <row r="11" spans="1:16" ht="15.75" thickBot="1" x14ac:dyDescent="0.3">
      <c r="A11" s="27"/>
      <c r="B11" s="27"/>
      <c r="C11" s="27"/>
      <c r="D11" s="27" t="s">
        <v>88</v>
      </c>
      <c r="E11" s="27"/>
      <c r="F11" s="27"/>
      <c r="G11" s="27"/>
      <c r="H11" s="27"/>
      <c r="I11" s="33">
        <f>ROUND(I3+I10,5)</f>
        <v>10023420</v>
      </c>
      <c r="O11" s="111"/>
    </row>
    <row r="12" spans="1:16" x14ac:dyDescent="0.25">
      <c r="A12" s="27"/>
      <c r="B12" s="27"/>
      <c r="C12" s="27" t="s">
        <v>147</v>
      </c>
      <c r="D12" s="27"/>
      <c r="E12" s="27"/>
      <c r="F12" s="27"/>
      <c r="G12" s="27"/>
      <c r="H12" s="27"/>
      <c r="I12" s="28">
        <f>I11</f>
        <v>10023420</v>
      </c>
      <c r="O12" s="108"/>
    </row>
    <row r="13" spans="1:16" x14ac:dyDescent="0.25">
      <c r="A13" s="27"/>
      <c r="B13" s="27"/>
      <c r="C13" s="27"/>
      <c r="D13" s="27" t="s">
        <v>148</v>
      </c>
      <c r="E13" s="27"/>
      <c r="F13" s="27"/>
      <c r="G13" s="27"/>
      <c r="H13" s="27"/>
      <c r="I13" s="28"/>
      <c r="O13" s="108"/>
    </row>
    <row r="14" spans="1:16" x14ac:dyDescent="0.25">
      <c r="A14" s="27"/>
      <c r="B14" s="27"/>
      <c r="C14" s="27"/>
      <c r="D14" s="27"/>
      <c r="E14" s="27" t="s">
        <v>758</v>
      </c>
      <c r="F14" s="27"/>
      <c r="G14" s="27"/>
      <c r="H14" s="27"/>
      <c r="I14" s="28"/>
      <c r="O14" s="107"/>
    </row>
    <row r="15" spans="1:16" x14ac:dyDescent="0.25">
      <c r="A15" s="27"/>
      <c r="B15" s="27"/>
      <c r="C15" s="27"/>
      <c r="D15" s="27"/>
      <c r="E15" s="27"/>
      <c r="F15" s="27" t="s">
        <v>759</v>
      </c>
      <c r="G15" s="27"/>
      <c r="H15" s="27"/>
      <c r="I15" s="28"/>
      <c r="O15" s="197"/>
      <c r="P15" s="111"/>
    </row>
    <row r="16" spans="1:16" x14ac:dyDescent="0.25">
      <c r="A16" s="27"/>
      <c r="B16" s="27"/>
      <c r="C16" s="27"/>
      <c r="D16" s="27"/>
      <c r="E16" s="27"/>
      <c r="F16" s="27"/>
      <c r="G16" s="27" t="s">
        <v>760</v>
      </c>
      <c r="H16" s="27"/>
      <c r="I16" s="28">
        <v>200000</v>
      </c>
      <c r="O16" s="108"/>
    </row>
    <row r="17" spans="1:16" x14ac:dyDescent="0.25">
      <c r="A17" s="27"/>
      <c r="B17" s="27"/>
      <c r="C17" s="27"/>
      <c r="D17" s="27"/>
      <c r="E17" s="27"/>
      <c r="F17" s="27"/>
      <c r="G17" s="27" t="s">
        <v>818</v>
      </c>
      <c r="H17" s="27"/>
      <c r="I17" s="28">
        <v>7000</v>
      </c>
      <c r="O17" s="108"/>
    </row>
    <row r="18" spans="1:16" x14ac:dyDescent="0.25">
      <c r="A18" s="27"/>
      <c r="B18" s="27"/>
      <c r="C18" s="27"/>
      <c r="D18" s="27"/>
      <c r="E18" s="27"/>
      <c r="F18" s="27"/>
      <c r="G18" s="27" t="s">
        <v>761</v>
      </c>
      <c r="H18" s="27"/>
      <c r="I18" s="28">
        <v>570000</v>
      </c>
      <c r="O18" s="108"/>
    </row>
    <row r="19" spans="1:16" x14ac:dyDescent="0.25">
      <c r="A19" s="27"/>
      <c r="B19" s="27"/>
      <c r="C19" s="27"/>
      <c r="D19" s="27"/>
      <c r="E19" s="27"/>
      <c r="F19" s="27"/>
      <c r="G19" s="27" t="s">
        <v>762</v>
      </c>
      <c r="H19" s="27"/>
      <c r="I19" s="28"/>
      <c r="O19" s="108"/>
    </row>
    <row r="20" spans="1:16" x14ac:dyDescent="0.25">
      <c r="A20" s="27"/>
      <c r="B20" s="27"/>
      <c r="C20" s="27"/>
      <c r="D20" s="27"/>
      <c r="E20" s="27"/>
      <c r="F20" s="27"/>
      <c r="G20" s="27"/>
      <c r="H20" s="27" t="s">
        <v>763</v>
      </c>
      <c r="I20" s="28">
        <v>47453</v>
      </c>
    </row>
    <row r="21" spans="1:16" ht="30" customHeight="1" thickBot="1" x14ac:dyDescent="0.3">
      <c r="A21" s="27"/>
      <c r="B21" s="27"/>
      <c r="C21" s="27"/>
      <c r="D21" s="27"/>
      <c r="E21" s="27"/>
      <c r="F21" s="27"/>
      <c r="G21" s="27"/>
      <c r="H21" s="27" t="s">
        <v>764</v>
      </c>
      <c r="I21" s="29">
        <v>61600</v>
      </c>
    </row>
    <row r="22" spans="1:16" x14ac:dyDescent="0.25">
      <c r="A22" s="27"/>
      <c r="B22" s="27"/>
      <c r="C22" s="27"/>
      <c r="D22" s="27"/>
      <c r="E22" s="27"/>
      <c r="F22" s="27"/>
      <c r="G22" s="27" t="s">
        <v>766</v>
      </c>
      <c r="H22" s="27"/>
      <c r="I22" s="28">
        <f>ROUND(SUM(I19:I21),5)</f>
        <v>109053</v>
      </c>
    </row>
    <row r="23" spans="1:16" x14ac:dyDescent="0.25">
      <c r="A23" s="27"/>
      <c r="B23" s="27"/>
      <c r="C23" s="27"/>
      <c r="D23" s="27"/>
      <c r="E23" s="27"/>
      <c r="F23" s="27"/>
      <c r="G23" s="27" t="s">
        <v>767</v>
      </c>
      <c r="H23" s="27"/>
      <c r="I23" s="28">
        <v>93184</v>
      </c>
    </row>
    <row r="24" spans="1:16" x14ac:dyDescent="0.25">
      <c r="A24" s="27"/>
      <c r="B24" s="27"/>
      <c r="C24" s="27"/>
      <c r="D24" s="27"/>
      <c r="E24" s="27"/>
      <c r="F24" s="27"/>
      <c r="G24" s="27" t="s">
        <v>768</v>
      </c>
      <c r="H24" s="27"/>
      <c r="I24" s="28"/>
    </row>
    <row r="25" spans="1:16" x14ac:dyDescent="0.25">
      <c r="A25" s="27"/>
      <c r="B25" s="27"/>
      <c r="C25" s="27"/>
      <c r="D25" s="27"/>
      <c r="E25" s="27"/>
      <c r="F25" s="27"/>
      <c r="G25" s="27"/>
      <c r="H25" s="27" t="s">
        <v>769</v>
      </c>
      <c r="I25" s="28">
        <v>159118.26999999999</v>
      </c>
    </row>
    <row r="26" spans="1:16" ht="15.75" thickBot="1" x14ac:dyDescent="0.3">
      <c r="A26" s="27"/>
      <c r="B26" s="27"/>
      <c r="C26" s="27"/>
      <c r="D26" s="27"/>
      <c r="E26" s="27"/>
      <c r="F26" s="27"/>
      <c r="G26" s="27"/>
      <c r="H26" s="27" t="s">
        <v>770</v>
      </c>
      <c r="I26" s="29">
        <v>3716.21</v>
      </c>
    </row>
    <row r="27" spans="1:16" x14ac:dyDescent="0.25">
      <c r="A27" s="27"/>
      <c r="B27" s="27"/>
      <c r="C27" s="27"/>
      <c r="D27" s="27"/>
      <c r="E27" s="27"/>
      <c r="F27" s="27"/>
      <c r="G27" s="27" t="s">
        <v>771</v>
      </c>
      <c r="H27" s="27"/>
      <c r="I27" s="28">
        <f>ROUND(SUM(I24:I26),5)</f>
        <v>162834.48000000001</v>
      </c>
    </row>
    <row r="28" spans="1:16" ht="30" customHeight="1" x14ac:dyDescent="0.25">
      <c r="A28" s="27"/>
      <c r="B28" s="27"/>
      <c r="C28" s="27"/>
      <c r="D28" s="27"/>
      <c r="E28" s="27"/>
      <c r="F28" s="27"/>
      <c r="G28" s="27" t="s">
        <v>772</v>
      </c>
      <c r="H28" s="27"/>
      <c r="I28" s="28">
        <v>19516.45</v>
      </c>
    </row>
    <row r="29" spans="1:16" x14ac:dyDescent="0.25">
      <c r="A29" s="27"/>
      <c r="B29" s="27"/>
      <c r="C29" s="27"/>
      <c r="D29" s="27"/>
      <c r="E29" s="27"/>
      <c r="F29" s="27"/>
      <c r="G29" s="27" t="s">
        <v>773</v>
      </c>
      <c r="H29" s="27"/>
      <c r="I29" s="28">
        <v>35860</v>
      </c>
      <c r="P29" s="306"/>
    </row>
    <row r="30" spans="1:16" x14ac:dyDescent="0.25">
      <c r="A30" s="27"/>
      <c r="B30" s="27"/>
      <c r="C30" s="27"/>
      <c r="D30" s="27"/>
      <c r="E30" s="27"/>
      <c r="F30" s="27"/>
      <c r="G30" s="27" t="s">
        <v>428</v>
      </c>
      <c r="H30" s="27"/>
      <c r="I30" s="28"/>
    </row>
    <row r="31" spans="1:16" x14ac:dyDescent="0.25">
      <c r="A31" s="27"/>
      <c r="B31" s="27"/>
      <c r="C31" s="27"/>
      <c r="D31" s="27"/>
      <c r="E31" s="27"/>
      <c r="F31" s="27"/>
      <c r="G31" s="27"/>
      <c r="H31" s="27" t="s">
        <v>429</v>
      </c>
      <c r="I31" s="28">
        <v>268750</v>
      </c>
    </row>
    <row r="32" spans="1:16" x14ac:dyDescent="0.25">
      <c r="A32" s="27"/>
      <c r="B32" s="27"/>
      <c r="C32" s="27"/>
      <c r="D32" s="27"/>
      <c r="E32" s="27"/>
      <c r="F32" s="27"/>
      <c r="G32" s="27"/>
      <c r="H32" s="27" t="s">
        <v>774</v>
      </c>
      <c r="I32" s="28">
        <v>152000</v>
      </c>
    </row>
    <row r="33" spans="1:9" x14ac:dyDescent="0.25">
      <c r="A33" s="27"/>
      <c r="B33" s="27"/>
      <c r="C33" s="27"/>
      <c r="D33" s="27"/>
      <c r="E33" s="27"/>
      <c r="F33" s="27"/>
      <c r="G33" s="27"/>
      <c r="H33" s="27" t="s">
        <v>734</v>
      </c>
      <c r="I33" s="28">
        <v>232750</v>
      </c>
    </row>
    <row r="34" spans="1:9" x14ac:dyDescent="0.25">
      <c r="A34" s="27"/>
      <c r="B34" s="27"/>
      <c r="C34" s="27"/>
      <c r="D34" s="27"/>
      <c r="E34" s="27"/>
      <c r="F34" s="27"/>
      <c r="G34" s="27"/>
      <c r="H34" s="27" t="s">
        <v>775</v>
      </c>
      <c r="I34" s="28">
        <v>185625</v>
      </c>
    </row>
    <row r="35" spans="1:9" x14ac:dyDescent="0.25">
      <c r="A35" s="27"/>
      <c r="B35" s="27"/>
      <c r="C35" s="27"/>
      <c r="D35" s="27"/>
      <c r="E35" s="27"/>
      <c r="F35" s="27"/>
      <c r="G35" s="27"/>
      <c r="H35" s="27" t="s">
        <v>435</v>
      </c>
      <c r="I35" s="28">
        <v>527950</v>
      </c>
    </row>
    <row r="36" spans="1:9" x14ac:dyDescent="0.25">
      <c r="A36" s="27"/>
      <c r="B36" s="27"/>
      <c r="C36" s="27"/>
      <c r="D36" s="27"/>
      <c r="E36" s="27"/>
      <c r="F36" s="27"/>
      <c r="G36" s="27"/>
      <c r="H36" s="27" t="s">
        <v>441</v>
      </c>
      <c r="I36" s="28">
        <v>451250</v>
      </c>
    </row>
    <row r="37" spans="1:9" x14ac:dyDescent="0.25">
      <c r="A37" s="27"/>
      <c r="B37" s="27"/>
      <c r="C37" s="27"/>
      <c r="D37" s="27"/>
      <c r="E37" s="27"/>
      <c r="F37" s="27"/>
      <c r="G37" s="27"/>
      <c r="H37" s="27" t="s">
        <v>447</v>
      </c>
      <c r="I37" s="28">
        <v>183750</v>
      </c>
    </row>
    <row r="38" spans="1:9" x14ac:dyDescent="0.25">
      <c r="A38" s="27"/>
      <c r="B38" s="27"/>
      <c r="C38" s="27"/>
      <c r="D38" s="27"/>
      <c r="E38" s="27"/>
      <c r="F38" s="27"/>
      <c r="G38" s="27"/>
      <c r="H38" s="27" t="s">
        <v>453</v>
      </c>
      <c r="I38" s="28">
        <v>2898675</v>
      </c>
    </row>
    <row r="39" spans="1:9" x14ac:dyDescent="0.25">
      <c r="A39" s="27"/>
      <c r="B39" s="27"/>
      <c r="C39" s="27"/>
      <c r="D39" s="27"/>
      <c r="E39" s="27"/>
      <c r="F39" s="27"/>
      <c r="G39" s="27"/>
      <c r="H39" s="27" t="s">
        <v>817</v>
      </c>
      <c r="I39" s="28">
        <v>39100</v>
      </c>
    </row>
    <row r="40" spans="1:9" x14ac:dyDescent="0.25">
      <c r="A40" s="27"/>
      <c r="B40" s="27"/>
      <c r="C40" s="27"/>
      <c r="D40" s="27"/>
      <c r="E40" s="27"/>
      <c r="F40" s="27"/>
      <c r="G40" s="27"/>
      <c r="H40" s="27" t="s">
        <v>698</v>
      </c>
      <c r="I40" s="28">
        <v>217150</v>
      </c>
    </row>
    <row r="41" spans="1:9" x14ac:dyDescent="0.25">
      <c r="A41" s="27"/>
      <c r="B41" s="27"/>
      <c r="C41" s="27"/>
      <c r="D41" s="27"/>
      <c r="E41" s="27"/>
      <c r="F41" s="27"/>
      <c r="G41" s="27"/>
      <c r="H41" s="27" t="s">
        <v>459</v>
      </c>
      <c r="I41" s="28">
        <v>136250</v>
      </c>
    </row>
    <row r="42" spans="1:9" x14ac:dyDescent="0.25">
      <c r="A42" s="27"/>
      <c r="B42" s="27"/>
      <c r="C42" s="27"/>
      <c r="D42" s="27"/>
      <c r="E42" s="27"/>
      <c r="F42" s="27"/>
      <c r="G42" s="27"/>
      <c r="H42" s="27" t="s">
        <v>776</v>
      </c>
      <c r="I42" s="28">
        <v>160666.67000000001</v>
      </c>
    </row>
    <row r="43" spans="1:9" x14ac:dyDescent="0.25">
      <c r="A43" s="27"/>
      <c r="B43" s="27"/>
      <c r="C43" s="27"/>
      <c r="D43" s="27"/>
      <c r="E43" s="27"/>
      <c r="F43" s="27"/>
      <c r="G43" s="27"/>
      <c r="H43" s="27" t="s">
        <v>684</v>
      </c>
      <c r="I43" s="28">
        <v>102450</v>
      </c>
    </row>
    <row r="44" spans="1:9" x14ac:dyDescent="0.25">
      <c r="A44" s="27"/>
      <c r="B44" s="27"/>
      <c r="C44" s="27"/>
      <c r="D44" s="27"/>
      <c r="E44" s="27"/>
      <c r="F44" s="27"/>
      <c r="G44" s="27"/>
      <c r="H44" s="27" t="s">
        <v>742</v>
      </c>
      <c r="I44" s="28">
        <v>230925</v>
      </c>
    </row>
    <row r="45" spans="1:9" x14ac:dyDescent="0.25">
      <c r="A45" s="27"/>
      <c r="B45" s="27"/>
      <c r="C45" s="27"/>
      <c r="D45" s="27"/>
      <c r="E45" s="27"/>
      <c r="F45" s="27"/>
      <c r="G45" s="27"/>
      <c r="H45" s="27" t="s">
        <v>827</v>
      </c>
      <c r="I45" s="28">
        <v>350000</v>
      </c>
    </row>
    <row r="46" spans="1:9" x14ac:dyDescent="0.25">
      <c r="A46" s="27"/>
      <c r="B46" s="27"/>
      <c r="C46" s="27"/>
      <c r="D46" s="27"/>
      <c r="E46" s="27"/>
      <c r="F46" s="27"/>
      <c r="G46" s="27"/>
      <c r="H46" s="27" t="s">
        <v>777</v>
      </c>
      <c r="I46" s="28">
        <v>160000</v>
      </c>
    </row>
    <row r="47" spans="1:9" ht="15.75" thickBot="1" x14ac:dyDescent="0.3">
      <c r="A47" s="27"/>
      <c r="B47" s="27"/>
      <c r="C47" s="27"/>
      <c r="D47" s="27"/>
      <c r="E47" s="27"/>
      <c r="F47" s="27"/>
      <c r="G47" s="27"/>
      <c r="H47" s="27" t="s">
        <v>778</v>
      </c>
      <c r="I47" s="29">
        <v>82325</v>
      </c>
    </row>
    <row r="48" spans="1:9" x14ac:dyDescent="0.25">
      <c r="A48" s="27"/>
      <c r="B48" s="27"/>
      <c r="C48" s="27"/>
      <c r="D48" s="27"/>
      <c r="E48" s="27"/>
      <c r="F48" s="27"/>
      <c r="G48" s="27" t="s">
        <v>471</v>
      </c>
      <c r="H48" s="27"/>
      <c r="I48" s="28">
        <f>ROUND(SUM(I30:I47),5)</f>
        <v>6379616.6699999999</v>
      </c>
    </row>
    <row r="49" spans="1:9" ht="15.75" thickBot="1" x14ac:dyDescent="0.3">
      <c r="A49" s="27"/>
      <c r="B49" s="27"/>
      <c r="C49" s="27"/>
      <c r="D49" s="27"/>
      <c r="E49" s="27"/>
      <c r="F49" s="27"/>
      <c r="G49" s="27" t="s">
        <v>779</v>
      </c>
      <c r="H49" s="27"/>
      <c r="I49" s="29">
        <v>491152</v>
      </c>
    </row>
    <row r="50" spans="1:9" x14ac:dyDescent="0.25">
      <c r="A50" s="27"/>
      <c r="B50" s="27"/>
      <c r="C50" s="27"/>
      <c r="D50" s="27"/>
      <c r="E50" s="27"/>
      <c r="F50" s="27" t="s">
        <v>780</v>
      </c>
      <c r="G50" s="27"/>
      <c r="H50" s="27"/>
      <c r="I50" s="28">
        <f>ROUND(SUM(I15:I18)+SUM(I22:I23)+SUM(I27:I29)+SUM(I48:I49),5)</f>
        <v>8068216.5999999996</v>
      </c>
    </row>
    <row r="51" spans="1:9" x14ac:dyDescent="0.25">
      <c r="A51" s="27"/>
      <c r="B51" s="27"/>
      <c r="C51" s="27"/>
      <c r="D51" s="27"/>
      <c r="E51" s="27"/>
      <c r="F51" s="27" t="s">
        <v>781</v>
      </c>
      <c r="G51" s="27"/>
      <c r="H51" s="27"/>
      <c r="I51" s="28"/>
    </row>
    <row r="52" spans="1:9" x14ac:dyDescent="0.25">
      <c r="A52" s="27"/>
      <c r="B52" s="27"/>
      <c r="C52" s="27"/>
      <c r="D52" s="27"/>
      <c r="E52" s="27"/>
      <c r="F52" s="27"/>
      <c r="G52" s="27" t="s">
        <v>718</v>
      </c>
      <c r="H52" s="27"/>
      <c r="I52" s="28"/>
    </row>
    <row r="53" spans="1:9" ht="30" customHeight="1" x14ac:dyDescent="0.25">
      <c r="A53" s="27"/>
      <c r="B53" s="27"/>
      <c r="C53" s="27"/>
      <c r="D53" s="27"/>
      <c r="E53" s="27"/>
      <c r="F53" s="27"/>
      <c r="G53" s="27"/>
      <c r="H53" s="27" t="s">
        <v>782</v>
      </c>
      <c r="I53" s="28">
        <v>3655.73</v>
      </c>
    </row>
    <row r="54" spans="1:9" ht="15.75" thickBot="1" x14ac:dyDescent="0.3">
      <c r="A54" s="27"/>
      <c r="B54" s="27"/>
      <c r="C54" s="27"/>
      <c r="D54" s="27"/>
      <c r="E54" s="27"/>
      <c r="F54" s="27"/>
      <c r="G54" s="27"/>
      <c r="H54" s="27" t="s">
        <v>783</v>
      </c>
      <c r="I54" s="29">
        <v>156609.32</v>
      </c>
    </row>
    <row r="55" spans="1:9" x14ac:dyDescent="0.25">
      <c r="A55" s="27"/>
      <c r="B55" s="27"/>
      <c r="C55" s="27"/>
      <c r="D55" s="27"/>
      <c r="E55" s="27"/>
      <c r="F55" s="27"/>
      <c r="G55" s="27" t="s">
        <v>784</v>
      </c>
      <c r="H55" s="27"/>
      <c r="I55" s="28">
        <f>ROUND(SUM(I52:I54),5)</f>
        <v>160265.04999999999</v>
      </c>
    </row>
    <row r="56" spans="1:9" x14ac:dyDescent="0.25">
      <c r="A56" s="27"/>
      <c r="B56" s="27"/>
      <c r="C56" s="27"/>
      <c r="D56" s="27"/>
      <c r="E56" s="27"/>
      <c r="F56" s="27"/>
      <c r="G56" s="27" t="s">
        <v>785</v>
      </c>
      <c r="H56" s="27"/>
      <c r="I56" s="28">
        <v>17099.099999999999</v>
      </c>
    </row>
    <row r="57" spans="1:9" x14ac:dyDescent="0.25">
      <c r="A57" s="27"/>
      <c r="B57" s="27"/>
      <c r="C57" s="27"/>
      <c r="D57" s="27"/>
      <c r="E57" s="27"/>
      <c r="F57" s="27"/>
      <c r="G57" s="27" t="s">
        <v>786</v>
      </c>
      <c r="H57" s="27"/>
      <c r="I57" s="28">
        <v>8679.98</v>
      </c>
    </row>
    <row r="58" spans="1:9" x14ac:dyDescent="0.25">
      <c r="A58" s="27"/>
      <c r="B58" s="27"/>
      <c r="C58" s="27"/>
      <c r="D58" s="27"/>
      <c r="E58" s="27"/>
      <c r="F58" s="27"/>
      <c r="G58" s="27" t="s">
        <v>787</v>
      </c>
      <c r="H58" s="27"/>
      <c r="I58" s="28">
        <v>152123.59</v>
      </c>
    </row>
    <row r="59" spans="1:9" ht="30" customHeight="1" x14ac:dyDescent="0.25">
      <c r="A59" s="27"/>
      <c r="B59" s="27"/>
      <c r="C59" s="27"/>
      <c r="D59" s="27"/>
      <c r="E59" s="27"/>
      <c r="F59" s="27"/>
      <c r="G59" s="27" t="s">
        <v>788</v>
      </c>
      <c r="H59" s="27"/>
      <c r="I59" s="28">
        <v>3655.73</v>
      </c>
    </row>
    <row r="60" spans="1:9" ht="15.75" thickBot="1" x14ac:dyDescent="0.3">
      <c r="A60" s="27"/>
      <c r="B60" s="27"/>
      <c r="C60" s="27"/>
      <c r="D60" s="27"/>
      <c r="E60" s="27"/>
      <c r="F60" s="27"/>
      <c r="G60" s="27" t="s">
        <v>789</v>
      </c>
      <c r="H60" s="27"/>
      <c r="I60" s="29">
        <v>14030.63</v>
      </c>
    </row>
    <row r="61" spans="1:9" x14ac:dyDescent="0.25">
      <c r="A61" s="27"/>
      <c r="B61" s="27"/>
      <c r="C61" s="27"/>
      <c r="D61" s="27"/>
      <c r="E61" s="27"/>
      <c r="F61" s="27" t="s">
        <v>790</v>
      </c>
      <c r="G61" s="27"/>
      <c r="H61" s="27"/>
      <c r="I61" s="28">
        <f>ROUND(I51+SUM(I55:I60),5)</f>
        <v>355854.08000000002</v>
      </c>
    </row>
    <row r="62" spans="1:9" x14ac:dyDescent="0.25">
      <c r="A62" s="27"/>
      <c r="B62" s="27"/>
      <c r="C62" s="27"/>
      <c r="D62" s="27"/>
      <c r="E62" s="27"/>
      <c r="F62" s="27" t="s">
        <v>791</v>
      </c>
      <c r="G62" s="27"/>
      <c r="H62" s="27"/>
      <c r="I62" s="28"/>
    </row>
    <row r="63" spans="1:9" x14ac:dyDescent="0.25">
      <c r="A63" s="27"/>
      <c r="B63" s="27"/>
      <c r="C63" s="27"/>
      <c r="D63" s="27"/>
      <c r="E63" s="27"/>
      <c r="F63" s="27"/>
      <c r="G63" s="27" t="s">
        <v>792</v>
      </c>
      <c r="H63" s="27"/>
      <c r="I63" s="28">
        <v>42135.22</v>
      </c>
    </row>
    <row r="64" spans="1:9" x14ac:dyDescent="0.25">
      <c r="A64" s="27"/>
      <c r="B64" s="27"/>
      <c r="C64" s="27"/>
      <c r="D64" s="27"/>
      <c r="E64" s="27"/>
      <c r="F64" s="27"/>
      <c r="G64" s="27" t="s">
        <v>793</v>
      </c>
      <c r="H64" s="27"/>
      <c r="I64" s="28">
        <v>52597.38</v>
      </c>
    </row>
    <row r="65" spans="1:9" ht="30" customHeight="1" x14ac:dyDescent="0.25">
      <c r="A65" s="27"/>
      <c r="B65" s="27"/>
      <c r="C65" s="27"/>
      <c r="D65" s="27"/>
      <c r="E65" s="27"/>
      <c r="F65" s="27"/>
      <c r="G65" s="27" t="s">
        <v>794</v>
      </c>
      <c r="H65" s="27"/>
      <c r="I65" s="28">
        <v>165481.69</v>
      </c>
    </row>
    <row r="66" spans="1:9" x14ac:dyDescent="0.25">
      <c r="A66" s="27"/>
      <c r="B66" s="27"/>
      <c r="C66" s="27"/>
      <c r="D66" s="27"/>
      <c r="E66" s="27"/>
      <c r="F66" s="27"/>
      <c r="G66" s="27" t="s">
        <v>749</v>
      </c>
      <c r="H66" s="27"/>
      <c r="I66" s="28">
        <v>3016.67</v>
      </c>
    </row>
    <row r="67" spans="1:9" ht="15.75" thickBot="1" x14ac:dyDescent="0.3">
      <c r="A67" s="27"/>
      <c r="B67" s="27"/>
      <c r="C67" s="27"/>
      <c r="D67" s="27"/>
      <c r="E67" s="27"/>
      <c r="F67" s="27"/>
      <c r="G67" s="27" t="s">
        <v>795</v>
      </c>
      <c r="H67" s="27"/>
      <c r="I67" s="29">
        <v>149605.31</v>
      </c>
    </row>
    <row r="68" spans="1:9" x14ac:dyDescent="0.25">
      <c r="A68" s="27"/>
      <c r="B68" s="27"/>
      <c r="C68" s="27"/>
      <c r="D68" s="27"/>
      <c r="E68" s="27"/>
      <c r="F68" s="27" t="s">
        <v>796</v>
      </c>
      <c r="G68" s="27"/>
      <c r="H68" s="27"/>
      <c r="I68" s="28">
        <f>ROUND(SUM(I62:I67),5)</f>
        <v>412836.27</v>
      </c>
    </row>
    <row r="69" spans="1:9" x14ac:dyDescent="0.25">
      <c r="A69" s="27"/>
      <c r="B69" s="27"/>
      <c r="C69" s="27"/>
      <c r="D69" s="27"/>
      <c r="E69" s="27"/>
      <c r="F69" s="27" t="s">
        <v>797</v>
      </c>
      <c r="G69" s="27"/>
      <c r="H69" s="27"/>
      <c r="I69" s="28"/>
    </row>
    <row r="70" spans="1:9" x14ac:dyDescent="0.25">
      <c r="A70" s="27"/>
      <c r="B70" s="27"/>
      <c r="C70" s="27"/>
      <c r="D70" s="27"/>
      <c r="E70" s="27"/>
      <c r="F70" s="27"/>
      <c r="G70" s="27" t="s">
        <v>798</v>
      </c>
      <c r="H70" s="27"/>
      <c r="I70" s="28">
        <v>85990</v>
      </c>
    </row>
    <row r="71" spans="1:9" ht="30" customHeight="1" thickBot="1" x14ac:dyDescent="0.3">
      <c r="A71" s="27"/>
      <c r="B71" s="27"/>
      <c r="C71" s="27"/>
      <c r="D71" s="27"/>
      <c r="E71" s="27"/>
      <c r="F71" s="27"/>
      <c r="G71" s="27" t="s">
        <v>799</v>
      </c>
      <c r="H71" s="27"/>
      <c r="I71" s="29">
        <v>15000</v>
      </c>
    </row>
    <row r="72" spans="1:9" x14ac:dyDescent="0.25">
      <c r="A72" s="27"/>
      <c r="B72" s="27"/>
      <c r="C72" s="27"/>
      <c r="D72" s="27"/>
      <c r="E72" s="27"/>
      <c r="F72" s="27" t="s">
        <v>800</v>
      </c>
      <c r="G72" s="27"/>
      <c r="H72" s="27"/>
      <c r="I72" s="28">
        <f>ROUND(SUM(I69:I71),5)</f>
        <v>100990</v>
      </c>
    </row>
    <row r="73" spans="1:9" x14ac:dyDescent="0.25">
      <c r="A73" s="27"/>
      <c r="B73" s="27"/>
      <c r="C73" s="27"/>
      <c r="D73" s="27"/>
      <c r="E73" s="27"/>
      <c r="F73" s="27" t="s">
        <v>801</v>
      </c>
      <c r="G73" s="27"/>
      <c r="H73" s="27"/>
      <c r="I73" s="28"/>
    </row>
    <row r="74" spans="1:9" x14ac:dyDescent="0.25">
      <c r="A74" s="27"/>
      <c r="B74" s="27"/>
      <c r="C74" s="27"/>
      <c r="D74" s="27"/>
      <c r="E74" s="27"/>
      <c r="F74" s="27"/>
      <c r="G74" s="27" t="s">
        <v>802</v>
      </c>
      <c r="H74" s="27"/>
      <c r="I74" s="28">
        <v>115781.1</v>
      </c>
    </row>
    <row r="75" spans="1:9" x14ac:dyDescent="0.25">
      <c r="A75" s="27"/>
      <c r="B75" s="27"/>
      <c r="C75" s="27"/>
      <c r="D75" s="27"/>
      <c r="E75" s="27"/>
      <c r="F75" s="27"/>
      <c r="G75" s="27" t="s">
        <v>804</v>
      </c>
      <c r="H75" s="27"/>
      <c r="I75" s="28">
        <v>125000</v>
      </c>
    </row>
    <row r="76" spans="1:9" ht="15.75" thickBot="1" x14ac:dyDescent="0.3">
      <c r="A76" s="27"/>
      <c r="B76" s="27"/>
      <c r="C76" s="27"/>
      <c r="D76" s="27"/>
      <c r="E76" s="27"/>
      <c r="F76" s="27"/>
      <c r="G76" s="27" t="s">
        <v>805</v>
      </c>
      <c r="H76" s="27"/>
      <c r="I76" s="30">
        <v>23405.75</v>
      </c>
    </row>
    <row r="77" spans="1:9" ht="30" customHeight="1" thickBot="1" x14ac:dyDescent="0.3">
      <c r="A77" s="27"/>
      <c r="B77" s="27"/>
      <c r="C77" s="27"/>
      <c r="D77" s="27"/>
      <c r="E77" s="27"/>
      <c r="F77" s="27" t="s">
        <v>806</v>
      </c>
      <c r="G77" s="27"/>
      <c r="H77" s="27"/>
      <c r="I77" s="33">
        <f>ROUND(SUM(I73:I76),5)</f>
        <v>264186.84999999998</v>
      </c>
    </row>
    <row r="78" spans="1:9" x14ac:dyDescent="0.25">
      <c r="A78" s="27"/>
      <c r="B78" s="27"/>
      <c r="C78" s="27"/>
      <c r="D78" s="27"/>
      <c r="E78" s="27" t="s">
        <v>807</v>
      </c>
      <c r="F78" s="27"/>
      <c r="G78" s="27"/>
      <c r="H78" s="27"/>
      <c r="I78" s="28">
        <f>ROUND(I14+I50+I61+I68+I72+I77,5)</f>
        <v>9202083.8000000007</v>
      </c>
    </row>
    <row r="79" spans="1:9" x14ac:dyDescent="0.25">
      <c r="A79" s="27"/>
      <c r="B79" s="27"/>
      <c r="C79" s="27"/>
      <c r="D79" s="27"/>
      <c r="E79" s="27" t="s">
        <v>808</v>
      </c>
      <c r="F79" s="27"/>
      <c r="G79" s="27"/>
      <c r="H79" s="27"/>
      <c r="I79" s="28"/>
    </row>
    <row r="80" spans="1:9" x14ac:dyDescent="0.25">
      <c r="A80" s="27"/>
      <c r="B80" s="27"/>
      <c r="C80" s="27"/>
      <c r="D80" s="27"/>
      <c r="E80" s="27"/>
      <c r="F80" s="27" t="s">
        <v>809</v>
      </c>
      <c r="G80" s="27"/>
      <c r="H80" s="27"/>
      <c r="I80" s="28">
        <v>100344.01</v>
      </c>
    </row>
    <row r="81" spans="1:15" ht="15.75" thickBot="1" x14ac:dyDescent="0.3">
      <c r="A81" s="27"/>
      <c r="B81" s="27"/>
      <c r="C81" s="27"/>
      <c r="D81" s="27"/>
      <c r="E81" s="27"/>
      <c r="F81" s="27" t="s">
        <v>810</v>
      </c>
      <c r="G81" s="27"/>
      <c r="H81" s="27"/>
      <c r="I81" s="30">
        <v>1611332.88</v>
      </c>
    </row>
    <row r="82" spans="1:15" ht="15.75" thickBot="1" x14ac:dyDescent="0.3">
      <c r="A82" s="27"/>
      <c r="B82" s="27"/>
      <c r="C82" s="27"/>
      <c r="D82" s="27"/>
      <c r="E82" s="27" t="s">
        <v>811</v>
      </c>
      <c r="F82" s="27"/>
      <c r="G82" s="27"/>
      <c r="H82" s="27"/>
      <c r="I82" s="34">
        <f>ROUND(SUM(I79:I81),5)</f>
        <v>1711676.89</v>
      </c>
    </row>
    <row r="83" spans="1:15" ht="30" customHeight="1" thickBot="1" x14ac:dyDescent="0.3">
      <c r="A83" s="27"/>
      <c r="B83" s="27"/>
      <c r="C83" s="27"/>
      <c r="D83" s="27" t="s">
        <v>357</v>
      </c>
      <c r="E83" s="27"/>
      <c r="F83" s="27"/>
      <c r="G83" s="27"/>
      <c r="H83" s="27"/>
      <c r="I83" s="34">
        <f>ROUND(I13+I78+I82,5)</f>
        <v>10913760.689999999</v>
      </c>
    </row>
    <row r="84" spans="1:15" ht="30" customHeight="1" thickBot="1" x14ac:dyDescent="0.3">
      <c r="A84" s="27"/>
      <c r="B84" s="27" t="s">
        <v>358</v>
      </c>
      <c r="C84" s="27"/>
      <c r="D84" s="27"/>
      <c r="E84" s="27"/>
      <c r="F84" s="27"/>
      <c r="G84" s="27"/>
      <c r="H84" s="27"/>
      <c r="I84" s="34">
        <f>ROUND(I2+I12-I83,5)</f>
        <v>-890340.69</v>
      </c>
    </row>
    <row r="85" spans="1:15" ht="15.75" thickBot="1" x14ac:dyDescent="0.3">
      <c r="A85" s="27" t="s">
        <v>372</v>
      </c>
      <c r="B85" s="27"/>
      <c r="C85" s="27"/>
      <c r="D85" s="27"/>
      <c r="E85" s="27"/>
      <c r="F85" s="27"/>
      <c r="G85" s="27"/>
      <c r="H85" s="27"/>
      <c r="I85" s="35">
        <f>I84</f>
        <v>-890340.69</v>
      </c>
    </row>
    <row r="86" spans="1:15" ht="15.75" thickTop="1" x14ac:dyDescent="0.25"/>
    <row r="87" spans="1:15" ht="30" customHeight="1" x14ac:dyDescent="0.25">
      <c r="I87" s="26">
        <f>+'KPM -  TeKSS '!G19*'KPM -  TeKSS '!G4*1000</f>
        <v>-890340.68999999913</v>
      </c>
    </row>
    <row r="88" spans="1:15" s="104" customFormat="1" ht="30" customHeight="1" x14ac:dyDescent="0.25">
      <c r="A88" s="50"/>
      <c r="B88" s="50"/>
      <c r="C88" s="50"/>
      <c r="D88" s="50"/>
      <c r="E88" s="50"/>
      <c r="F88" s="50"/>
      <c r="G88" s="50"/>
      <c r="H88" s="50"/>
      <c r="I88" s="107">
        <f>+I85-I87</f>
        <v>0</v>
      </c>
      <c r="N88" s="23"/>
      <c r="O88" s="23"/>
    </row>
    <row r="95" spans="1:15" x14ac:dyDescent="0.25">
      <c r="K95" s="108"/>
    </row>
    <row r="96" spans="1:15" x14ac:dyDescent="0.25">
      <c r="K96" s="197"/>
    </row>
    <row r="194" spans="14:15" x14ac:dyDescent="0.25">
      <c r="N194" s="104"/>
      <c r="O194" s="104"/>
    </row>
    <row r="217" spans="14:15" x14ac:dyDescent="0.25">
      <c r="N217" s="102"/>
      <c r="O217" s="102"/>
    </row>
    <row r="223" spans="14:15" x14ac:dyDescent="0.25">
      <c r="N223" s="104"/>
      <c r="O223" s="10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223"/>
  <sheetViews>
    <sheetView workbookViewId="0">
      <selection activeCell="N14" sqref="N14"/>
    </sheetView>
  </sheetViews>
  <sheetFormatPr defaultRowHeight="15" x14ac:dyDescent="0.25"/>
  <cols>
    <col min="1" max="7" width="3" style="50" customWidth="1"/>
    <col min="8" max="8" width="28.7109375" style="50" customWidth="1"/>
    <col min="9" max="9" width="10.85546875" style="26" bestFit="1" customWidth="1"/>
    <col min="10" max="10" width="10.85546875" style="23" bestFit="1" customWidth="1"/>
    <col min="11" max="13" width="9.140625" style="23"/>
    <col min="14" max="14" width="33" style="23" customWidth="1"/>
    <col min="15" max="15" width="13.28515625" style="23" bestFit="1" customWidth="1"/>
    <col min="16" max="16" width="18.140625" style="23" bestFit="1" customWidth="1"/>
    <col min="17" max="16384" width="9.140625" style="23"/>
  </cols>
  <sheetData>
    <row r="1" spans="1:16" s="102" customFormat="1" ht="15.75" thickBot="1" x14ac:dyDescent="0.3">
      <c r="A1" s="31"/>
      <c r="B1" s="31"/>
      <c r="C1" s="31"/>
      <c r="D1" s="31"/>
      <c r="E1" s="31"/>
      <c r="F1" s="31"/>
      <c r="G1" s="31"/>
      <c r="H1" s="31"/>
      <c r="I1" s="32" t="s">
        <v>747</v>
      </c>
      <c r="N1" s="23"/>
      <c r="O1" s="23"/>
    </row>
    <row r="2" spans="1:16" ht="15.75" thickTop="1" x14ac:dyDescent="0.25">
      <c r="A2" s="27"/>
      <c r="B2" s="27" t="s">
        <v>53</v>
      </c>
      <c r="C2" s="27"/>
      <c r="D2" s="27"/>
      <c r="E2" s="27"/>
      <c r="F2" s="27"/>
      <c r="G2" s="27"/>
      <c r="H2" s="27"/>
      <c r="I2" s="28"/>
      <c r="N2" s="226" t="s">
        <v>622</v>
      </c>
      <c r="O2" s="227" t="s">
        <v>621</v>
      </c>
    </row>
    <row r="3" spans="1:16" x14ac:dyDescent="0.25">
      <c r="A3" s="27"/>
      <c r="B3" s="27"/>
      <c r="C3" s="27"/>
      <c r="D3" s="27" t="s">
        <v>54</v>
      </c>
      <c r="E3" s="27"/>
      <c r="F3" s="27"/>
      <c r="G3" s="27"/>
      <c r="H3" s="27"/>
      <c r="I3" s="28"/>
      <c r="N3" s="164" t="s">
        <v>812</v>
      </c>
      <c r="O3" s="295">
        <f>I48</f>
        <v>6411295.8399999999</v>
      </c>
    </row>
    <row r="4" spans="1:16" x14ac:dyDescent="0.25">
      <c r="A4" s="27"/>
      <c r="B4" s="27"/>
      <c r="C4" s="27"/>
      <c r="D4" s="27"/>
      <c r="E4" s="27" t="s">
        <v>751</v>
      </c>
      <c r="F4" s="27"/>
      <c r="G4" s="27"/>
      <c r="H4" s="27"/>
      <c r="I4" s="28"/>
      <c r="N4" s="164" t="s">
        <v>814</v>
      </c>
      <c r="O4" s="312">
        <f>+I16</f>
        <v>200000</v>
      </c>
    </row>
    <row r="5" spans="1:16" x14ac:dyDescent="0.25">
      <c r="A5" s="27"/>
      <c r="B5" s="27"/>
      <c r="C5" s="27"/>
      <c r="D5" s="27"/>
      <c r="E5" s="27"/>
      <c r="F5" s="27" t="s">
        <v>752</v>
      </c>
      <c r="G5" s="27"/>
      <c r="H5" s="27"/>
      <c r="I5" s="28">
        <v>143880</v>
      </c>
      <c r="N5" s="164" t="s">
        <v>815</v>
      </c>
      <c r="O5" s="312">
        <f>+I24</f>
        <v>93184</v>
      </c>
    </row>
    <row r="6" spans="1:16" x14ac:dyDescent="0.25">
      <c r="A6" s="27"/>
      <c r="B6" s="27"/>
      <c r="C6" s="27"/>
      <c r="D6" s="27"/>
      <c r="E6" s="27"/>
      <c r="F6" s="27" t="s">
        <v>753</v>
      </c>
      <c r="G6" s="27"/>
      <c r="H6" s="27"/>
      <c r="I6" s="28">
        <v>1007160</v>
      </c>
      <c r="N6" s="297" t="s">
        <v>25</v>
      </c>
      <c r="O6" s="298">
        <f>SUM(O3:O5)</f>
        <v>6704479.8399999999</v>
      </c>
    </row>
    <row r="7" spans="1:16" ht="30" customHeight="1" x14ac:dyDescent="0.25">
      <c r="A7" s="27"/>
      <c r="B7" s="27"/>
      <c r="C7" s="27"/>
      <c r="D7" s="27"/>
      <c r="E7" s="27"/>
      <c r="F7" s="27" t="s">
        <v>754</v>
      </c>
      <c r="G7" s="27"/>
      <c r="H7" s="27"/>
      <c r="I7" s="28">
        <v>863280</v>
      </c>
      <c r="N7" s="299"/>
      <c r="O7" s="300"/>
    </row>
    <row r="8" spans="1:16" ht="30" customHeight="1" x14ac:dyDescent="0.25">
      <c r="A8" s="27"/>
      <c r="B8" s="27"/>
      <c r="C8" s="27"/>
      <c r="D8" s="27"/>
      <c r="E8" s="27"/>
      <c r="F8" s="27" t="s">
        <v>755</v>
      </c>
      <c r="G8" s="27"/>
      <c r="H8" s="27"/>
      <c r="I8" s="28">
        <v>5672100</v>
      </c>
      <c r="N8" s="301" t="s">
        <v>743</v>
      </c>
      <c r="O8" s="302" t="s">
        <v>621</v>
      </c>
    </row>
    <row r="9" spans="1:16" ht="15.75" thickBot="1" x14ac:dyDescent="0.3">
      <c r="A9" s="27"/>
      <c r="B9" s="27"/>
      <c r="C9" s="27"/>
      <c r="D9" s="27"/>
      <c r="E9" s="27"/>
      <c r="F9" s="27" t="s">
        <v>756</v>
      </c>
      <c r="G9" s="27"/>
      <c r="H9" s="27"/>
      <c r="I9" s="30">
        <v>1330362</v>
      </c>
      <c r="N9" s="164" t="s">
        <v>813</v>
      </c>
      <c r="O9" s="186">
        <f>+I84-O6</f>
        <v>3215931.17</v>
      </c>
    </row>
    <row r="10" spans="1:16" ht="15.75" thickBot="1" x14ac:dyDescent="0.3">
      <c r="A10" s="27"/>
      <c r="B10" s="27"/>
      <c r="C10" s="27"/>
      <c r="D10" s="27"/>
      <c r="E10" s="27" t="s">
        <v>757</v>
      </c>
      <c r="F10" s="27"/>
      <c r="G10" s="27"/>
      <c r="H10" s="27"/>
      <c r="I10" s="34">
        <f>ROUND(SUM(I4:I9),5)</f>
        <v>9016782</v>
      </c>
      <c r="N10" s="303" t="s">
        <v>25</v>
      </c>
      <c r="O10" s="304">
        <f>SUM(O9:O9)</f>
        <v>3215931.17</v>
      </c>
    </row>
    <row r="11" spans="1:16" ht="15.75" thickBot="1" x14ac:dyDescent="0.3">
      <c r="A11" s="27"/>
      <c r="B11" s="27"/>
      <c r="C11" s="27"/>
      <c r="D11" s="27" t="s">
        <v>88</v>
      </c>
      <c r="E11" s="27"/>
      <c r="F11" s="27"/>
      <c r="G11" s="27"/>
      <c r="H11" s="27"/>
      <c r="I11" s="33">
        <f>ROUND(I3+I10,5)</f>
        <v>9016782</v>
      </c>
      <c r="O11" s="111"/>
    </row>
    <row r="12" spans="1:16" x14ac:dyDescent="0.25">
      <c r="A12" s="27"/>
      <c r="B12" s="27"/>
      <c r="C12" s="27" t="s">
        <v>147</v>
      </c>
      <c r="D12" s="27"/>
      <c r="E12" s="27"/>
      <c r="F12" s="27"/>
      <c r="G12" s="27"/>
      <c r="H12" s="27"/>
      <c r="I12" s="28">
        <f>I11</f>
        <v>9016782</v>
      </c>
      <c r="O12" s="108"/>
    </row>
    <row r="13" spans="1:16" x14ac:dyDescent="0.25">
      <c r="A13" s="27"/>
      <c r="B13" s="27"/>
      <c r="C13" s="27"/>
      <c r="D13" s="27" t="s">
        <v>148</v>
      </c>
      <c r="E13" s="27"/>
      <c r="F13" s="27"/>
      <c r="G13" s="27"/>
      <c r="H13" s="27"/>
      <c r="I13" s="28"/>
      <c r="O13" s="108"/>
    </row>
    <row r="14" spans="1:16" ht="30" customHeight="1" x14ac:dyDescent="0.25">
      <c r="A14" s="27"/>
      <c r="B14" s="27"/>
      <c r="C14" s="27"/>
      <c r="D14" s="27"/>
      <c r="E14" s="27" t="s">
        <v>758</v>
      </c>
      <c r="F14" s="27"/>
      <c r="G14" s="27"/>
      <c r="H14" s="27"/>
      <c r="I14" s="28"/>
      <c r="O14" s="107"/>
    </row>
    <row r="15" spans="1:16" x14ac:dyDescent="0.25">
      <c r="A15" s="27"/>
      <c r="B15" s="27"/>
      <c r="C15" s="27"/>
      <c r="D15" s="27"/>
      <c r="E15" s="27"/>
      <c r="F15" s="27" t="s">
        <v>759</v>
      </c>
      <c r="G15" s="27"/>
      <c r="H15" s="27"/>
      <c r="I15" s="28"/>
      <c r="O15" s="197"/>
    </row>
    <row r="16" spans="1:16" x14ac:dyDescent="0.25">
      <c r="A16" s="27"/>
      <c r="B16" s="27"/>
      <c r="C16" s="27"/>
      <c r="D16" s="27"/>
      <c r="E16" s="27"/>
      <c r="F16" s="27"/>
      <c r="G16" s="27" t="s">
        <v>760</v>
      </c>
      <c r="H16" s="27"/>
      <c r="I16" s="28">
        <v>200000</v>
      </c>
      <c r="O16" s="108"/>
      <c r="P16" s="111"/>
    </row>
    <row r="17" spans="1:16" x14ac:dyDescent="0.25">
      <c r="A17" s="27"/>
      <c r="B17" s="27"/>
      <c r="C17" s="27"/>
      <c r="D17" s="27"/>
      <c r="E17" s="27"/>
      <c r="F17" s="27"/>
      <c r="G17" s="27" t="s">
        <v>816</v>
      </c>
      <c r="H17" s="27"/>
      <c r="I17" s="28">
        <v>7000</v>
      </c>
      <c r="O17" s="108"/>
      <c r="P17" s="111"/>
    </row>
    <row r="18" spans="1:16" x14ac:dyDescent="0.25">
      <c r="A18" s="27"/>
      <c r="B18" s="27"/>
      <c r="C18" s="27"/>
      <c r="D18" s="27"/>
      <c r="E18" s="27"/>
      <c r="F18" s="27"/>
      <c r="G18" s="27" t="s">
        <v>761</v>
      </c>
      <c r="H18" s="27"/>
      <c r="I18" s="28">
        <v>50000</v>
      </c>
      <c r="O18" s="108"/>
    </row>
    <row r="19" spans="1:16" x14ac:dyDescent="0.25">
      <c r="A19" s="27"/>
      <c r="B19" s="27"/>
      <c r="C19" s="27"/>
      <c r="D19" s="27"/>
      <c r="E19" s="27"/>
      <c r="F19" s="27"/>
      <c r="G19" s="27" t="s">
        <v>762</v>
      </c>
      <c r="H19" s="27"/>
      <c r="I19" s="28"/>
      <c r="O19" s="108"/>
    </row>
    <row r="20" spans="1:16" x14ac:dyDescent="0.25">
      <c r="A20" s="27"/>
      <c r="B20" s="27"/>
      <c r="C20" s="27"/>
      <c r="D20" s="27"/>
      <c r="E20" s="27"/>
      <c r="F20" s="27"/>
      <c r="G20" s="27"/>
      <c r="H20" s="27" t="s">
        <v>763</v>
      </c>
      <c r="I20" s="28">
        <v>43300</v>
      </c>
    </row>
    <row r="21" spans="1:16" x14ac:dyDescent="0.25">
      <c r="A21" s="27"/>
      <c r="B21" s="27"/>
      <c r="C21" s="27"/>
      <c r="D21" s="27"/>
      <c r="E21" s="27"/>
      <c r="F21" s="27"/>
      <c r="G21" s="27"/>
      <c r="H21" s="27" t="s">
        <v>764</v>
      </c>
      <c r="I21" s="28">
        <v>129950</v>
      </c>
    </row>
    <row r="22" spans="1:16" ht="30" customHeight="1" thickBot="1" x14ac:dyDescent="0.3">
      <c r="A22" s="27"/>
      <c r="B22" s="27"/>
      <c r="C22" s="27"/>
      <c r="D22" s="27"/>
      <c r="E22" s="27"/>
      <c r="F22" s="27"/>
      <c r="G22" s="27"/>
      <c r="H22" s="27" t="s">
        <v>765</v>
      </c>
      <c r="I22" s="29">
        <v>1790</v>
      </c>
    </row>
    <row r="23" spans="1:16" x14ac:dyDescent="0.25">
      <c r="A23" s="27"/>
      <c r="B23" s="27"/>
      <c r="C23" s="27"/>
      <c r="D23" s="27"/>
      <c r="E23" s="27"/>
      <c r="F23" s="27"/>
      <c r="G23" s="27" t="s">
        <v>766</v>
      </c>
      <c r="H23" s="27"/>
      <c r="I23" s="28">
        <f>ROUND(SUM(I19:I22),5)</f>
        <v>175040</v>
      </c>
    </row>
    <row r="24" spans="1:16" x14ac:dyDescent="0.25">
      <c r="A24" s="27"/>
      <c r="B24" s="27"/>
      <c r="C24" s="27"/>
      <c r="D24" s="27"/>
      <c r="E24" s="27"/>
      <c r="F24" s="27"/>
      <c r="G24" s="27" t="s">
        <v>767</v>
      </c>
      <c r="H24" s="27"/>
      <c r="I24" s="28">
        <v>93184</v>
      </c>
    </row>
    <row r="25" spans="1:16" x14ac:dyDescent="0.25">
      <c r="A25" s="27"/>
      <c r="B25" s="27"/>
      <c r="C25" s="27"/>
      <c r="D25" s="27"/>
      <c r="E25" s="27"/>
      <c r="F25" s="27"/>
      <c r="G25" s="27" t="s">
        <v>768</v>
      </c>
      <c r="H25" s="27"/>
      <c r="I25" s="28"/>
    </row>
    <row r="26" spans="1:16" x14ac:dyDescent="0.25">
      <c r="A26" s="27"/>
      <c r="B26" s="27"/>
      <c r="C26" s="27"/>
      <c r="D26" s="27"/>
      <c r="E26" s="27"/>
      <c r="F26" s="27"/>
      <c r="G26" s="27"/>
      <c r="H26" s="27" t="s">
        <v>769</v>
      </c>
      <c r="I26" s="28">
        <v>159118.26999999999</v>
      </c>
    </row>
    <row r="27" spans="1:16" ht="15.75" thickBot="1" x14ac:dyDescent="0.3">
      <c r="A27" s="27"/>
      <c r="B27" s="27"/>
      <c r="C27" s="27"/>
      <c r="D27" s="27"/>
      <c r="E27" s="27"/>
      <c r="F27" s="27"/>
      <c r="G27" s="27"/>
      <c r="H27" s="27" t="s">
        <v>770</v>
      </c>
      <c r="I27" s="29">
        <v>8064.58</v>
      </c>
    </row>
    <row r="28" spans="1:16" x14ac:dyDescent="0.25">
      <c r="A28" s="27"/>
      <c r="B28" s="27"/>
      <c r="C28" s="27"/>
      <c r="D28" s="27"/>
      <c r="E28" s="27"/>
      <c r="F28" s="27"/>
      <c r="G28" s="27" t="s">
        <v>771</v>
      </c>
      <c r="H28" s="27"/>
      <c r="I28" s="28">
        <f>ROUND(SUM(I25:I27),5)</f>
        <v>167182.85</v>
      </c>
    </row>
    <row r="29" spans="1:16" ht="30" customHeight="1" x14ac:dyDescent="0.25">
      <c r="A29" s="27"/>
      <c r="B29" s="27"/>
      <c r="C29" s="27"/>
      <c r="D29" s="27"/>
      <c r="E29" s="27"/>
      <c r="F29" s="27"/>
      <c r="G29" s="27" t="s">
        <v>772</v>
      </c>
      <c r="H29" s="27"/>
      <c r="I29" s="28">
        <v>13130</v>
      </c>
    </row>
    <row r="30" spans="1:16" x14ac:dyDescent="0.25">
      <c r="A30" s="27"/>
      <c r="B30" s="27"/>
      <c r="C30" s="27"/>
      <c r="D30" s="27"/>
      <c r="E30" s="27"/>
      <c r="F30" s="27"/>
      <c r="G30" s="27" t="s">
        <v>773</v>
      </c>
      <c r="H30" s="27"/>
      <c r="I30" s="28">
        <v>44800</v>
      </c>
      <c r="P30" s="306"/>
    </row>
    <row r="31" spans="1:16" x14ac:dyDescent="0.25">
      <c r="A31" s="27"/>
      <c r="B31" s="27"/>
      <c r="C31" s="27"/>
      <c r="D31" s="27"/>
      <c r="E31" s="27"/>
      <c r="F31" s="27"/>
      <c r="G31" s="27" t="s">
        <v>428</v>
      </c>
      <c r="H31" s="27"/>
      <c r="I31" s="28"/>
    </row>
    <row r="32" spans="1:16" x14ac:dyDescent="0.25">
      <c r="A32" s="27"/>
      <c r="B32" s="27"/>
      <c r="C32" s="27"/>
      <c r="D32" s="27"/>
      <c r="E32" s="27"/>
      <c r="F32" s="27"/>
      <c r="G32" s="27"/>
      <c r="H32" s="27" t="s">
        <v>429</v>
      </c>
      <c r="I32" s="28">
        <v>324833.34000000003</v>
      </c>
    </row>
    <row r="33" spans="1:9" x14ac:dyDescent="0.25">
      <c r="A33" s="27"/>
      <c r="B33" s="27"/>
      <c r="C33" s="27"/>
      <c r="D33" s="27"/>
      <c r="E33" s="27"/>
      <c r="F33" s="27"/>
      <c r="G33" s="27"/>
      <c r="H33" s="27" t="s">
        <v>774</v>
      </c>
      <c r="I33" s="28">
        <v>67500</v>
      </c>
    </row>
    <row r="34" spans="1:9" x14ac:dyDescent="0.25">
      <c r="A34" s="27"/>
      <c r="B34" s="27"/>
      <c r="C34" s="27"/>
      <c r="D34" s="27"/>
      <c r="E34" s="27"/>
      <c r="F34" s="27"/>
      <c r="G34" s="27"/>
      <c r="H34" s="27" t="s">
        <v>734</v>
      </c>
      <c r="I34" s="28">
        <v>136500</v>
      </c>
    </row>
    <row r="35" spans="1:9" x14ac:dyDescent="0.25">
      <c r="A35" s="27"/>
      <c r="B35" s="27"/>
      <c r="C35" s="27"/>
      <c r="D35" s="27"/>
      <c r="E35" s="27"/>
      <c r="F35" s="27"/>
      <c r="G35" s="27"/>
      <c r="H35" s="27" t="s">
        <v>775</v>
      </c>
      <c r="I35" s="28">
        <v>155000</v>
      </c>
    </row>
    <row r="36" spans="1:9" x14ac:dyDescent="0.25">
      <c r="A36" s="27"/>
      <c r="B36" s="27"/>
      <c r="C36" s="27"/>
      <c r="D36" s="27"/>
      <c r="E36" s="27"/>
      <c r="F36" s="27"/>
      <c r="G36" s="27"/>
      <c r="H36" s="27" t="s">
        <v>435</v>
      </c>
      <c r="I36" s="28">
        <v>507550</v>
      </c>
    </row>
    <row r="37" spans="1:9" x14ac:dyDescent="0.25">
      <c r="A37" s="27"/>
      <c r="B37" s="27"/>
      <c r="C37" s="27"/>
      <c r="D37" s="27"/>
      <c r="E37" s="27"/>
      <c r="F37" s="27"/>
      <c r="G37" s="27"/>
      <c r="H37" s="27" t="s">
        <v>441</v>
      </c>
      <c r="I37" s="28">
        <v>540000</v>
      </c>
    </row>
    <row r="38" spans="1:9" x14ac:dyDescent="0.25">
      <c r="A38" s="27"/>
      <c r="B38" s="27"/>
      <c r="C38" s="27"/>
      <c r="D38" s="27"/>
      <c r="E38" s="27"/>
      <c r="F38" s="27"/>
      <c r="G38" s="27"/>
      <c r="H38" s="27" t="s">
        <v>447</v>
      </c>
      <c r="I38" s="28">
        <v>183750</v>
      </c>
    </row>
    <row r="39" spans="1:9" x14ac:dyDescent="0.25">
      <c r="A39" s="27"/>
      <c r="B39" s="27"/>
      <c r="C39" s="27"/>
      <c r="D39" s="27"/>
      <c r="E39" s="27"/>
      <c r="F39" s="27"/>
      <c r="G39" s="27"/>
      <c r="H39" s="27" t="s">
        <v>453</v>
      </c>
      <c r="I39" s="28">
        <v>2906775</v>
      </c>
    </row>
    <row r="40" spans="1:9" x14ac:dyDescent="0.25">
      <c r="A40" s="27"/>
      <c r="B40" s="27"/>
      <c r="C40" s="27"/>
      <c r="D40" s="27"/>
      <c r="E40" s="27"/>
      <c r="F40" s="27"/>
      <c r="G40" s="27"/>
      <c r="H40" s="27" t="s">
        <v>698</v>
      </c>
      <c r="I40" s="28">
        <v>294750</v>
      </c>
    </row>
    <row r="41" spans="1:9" x14ac:dyDescent="0.25">
      <c r="A41" s="27"/>
      <c r="B41" s="27"/>
      <c r="C41" s="27"/>
      <c r="D41" s="27"/>
      <c r="E41" s="27"/>
      <c r="F41" s="27"/>
      <c r="G41" s="27"/>
      <c r="H41" s="27" t="s">
        <v>459</v>
      </c>
      <c r="I41" s="28">
        <v>136250</v>
      </c>
    </row>
    <row r="42" spans="1:9" x14ac:dyDescent="0.25">
      <c r="A42" s="27"/>
      <c r="B42" s="27"/>
      <c r="C42" s="27"/>
      <c r="D42" s="27"/>
      <c r="E42" s="27"/>
      <c r="F42" s="27"/>
      <c r="G42" s="27"/>
      <c r="H42" s="27" t="s">
        <v>776</v>
      </c>
      <c r="I42" s="28">
        <v>157000</v>
      </c>
    </row>
    <row r="43" spans="1:9" x14ac:dyDescent="0.25">
      <c r="A43" s="27"/>
      <c r="B43" s="27"/>
      <c r="C43" s="27"/>
      <c r="D43" s="27"/>
      <c r="E43" s="27"/>
      <c r="F43" s="27"/>
      <c r="G43" s="27"/>
      <c r="H43" s="27" t="s">
        <v>684</v>
      </c>
      <c r="I43" s="28">
        <v>180587.5</v>
      </c>
    </row>
    <row r="44" spans="1:9" x14ac:dyDescent="0.25">
      <c r="A44" s="27"/>
      <c r="B44" s="27"/>
      <c r="C44" s="27"/>
      <c r="D44" s="27"/>
      <c r="E44" s="27"/>
      <c r="F44" s="27"/>
      <c r="G44" s="27"/>
      <c r="H44" s="27" t="s">
        <v>742</v>
      </c>
      <c r="I44" s="28">
        <v>244050</v>
      </c>
    </row>
    <row r="45" spans="1:9" x14ac:dyDescent="0.25">
      <c r="A45" s="27"/>
      <c r="B45" s="27"/>
      <c r="C45" s="27"/>
      <c r="D45" s="27"/>
      <c r="E45" s="27"/>
      <c r="F45" s="27"/>
      <c r="G45" s="27"/>
      <c r="H45" s="27" t="s">
        <v>827</v>
      </c>
      <c r="I45" s="28">
        <v>350000</v>
      </c>
    </row>
    <row r="46" spans="1:9" x14ac:dyDescent="0.25">
      <c r="A46" s="27"/>
      <c r="B46" s="27"/>
      <c r="C46" s="27"/>
      <c r="D46" s="27"/>
      <c r="E46" s="27"/>
      <c r="F46" s="27"/>
      <c r="G46" s="27"/>
      <c r="H46" s="27" t="s">
        <v>777</v>
      </c>
      <c r="I46" s="28">
        <v>160000</v>
      </c>
    </row>
    <row r="47" spans="1:9" ht="15.75" thickBot="1" x14ac:dyDescent="0.3">
      <c r="A47" s="27"/>
      <c r="B47" s="27"/>
      <c r="C47" s="27"/>
      <c r="D47" s="27"/>
      <c r="E47" s="27"/>
      <c r="F47" s="27"/>
      <c r="G47" s="27"/>
      <c r="H47" s="27" t="s">
        <v>778</v>
      </c>
      <c r="I47" s="29">
        <v>66750</v>
      </c>
    </row>
    <row r="48" spans="1:9" x14ac:dyDescent="0.25">
      <c r="A48" s="27"/>
      <c r="B48" s="27"/>
      <c r="C48" s="27"/>
      <c r="D48" s="27"/>
      <c r="E48" s="27"/>
      <c r="F48" s="27"/>
      <c r="G48" s="27" t="s">
        <v>471</v>
      </c>
      <c r="H48" s="27"/>
      <c r="I48" s="28">
        <f>ROUND(SUM(I31:I47),5)</f>
        <v>6411295.8399999999</v>
      </c>
    </row>
    <row r="49" spans="1:9" ht="15.75" thickBot="1" x14ac:dyDescent="0.3">
      <c r="A49" s="27"/>
      <c r="B49" s="27"/>
      <c r="C49" s="27"/>
      <c r="D49" s="27"/>
      <c r="E49" s="27"/>
      <c r="F49" s="27"/>
      <c r="G49" s="27" t="s">
        <v>779</v>
      </c>
      <c r="H49" s="27"/>
      <c r="I49" s="29">
        <v>237003.71</v>
      </c>
    </row>
    <row r="50" spans="1:9" x14ac:dyDescent="0.25">
      <c r="A50" s="27"/>
      <c r="B50" s="27"/>
      <c r="C50" s="27"/>
      <c r="D50" s="27"/>
      <c r="E50" s="27"/>
      <c r="F50" s="27" t="s">
        <v>780</v>
      </c>
      <c r="G50" s="27"/>
      <c r="H50" s="27"/>
      <c r="I50" s="28">
        <f>ROUND(SUM(I15:I18)+SUM(I23:I24)+SUM(I28:I30)+SUM(I48:I49),5)</f>
        <v>7398636.4000000004</v>
      </c>
    </row>
    <row r="51" spans="1:9" x14ac:dyDescent="0.25">
      <c r="A51" s="27"/>
      <c r="B51" s="27"/>
      <c r="C51" s="27"/>
      <c r="D51" s="27"/>
      <c r="E51" s="27"/>
      <c r="F51" s="27" t="s">
        <v>781</v>
      </c>
      <c r="G51" s="27"/>
      <c r="H51" s="27"/>
      <c r="I51" s="28"/>
    </row>
    <row r="52" spans="1:9" x14ac:dyDescent="0.25">
      <c r="A52" s="27"/>
      <c r="B52" s="27"/>
      <c r="C52" s="27"/>
      <c r="D52" s="27"/>
      <c r="E52" s="27"/>
      <c r="F52" s="27"/>
      <c r="G52" s="27" t="s">
        <v>718</v>
      </c>
      <c r="H52" s="27"/>
      <c r="I52" s="28"/>
    </row>
    <row r="53" spans="1:9" x14ac:dyDescent="0.25">
      <c r="A53" s="27"/>
      <c r="B53" s="27"/>
      <c r="C53" s="27"/>
      <c r="D53" s="27"/>
      <c r="E53" s="27"/>
      <c r="F53" s="27"/>
      <c r="G53" s="27"/>
      <c r="H53" s="27" t="s">
        <v>782</v>
      </c>
      <c r="I53" s="28">
        <v>3655.73</v>
      </c>
    </row>
    <row r="54" spans="1:9" ht="30" customHeight="1" thickBot="1" x14ac:dyDescent="0.3">
      <c r="A54" s="27"/>
      <c r="B54" s="27"/>
      <c r="C54" s="27"/>
      <c r="D54" s="27"/>
      <c r="E54" s="27"/>
      <c r="F54" s="27"/>
      <c r="G54" s="27"/>
      <c r="H54" s="27" t="s">
        <v>783</v>
      </c>
      <c r="I54" s="29">
        <v>156976.07</v>
      </c>
    </row>
    <row r="55" spans="1:9" x14ac:dyDescent="0.25">
      <c r="A55" s="27"/>
      <c r="B55" s="27"/>
      <c r="C55" s="27"/>
      <c r="D55" s="27"/>
      <c r="E55" s="27"/>
      <c r="F55" s="27"/>
      <c r="G55" s="27" t="s">
        <v>784</v>
      </c>
      <c r="H55" s="27"/>
      <c r="I55" s="28">
        <f>ROUND(SUM(I52:I54),5)</f>
        <v>160631.79999999999</v>
      </c>
    </row>
    <row r="56" spans="1:9" x14ac:dyDescent="0.25">
      <c r="A56" s="27"/>
      <c r="B56" s="27"/>
      <c r="C56" s="27"/>
      <c r="D56" s="27"/>
      <c r="E56" s="27"/>
      <c r="F56" s="27"/>
      <c r="G56" s="27" t="s">
        <v>785</v>
      </c>
      <c r="H56" s="27"/>
      <c r="I56" s="28">
        <v>17489.3</v>
      </c>
    </row>
    <row r="57" spans="1:9" x14ac:dyDescent="0.25">
      <c r="A57" s="27"/>
      <c r="B57" s="27"/>
      <c r="C57" s="27"/>
      <c r="D57" s="27"/>
      <c r="E57" s="27"/>
      <c r="F57" s="27"/>
      <c r="G57" s="27" t="s">
        <v>786</v>
      </c>
      <c r="H57" s="27"/>
      <c r="I57" s="28">
        <v>10271.43</v>
      </c>
    </row>
    <row r="58" spans="1:9" x14ac:dyDescent="0.25">
      <c r="A58" s="27"/>
      <c r="B58" s="27"/>
      <c r="C58" s="27"/>
      <c r="D58" s="27"/>
      <c r="E58" s="27"/>
      <c r="F58" s="27"/>
      <c r="G58" s="27" t="s">
        <v>787</v>
      </c>
      <c r="H58" s="27"/>
      <c r="I58" s="28">
        <v>146674.85</v>
      </c>
    </row>
    <row r="59" spans="1:9" x14ac:dyDescent="0.25">
      <c r="A59" s="27"/>
      <c r="B59" s="27"/>
      <c r="C59" s="27"/>
      <c r="D59" s="27"/>
      <c r="E59" s="27"/>
      <c r="F59" s="27"/>
      <c r="G59" s="27" t="s">
        <v>788</v>
      </c>
      <c r="H59" s="27"/>
      <c r="I59" s="28">
        <v>3655.73</v>
      </c>
    </row>
    <row r="60" spans="1:9" ht="30" customHeight="1" thickBot="1" x14ac:dyDescent="0.3">
      <c r="A60" s="27"/>
      <c r="B60" s="27"/>
      <c r="C60" s="27"/>
      <c r="D60" s="27"/>
      <c r="E60" s="27"/>
      <c r="F60" s="27"/>
      <c r="G60" s="27" t="s">
        <v>789</v>
      </c>
      <c r="H60" s="27"/>
      <c r="I60" s="29">
        <v>20367.04</v>
      </c>
    </row>
    <row r="61" spans="1:9" x14ac:dyDescent="0.25">
      <c r="A61" s="27"/>
      <c r="B61" s="27"/>
      <c r="C61" s="27"/>
      <c r="D61" s="27"/>
      <c r="E61" s="27"/>
      <c r="F61" s="27" t="s">
        <v>790</v>
      </c>
      <c r="G61" s="27"/>
      <c r="H61" s="27"/>
      <c r="I61" s="28">
        <f>ROUND(I51+SUM(I55:I60),5)</f>
        <v>359090.15</v>
      </c>
    </row>
    <row r="62" spans="1:9" x14ac:dyDescent="0.25">
      <c r="A62" s="27"/>
      <c r="B62" s="27"/>
      <c r="C62" s="27"/>
      <c r="D62" s="27"/>
      <c r="E62" s="27"/>
      <c r="F62" s="27" t="s">
        <v>791</v>
      </c>
      <c r="G62" s="27"/>
      <c r="H62" s="27"/>
      <c r="I62" s="28"/>
    </row>
    <row r="63" spans="1:9" x14ac:dyDescent="0.25">
      <c r="A63" s="27"/>
      <c r="B63" s="27"/>
      <c r="C63" s="27"/>
      <c r="D63" s="27"/>
      <c r="E63" s="27"/>
      <c r="F63" s="27"/>
      <c r="G63" s="27" t="s">
        <v>792</v>
      </c>
      <c r="H63" s="27"/>
      <c r="I63" s="28">
        <v>42135.22</v>
      </c>
    </row>
    <row r="64" spans="1:9" x14ac:dyDescent="0.25">
      <c r="A64" s="27"/>
      <c r="B64" s="27"/>
      <c r="C64" s="27"/>
      <c r="D64" s="27"/>
      <c r="E64" s="27"/>
      <c r="F64" s="27"/>
      <c r="G64" s="27" t="s">
        <v>793</v>
      </c>
      <c r="H64" s="27"/>
      <c r="I64" s="28">
        <v>52597.38</v>
      </c>
    </row>
    <row r="65" spans="1:9" x14ac:dyDescent="0.25">
      <c r="A65" s="27"/>
      <c r="B65" s="27"/>
      <c r="C65" s="27"/>
      <c r="D65" s="27"/>
      <c r="E65" s="27"/>
      <c r="F65" s="27"/>
      <c r="G65" s="27" t="s">
        <v>794</v>
      </c>
      <c r="H65" s="27"/>
      <c r="I65" s="28">
        <v>165481.69</v>
      </c>
    </row>
    <row r="66" spans="1:9" ht="30" customHeight="1" x14ac:dyDescent="0.25">
      <c r="A66" s="27"/>
      <c r="B66" s="27"/>
      <c r="C66" s="27"/>
      <c r="D66" s="27"/>
      <c r="E66" s="27"/>
      <c r="F66" s="27"/>
      <c r="G66" s="27" t="s">
        <v>749</v>
      </c>
      <c r="H66" s="27"/>
      <c r="I66" s="28">
        <v>3016.67</v>
      </c>
    </row>
    <row r="67" spans="1:9" ht="15.75" thickBot="1" x14ac:dyDescent="0.3">
      <c r="A67" s="27"/>
      <c r="B67" s="27"/>
      <c r="C67" s="27"/>
      <c r="D67" s="27"/>
      <c r="E67" s="27"/>
      <c r="F67" s="27"/>
      <c r="G67" s="27" t="s">
        <v>795</v>
      </c>
      <c r="H67" s="27"/>
      <c r="I67" s="29">
        <v>149605.31</v>
      </c>
    </row>
    <row r="68" spans="1:9" x14ac:dyDescent="0.25">
      <c r="A68" s="27"/>
      <c r="B68" s="27"/>
      <c r="C68" s="27"/>
      <c r="D68" s="27"/>
      <c r="E68" s="27"/>
      <c r="F68" s="27" t="s">
        <v>796</v>
      </c>
      <c r="G68" s="27"/>
      <c r="H68" s="27"/>
      <c r="I68" s="28">
        <f>ROUND(SUM(I62:I67),5)</f>
        <v>412836.27</v>
      </c>
    </row>
    <row r="69" spans="1:9" x14ac:dyDescent="0.25">
      <c r="A69" s="27"/>
      <c r="B69" s="27"/>
      <c r="C69" s="27"/>
      <c r="D69" s="27"/>
      <c r="E69" s="27"/>
      <c r="F69" s="27" t="s">
        <v>797</v>
      </c>
      <c r="G69" s="27"/>
      <c r="H69" s="27"/>
      <c r="I69" s="28"/>
    </row>
    <row r="70" spans="1:9" x14ac:dyDescent="0.25">
      <c r="A70" s="27"/>
      <c r="B70" s="27"/>
      <c r="C70" s="27"/>
      <c r="D70" s="27"/>
      <c r="E70" s="27"/>
      <c r="F70" s="27"/>
      <c r="G70" s="27" t="s">
        <v>798</v>
      </c>
      <c r="H70" s="27"/>
      <c r="I70" s="28">
        <v>83525</v>
      </c>
    </row>
    <row r="71" spans="1:9" ht="15.75" thickBot="1" x14ac:dyDescent="0.3">
      <c r="A71" s="27"/>
      <c r="B71" s="27"/>
      <c r="C71" s="27"/>
      <c r="D71" s="27"/>
      <c r="E71" s="27"/>
      <c r="F71" s="27"/>
      <c r="G71" s="27" t="s">
        <v>799</v>
      </c>
      <c r="H71" s="27"/>
      <c r="I71" s="29">
        <v>15000</v>
      </c>
    </row>
    <row r="72" spans="1:9" ht="30" customHeight="1" x14ac:dyDescent="0.25">
      <c r="A72" s="27"/>
      <c r="B72" s="27"/>
      <c r="C72" s="27"/>
      <c r="D72" s="27"/>
      <c r="E72" s="27"/>
      <c r="F72" s="27" t="s">
        <v>800</v>
      </c>
      <c r="G72" s="27"/>
      <c r="H72" s="27"/>
      <c r="I72" s="28">
        <f>ROUND(SUM(I69:I71),5)</f>
        <v>98525</v>
      </c>
    </row>
    <row r="73" spans="1:9" x14ac:dyDescent="0.25">
      <c r="A73" s="27"/>
      <c r="B73" s="27"/>
      <c r="C73" s="27"/>
      <c r="D73" s="27"/>
      <c r="E73" s="27"/>
      <c r="F73" s="27" t="s">
        <v>801</v>
      </c>
      <c r="G73" s="27"/>
      <c r="H73" s="27"/>
      <c r="I73" s="28"/>
    </row>
    <row r="74" spans="1:9" x14ac:dyDescent="0.25">
      <c r="A74" s="27"/>
      <c r="B74" s="27"/>
      <c r="C74" s="27"/>
      <c r="D74" s="27"/>
      <c r="E74" s="27"/>
      <c r="F74" s="27"/>
      <c r="G74" s="27" t="s">
        <v>802</v>
      </c>
      <c r="H74" s="27"/>
      <c r="I74" s="28">
        <v>92039.95</v>
      </c>
    </row>
    <row r="75" spans="1:9" x14ac:dyDescent="0.25">
      <c r="A75" s="27"/>
      <c r="B75" s="27"/>
      <c r="C75" s="27"/>
      <c r="D75" s="27"/>
      <c r="E75" s="27"/>
      <c r="F75" s="27"/>
      <c r="G75" s="27" t="s">
        <v>803</v>
      </c>
      <c r="H75" s="27"/>
      <c r="I75" s="28">
        <v>24370</v>
      </c>
    </row>
    <row r="76" spans="1:9" x14ac:dyDescent="0.25">
      <c r="A76" s="27"/>
      <c r="B76" s="27"/>
      <c r="C76" s="27"/>
      <c r="D76" s="27"/>
      <c r="E76" s="27"/>
      <c r="F76" s="27"/>
      <c r="G76" s="27" t="s">
        <v>804</v>
      </c>
      <c r="H76" s="27"/>
      <c r="I76" s="28">
        <v>125000</v>
      </c>
    </row>
    <row r="77" spans="1:9" ht="15.75" thickBot="1" x14ac:dyDescent="0.3">
      <c r="A77" s="27"/>
      <c r="B77" s="27"/>
      <c r="C77" s="27"/>
      <c r="D77" s="27"/>
      <c r="E77" s="27"/>
      <c r="F77" s="27"/>
      <c r="G77" s="27" t="s">
        <v>805</v>
      </c>
      <c r="H77" s="27"/>
      <c r="I77" s="30">
        <v>21436.54</v>
      </c>
    </row>
    <row r="78" spans="1:9" ht="30" customHeight="1" thickBot="1" x14ac:dyDescent="0.3">
      <c r="A78" s="27"/>
      <c r="B78" s="27"/>
      <c r="C78" s="27"/>
      <c r="D78" s="27"/>
      <c r="E78" s="27"/>
      <c r="F78" s="27" t="s">
        <v>806</v>
      </c>
      <c r="G78" s="27"/>
      <c r="H78" s="27"/>
      <c r="I78" s="33">
        <f>ROUND(SUM(I73:I77),5)</f>
        <v>262846.49</v>
      </c>
    </row>
    <row r="79" spans="1:9" x14ac:dyDescent="0.25">
      <c r="A79" s="27"/>
      <c r="B79" s="27"/>
      <c r="C79" s="27"/>
      <c r="D79" s="27"/>
      <c r="E79" s="27" t="s">
        <v>807</v>
      </c>
      <c r="F79" s="27"/>
      <c r="G79" s="27"/>
      <c r="H79" s="27"/>
      <c r="I79" s="28">
        <f>ROUND(I14+I50+I61+I68+I72+I78,5)</f>
        <v>8531934.3100000005</v>
      </c>
    </row>
    <row r="80" spans="1:9" x14ac:dyDescent="0.25">
      <c r="A80" s="27"/>
      <c r="B80" s="27"/>
      <c r="C80" s="27"/>
      <c r="D80" s="27"/>
      <c r="E80" s="27" t="s">
        <v>808</v>
      </c>
      <c r="F80" s="27"/>
      <c r="G80" s="27"/>
      <c r="H80" s="27"/>
      <c r="I80" s="28"/>
    </row>
    <row r="81" spans="1:15" x14ac:dyDescent="0.25">
      <c r="A81" s="27"/>
      <c r="B81" s="27"/>
      <c r="C81" s="27"/>
      <c r="D81" s="27"/>
      <c r="E81" s="27"/>
      <c r="F81" s="27" t="s">
        <v>809</v>
      </c>
      <c r="G81" s="27"/>
      <c r="H81" s="27"/>
      <c r="I81" s="28">
        <v>60518.82</v>
      </c>
    </row>
    <row r="82" spans="1:15" ht="15.75" thickBot="1" x14ac:dyDescent="0.3">
      <c r="A82" s="27"/>
      <c r="B82" s="27"/>
      <c r="C82" s="27"/>
      <c r="D82" s="27"/>
      <c r="E82" s="27"/>
      <c r="F82" s="27" t="s">
        <v>810</v>
      </c>
      <c r="G82" s="27"/>
      <c r="H82" s="27"/>
      <c r="I82" s="30">
        <v>1327957.8799999999</v>
      </c>
    </row>
    <row r="83" spans="1:15" ht="15.75" thickBot="1" x14ac:dyDescent="0.3">
      <c r="A83" s="27"/>
      <c r="B83" s="27"/>
      <c r="C83" s="27"/>
      <c r="D83" s="27"/>
      <c r="E83" s="27" t="s">
        <v>811</v>
      </c>
      <c r="F83" s="27"/>
      <c r="G83" s="27"/>
      <c r="H83" s="27"/>
      <c r="I83" s="34">
        <f>ROUND(SUM(I80:I82),5)</f>
        <v>1388476.7</v>
      </c>
      <c r="J83" s="107">
        <f>+I83-'P3'!I83</f>
        <v>-230638.91000000015</v>
      </c>
    </row>
    <row r="84" spans="1:15" ht="30" customHeight="1" thickBot="1" x14ac:dyDescent="0.3">
      <c r="A84" s="27"/>
      <c r="B84" s="27"/>
      <c r="C84" s="27"/>
      <c r="D84" s="27" t="s">
        <v>357</v>
      </c>
      <c r="E84" s="27"/>
      <c r="F84" s="27"/>
      <c r="G84" s="27"/>
      <c r="H84" s="27"/>
      <c r="I84" s="34">
        <f>ROUND(I13+I79+I83,5)</f>
        <v>9920411.0099999998</v>
      </c>
    </row>
    <row r="85" spans="1:15" ht="30" customHeight="1" thickBot="1" x14ac:dyDescent="0.3">
      <c r="A85" s="27"/>
      <c r="B85" s="27" t="s">
        <v>358</v>
      </c>
      <c r="C85" s="27"/>
      <c r="D85" s="27"/>
      <c r="E85" s="27"/>
      <c r="F85" s="27"/>
      <c r="G85" s="27"/>
      <c r="H85" s="27"/>
      <c r="I85" s="34">
        <f>ROUND(I2+I12-I84,5)</f>
        <v>-903629.01</v>
      </c>
    </row>
    <row r="86" spans="1:15" ht="15.75" thickBot="1" x14ac:dyDescent="0.3">
      <c r="A86" s="27" t="s">
        <v>372</v>
      </c>
      <c r="B86" s="27"/>
      <c r="C86" s="27"/>
      <c r="D86" s="27"/>
      <c r="E86" s="27"/>
      <c r="F86" s="27"/>
      <c r="G86" s="27"/>
      <c r="H86" s="27"/>
      <c r="I86" s="35">
        <f>I85</f>
        <v>-903629.01</v>
      </c>
    </row>
    <row r="87" spans="1:15" ht="15.75" thickTop="1" x14ac:dyDescent="0.25"/>
    <row r="88" spans="1:15" ht="30" customHeight="1" x14ac:dyDescent="0.25"/>
    <row r="89" spans="1:15" s="104" customFormat="1" ht="30" customHeight="1" x14ac:dyDescent="0.25">
      <c r="A89" s="50"/>
      <c r="B89" s="50"/>
      <c r="C89" s="50"/>
      <c r="D89" s="50"/>
      <c r="E89" s="50"/>
      <c r="F89" s="50"/>
      <c r="G89" s="50"/>
      <c r="H89" s="50"/>
      <c r="I89" s="107"/>
      <c r="N89" s="23"/>
      <c r="O89" s="23"/>
    </row>
    <row r="194" spans="14:15" x14ac:dyDescent="0.25">
      <c r="N194" s="104"/>
      <c r="O194" s="104"/>
    </row>
    <row r="217" spans="14:15" x14ac:dyDescent="0.25">
      <c r="N217" s="102"/>
      <c r="O217" s="102"/>
    </row>
    <row r="223" spans="14:15" x14ac:dyDescent="0.25">
      <c r="N223" s="104"/>
      <c r="O223" s="10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2:N31"/>
  <sheetViews>
    <sheetView workbookViewId="0">
      <pane xSplit="1" topLeftCell="B1" activePane="topRight" state="frozen"/>
      <selection activeCell="A4" sqref="A4"/>
      <selection pane="topRight" activeCell="A22" sqref="A22"/>
    </sheetView>
  </sheetViews>
  <sheetFormatPr defaultRowHeight="15" x14ac:dyDescent="0.25"/>
  <cols>
    <col min="1" max="1" width="32" customWidth="1"/>
    <col min="2" max="2" width="6.140625" customWidth="1"/>
    <col min="3" max="3" width="5.85546875" customWidth="1"/>
    <col min="4" max="4" width="5.85546875" style="23" customWidth="1"/>
    <col min="5" max="5" width="13.28515625" bestFit="1" customWidth="1"/>
    <col min="6" max="11" width="13.28515625" style="23" customWidth="1"/>
    <col min="14" max="14" width="10.5703125" customWidth="1"/>
  </cols>
  <sheetData>
    <row r="2" spans="1:14" ht="23.25" x14ac:dyDescent="0.35">
      <c r="A2" s="37" t="s">
        <v>476</v>
      </c>
      <c r="B2" s="23"/>
      <c r="C2" s="23"/>
    </row>
    <row r="3" spans="1:14" ht="18.75" x14ac:dyDescent="0.3">
      <c r="A3" s="203" t="s">
        <v>615</v>
      </c>
      <c r="B3" s="23"/>
      <c r="C3" s="23"/>
    </row>
    <row r="4" spans="1:14" ht="26.25" x14ac:dyDescent="0.25">
      <c r="A4" s="5"/>
      <c r="B4" s="110">
        <v>2013</v>
      </c>
      <c r="C4" s="113">
        <v>2014</v>
      </c>
      <c r="D4" s="191" t="s">
        <v>617</v>
      </c>
      <c r="E4" s="124" t="s">
        <v>477</v>
      </c>
      <c r="F4" s="125"/>
      <c r="G4" s="125"/>
      <c r="H4" s="125"/>
      <c r="I4" s="125"/>
      <c r="J4" s="125"/>
      <c r="K4" s="125"/>
      <c r="L4" s="113"/>
      <c r="M4" s="200">
        <v>2015</v>
      </c>
      <c r="N4" s="243">
        <v>2015</v>
      </c>
    </row>
    <row r="5" spans="1:14" x14ac:dyDescent="0.25">
      <c r="A5" s="19"/>
      <c r="B5" s="112" t="s">
        <v>5</v>
      </c>
      <c r="C5" s="112" t="s">
        <v>5</v>
      </c>
      <c r="D5" s="112"/>
      <c r="E5" s="112"/>
      <c r="F5" s="112"/>
      <c r="G5" s="112"/>
      <c r="H5" s="112"/>
      <c r="I5" s="112"/>
      <c r="J5" s="112"/>
      <c r="K5" s="112"/>
      <c r="L5" s="112"/>
      <c r="M5" s="200" t="s">
        <v>478</v>
      </c>
      <c r="N5" s="243" t="s">
        <v>30</v>
      </c>
    </row>
    <row r="6" spans="1:14" x14ac:dyDescent="0.25">
      <c r="A6" s="20" t="s">
        <v>6</v>
      </c>
      <c r="B6" s="120">
        <f>SUM('Summary Update 27.1.14'!E8/1000)</f>
        <v>1857.2744767667368</v>
      </c>
      <c r="C6" s="114">
        <v>1750</v>
      </c>
      <c r="D6" s="114"/>
      <c r="E6" s="114">
        <f>SUM('TFI - Jan 2nd to 29th -  QB '!J25)/130000</f>
        <v>104.15806953846153</v>
      </c>
      <c r="F6" s="114"/>
      <c r="G6" s="114"/>
      <c r="H6" s="114"/>
      <c r="I6" s="114"/>
      <c r="J6" s="114"/>
      <c r="K6" s="114"/>
      <c r="L6" s="114"/>
      <c r="M6" s="114">
        <f>SUM(E6:L6)</f>
        <v>104.15806953846153</v>
      </c>
      <c r="N6" s="242">
        <v>2058</v>
      </c>
    </row>
    <row r="7" spans="1:14" x14ac:dyDescent="0.25">
      <c r="A7" s="20"/>
      <c r="B7" s="120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2"/>
    </row>
    <row r="8" spans="1:14" x14ac:dyDescent="0.25">
      <c r="A8" s="20" t="s">
        <v>27</v>
      </c>
      <c r="B8" s="114">
        <f>SUM('Summary Update 27.1.14'!E10/1000)</f>
        <v>430.09818904662171</v>
      </c>
      <c r="C8" s="114">
        <v>352</v>
      </c>
      <c r="D8" s="114"/>
      <c r="E8" s="114">
        <f>SUM('TFI - Jan 2nd to 29th -  QB '!J60-'TFI - Jan 2nd to 29th -  QB '!J55-'TFI - Jan 2nd to 29th -  QB '!J47)/130/1000</f>
        <v>34.844474000000005</v>
      </c>
      <c r="F8" s="114"/>
      <c r="G8" s="114"/>
      <c r="H8" s="114"/>
      <c r="I8" s="114"/>
      <c r="J8" s="114"/>
      <c r="K8" s="114"/>
      <c r="L8" s="114"/>
      <c r="M8" s="114">
        <f t="shared" ref="M8:M25" si="0">SUM(E8:L8)</f>
        <v>34.844474000000005</v>
      </c>
      <c r="N8" s="112">
        <v>535</v>
      </c>
    </row>
    <row r="9" spans="1:14" x14ac:dyDescent="0.25">
      <c r="A9" s="20" t="s">
        <v>28</v>
      </c>
      <c r="B9" s="116">
        <f t="shared" ref="B9" si="1">SUM(B8/B6)</f>
        <v>0.23157492036145588</v>
      </c>
      <c r="C9" s="116">
        <v>0.2</v>
      </c>
      <c r="D9" s="116"/>
      <c r="E9" s="116">
        <f>E8/$E$6</f>
        <v>0.3345345603504421</v>
      </c>
      <c r="F9" s="116"/>
      <c r="G9" s="116"/>
      <c r="H9" s="116"/>
      <c r="I9" s="116"/>
      <c r="J9" s="116"/>
      <c r="K9" s="116"/>
      <c r="L9" s="116"/>
      <c r="M9" s="116">
        <f t="shared" ref="M9" si="2">M8/$E$6</f>
        <v>0.3345345603504421</v>
      </c>
      <c r="N9" s="117">
        <v>0.26</v>
      </c>
    </row>
    <row r="10" spans="1:14" x14ac:dyDescent="0.25">
      <c r="A10" s="20" t="s">
        <v>31</v>
      </c>
      <c r="B10" s="114">
        <f>SUM('Summary Update 27.1.14'!E12)/1000</f>
        <v>400.27859716080991</v>
      </c>
      <c r="C10" s="114">
        <v>408</v>
      </c>
      <c r="D10" s="114"/>
      <c r="E10" s="114">
        <f>SUM('TFI - Jan 2nd to 29th -  QB '!J47/130/1000)</f>
        <v>28.284276923076924</v>
      </c>
      <c r="F10" s="114"/>
      <c r="G10" s="114"/>
      <c r="H10" s="114"/>
      <c r="I10" s="114"/>
      <c r="J10" s="114"/>
      <c r="K10" s="114"/>
      <c r="L10" s="114"/>
      <c r="M10" s="114">
        <f t="shared" si="0"/>
        <v>28.284276923076924</v>
      </c>
      <c r="N10" s="112">
        <v>617</v>
      </c>
    </row>
    <row r="11" spans="1:14" x14ac:dyDescent="0.25">
      <c r="A11" s="20" t="s">
        <v>0</v>
      </c>
      <c r="B11" s="116">
        <f t="shared" ref="B11" si="3">SUM(B10/B6)</f>
        <v>0.2155193549300482</v>
      </c>
      <c r="C11" s="116">
        <v>0.23</v>
      </c>
      <c r="D11" s="116"/>
      <c r="E11" s="116">
        <f>E10/$E$6</f>
        <v>0.27155147026445836</v>
      </c>
      <c r="F11" s="116"/>
      <c r="G11" s="116"/>
      <c r="H11" s="116"/>
      <c r="I11" s="116"/>
      <c r="J11" s="116"/>
      <c r="K11" s="116"/>
      <c r="L11" s="116"/>
      <c r="M11" s="116">
        <f t="shared" ref="M11" si="4">M10/$E$6</f>
        <v>0.27155147026445836</v>
      </c>
      <c r="N11" s="117">
        <v>0.3</v>
      </c>
    </row>
    <row r="12" spans="1:14" x14ac:dyDescent="0.25">
      <c r="A12" s="20" t="s">
        <v>32</v>
      </c>
      <c r="B12" s="121">
        <f t="shared" ref="B12" si="5">SUM(B8+B10)</f>
        <v>830.37678620743168</v>
      </c>
      <c r="C12" s="114">
        <v>760</v>
      </c>
      <c r="D12" s="114"/>
      <c r="E12" s="140">
        <f>SUM(E8+E10)</f>
        <v>63.128750923076929</v>
      </c>
      <c r="F12" s="114"/>
      <c r="G12" s="114"/>
      <c r="H12" s="114"/>
      <c r="I12" s="114"/>
      <c r="J12" s="114"/>
      <c r="K12" s="114"/>
      <c r="L12" s="114"/>
      <c r="M12" s="114">
        <f t="shared" si="0"/>
        <v>63.128750923076929</v>
      </c>
      <c r="N12" s="115">
        <v>1152</v>
      </c>
    </row>
    <row r="13" spans="1:14" x14ac:dyDescent="0.25">
      <c r="A13" s="20" t="s">
        <v>29</v>
      </c>
      <c r="B13" s="116">
        <f t="shared" ref="B13" si="6">SUM(B12/B6)</f>
        <v>0.44709427529150408</v>
      </c>
      <c r="C13" s="116">
        <v>0.43</v>
      </c>
      <c r="D13" s="116"/>
      <c r="E13" s="116">
        <f>E12/$E$6</f>
        <v>0.60608603061490052</v>
      </c>
      <c r="F13" s="116"/>
      <c r="G13" s="116"/>
      <c r="H13" s="116"/>
      <c r="I13" s="116"/>
      <c r="J13" s="116"/>
      <c r="K13" s="116"/>
      <c r="L13" s="116"/>
      <c r="M13" s="116">
        <f t="shared" ref="M13" si="7">M12/$E$6</f>
        <v>0.60608603061490052</v>
      </c>
      <c r="N13" s="117">
        <v>0.56000000000000005</v>
      </c>
    </row>
    <row r="14" spans="1:14" x14ac:dyDescent="0.25">
      <c r="A14" s="20"/>
      <c r="B14" s="122"/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2"/>
    </row>
    <row r="15" spans="1:14" x14ac:dyDescent="0.25">
      <c r="A15" s="20" t="s">
        <v>10</v>
      </c>
      <c r="B15" s="114">
        <f>SUM('Summary Update 27.1.14'!E17/1000)</f>
        <v>63.090415561244278</v>
      </c>
      <c r="C15" s="114">
        <v>79</v>
      </c>
      <c r="D15" s="114"/>
      <c r="E15" s="114">
        <f>SUM('TFI - Jan 2nd to 29th -  QB '!J55+'TFI - Jan 2nd to 29th -  QB '!J68)/130/1000</f>
        <v>6.6091837692307687</v>
      </c>
      <c r="F15" s="114"/>
      <c r="G15" s="114"/>
      <c r="H15" s="114"/>
      <c r="I15" s="114"/>
      <c r="J15" s="114"/>
      <c r="K15" s="114"/>
      <c r="L15" s="114"/>
      <c r="M15" s="114">
        <f t="shared" si="0"/>
        <v>6.6091837692307687</v>
      </c>
      <c r="N15" s="112">
        <v>82</v>
      </c>
    </row>
    <row r="16" spans="1:14" x14ac:dyDescent="0.25">
      <c r="A16" s="20" t="s">
        <v>1</v>
      </c>
      <c r="B16" s="118">
        <f t="shared" ref="B16" si="8">SUM(B15/B6)</f>
        <v>3.3969354745603426E-2</v>
      </c>
      <c r="C16" s="118">
        <v>4.4900000000000002E-2</v>
      </c>
      <c r="D16" s="118"/>
      <c r="E16" s="116">
        <f>E15/$E$6</f>
        <v>6.3453401148052702E-2</v>
      </c>
      <c r="F16" s="116"/>
      <c r="G16" s="116"/>
      <c r="H16" s="116"/>
      <c r="I16" s="116"/>
      <c r="J16" s="116"/>
      <c r="K16" s="116"/>
      <c r="L16" s="116"/>
      <c r="M16" s="116">
        <f t="shared" ref="M16" si="9">M15/$E$6</f>
        <v>6.3453401148052702E-2</v>
      </c>
      <c r="N16" s="117">
        <v>0.04</v>
      </c>
    </row>
    <row r="17" spans="1:14" x14ac:dyDescent="0.25">
      <c r="A17" s="20" t="s">
        <v>11</v>
      </c>
      <c r="B17" s="114">
        <f>SUM('Summary Update 27.1.14'!E19/1000)</f>
        <v>327.11948933364368</v>
      </c>
      <c r="C17" s="114">
        <v>348</v>
      </c>
      <c r="D17" s="202" t="s">
        <v>619</v>
      </c>
      <c r="E17" s="201" t="e">
        <f>SUM('TFI - Jan 2nd to 29th -  QB '!M17)/130/1000</f>
        <v>#REF!</v>
      </c>
      <c r="F17" s="114"/>
      <c r="G17" s="114"/>
      <c r="H17" s="114"/>
      <c r="I17" s="114"/>
      <c r="J17" s="114"/>
      <c r="K17" s="114"/>
      <c r="L17" s="114"/>
      <c r="M17" s="114" t="e">
        <f t="shared" si="0"/>
        <v>#REF!</v>
      </c>
      <c r="N17" s="112">
        <v>28</v>
      </c>
    </row>
    <row r="18" spans="1:14" x14ac:dyDescent="0.25">
      <c r="A18" s="20" t="s">
        <v>2</v>
      </c>
      <c r="B18" s="116">
        <f t="shared" ref="B18" si="10">SUM(B17/B6)</f>
        <v>0.17612878086986603</v>
      </c>
      <c r="C18" s="118">
        <v>0.1991</v>
      </c>
      <c r="D18" s="118"/>
      <c r="E18" s="116" t="e">
        <f>E17/$E$6</f>
        <v>#REF!</v>
      </c>
      <c r="F18" s="116"/>
      <c r="G18" s="116"/>
      <c r="H18" s="116"/>
      <c r="I18" s="116"/>
      <c r="J18" s="116"/>
      <c r="K18" s="116"/>
      <c r="L18" s="116"/>
      <c r="M18" s="116" t="e">
        <f t="shared" ref="M18" si="11">M17/$E$6</f>
        <v>#REF!</v>
      </c>
      <c r="N18" s="119">
        <v>1.4E-2</v>
      </c>
    </row>
    <row r="19" spans="1:14" x14ac:dyDescent="0.25">
      <c r="A19" s="20" t="s">
        <v>33</v>
      </c>
      <c r="B19" s="121">
        <f t="shared" ref="B19" si="12">SUM(B15+B17)</f>
        <v>390.20990489488798</v>
      </c>
      <c r="C19" s="114">
        <v>427</v>
      </c>
      <c r="D19" s="114"/>
      <c r="E19" s="140" t="e">
        <f>SUM(E15+E17)</f>
        <v>#REF!</v>
      </c>
      <c r="F19" s="114"/>
      <c r="G19" s="114"/>
      <c r="H19" s="114"/>
      <c r="I19" s="114"/>
      <c r="J19" s="114"/>
      <c r="K19" s="114"/>
      <c r="L19" s="114"/>
      <c r="M19" s="114" t="e">
        <f t="shared" si="0"/>
        <v>#REF!</v>
      </c>
      <c r="N19" s="112">
        <v>110</v>
      </c>
    </row>
    <row r="20" spans="1:14" x14ac:dyDescent="0.25">
      <c r="A20" s="20" t="s">
        <v>3</v>
      </c>
      <c r="B20" s="116">
        <f t="shared" ref="B20" si="13">SUM(B19/B6)</f>
        <v>0.21009813561546947</v>
      </c>
      <c r="C20" s="118">
        <v>0.24399999999999999</v>
      </c>
      <c r="D20" s="118"/>
      <c r="E20" s="116" t="e">
        <f>E19/$E$6</f>
        <v>#REF!</v>
      </c>
      <c r="F20" s="116"/>
      <c r="G20" s="116"/>
      <c r="H20" s="116"/>
      <c r="I20" s="116"/>
      <c r="J20" s="116"/>
      <c r="K20" s="116"/>
      <c r="L20" s="116"/>
      <c r="M20" s="116" t="e">
        <f t="shared" ref="M20" si="14">M19/$E$6</f>
        <v>#REF!</v>
      </c>
      <c r="N20" s="119">
        <v>5.2999999999999999E-2</v>
      </c>
    </row>
    <row r="21" spans="1:14" x14ac:dyDescent="0.25">
      <c r="A21" s="20"/>
      <c r="B21" s="122"/>
      <c r="C21" s="114"/>
      <c r="D21" s="114"/>
      <c r="E21" s="114"/>
      <c r="F21" s="114"/>
      <c r="G21" s="114"/>
      <c r="H21" s="114"/>
      <c r="I21" s="114"/>
      <c r="J21" s="114"/>
      <c r="K21" s="114"/>
      <c r="L21" s="114"/>
      <c r="M21" s="114"/>
      <c r="N21" s="112"/>
    </row>
    <row r="22" spans="1:14" x14ac:dyDescent="0.25">
      <c r="A22" s="20" t="s">
        <v>4</v>
      </c>
      <c r="B22" s="114">
        <f>SUM('Summary Update 27.1.14'!E24/1000)</f>
        <v>331.57862857807766</v>
      </c>
      <c r="C22" s="114">
        <v>263</v>
      </c>
      <c r="D22" s="202" t="s">
        <v>620</v>
      </c>
      <c r="E22" s="201">
        <f>SUM('TFI - Jan 2nd to 29th -  QB '!M34)/130/1000</f>
        <v>8.3401962076923084</v>
      </c>
      <c r="F22" s="114"/>
      <c r="G22" s="114"/>
      <c r="H22" s="114"/>
      <c r="I22" s="114"/>
      <c r="J22" s="114"/>
      <c r="K22" s="114"/>
      <c r="L22" s="114"/>
      <c r="M22" s="114">
        <f t="shared" si="0"/>
        <v>8.3401962076923084</v>
      </c>
      <c r="N22" s="112">
        <v>200</v>
      </c>
    </row>
    <row r="23" spans="1:14" x14ac:dyDescent="0.25">
      <c r="A23" s="20" t="s">
        <v>7</v>
      </c>
      <c r="B23" s="116">
        <f t="shared" ref="B23" si="15">SUM(B22/B6)</f>
        <v>0.17852968569045924</v>
      </c>
      <c r="C23" s="116">
        <v>0.15</v>
      </c>
      <c r="D23" s="116"/>
      <c r="E23" s="116">
        <f>E22/$E$6</f>
        <v>8.0072492171262805E-2</v>
      </c>
      <c r="F23" s="116"/>
      <c r="G23" s="116"/>
      <c r="H23" s="116"/>
      <c r="I23" s="116"/>
      <c r="J23" s="116"/>
      <c r="K23" s="116"/>
      <c r="L23" s="116"/>
      <c r="M23" s="116">
        <f t="shared" ref="M23" si="16">M22/$E$6</f>
        <v>8.0072492171262805E-2</v>
      </c>
      <c r="N23" s="119">
        <v>9.7000000000000003E-2</v>
      </c>
    </row>
    <row r="24" spans="1:14" x14ac:dyDescent="0.25">
      <c r="A24" s="20"/>
      <c r="B24" s="122"/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2"/>
    </row>
    <row r="25" spans="1:14" x14ac:dyDescent="0.25">
      <c r="A25" s="20" t="s">
        <v>8</v>
      </c>
      <c r="B25" s="114">
        <f>SUM('Summary Update 27.1.14'!E27/1000)</f>
        <v>305.10204134667595</v>
      </c>
      <c r="C25" s="114">
        <v>305</v>
      </c>
      <c r="D25" s="114"/>
      <c r="E25" s="114" t="e">
        <f>SUM('TFI - Jan 2nd to 29th -  QB '!J61-'TFI - Jan 2nd to 29th -  QB '!M17-'TFI - Jan 2nd to 29th -  QB '!M34+'TFI - Jan 2nd to 29th -  QB '!J234)/130/1000</f>
        <v>#REF!</v>
      </c>
      <c r="F25" s="114"/>
      <c r="G25" s="114"/>
      <c r="H25" s="114"/>
      <c r="I25" s="114"/>
      <c r="J25" s="114"/>
      <c r="K25" s="114"/>
      <c r="L25" s="114"/>
      <c r="M25" s="114" t="e">
        <f t="shared" si="0"/>
        <v>#REF!</v>
      </c>
      <c r="N25" s="112">
        <v>596</v>
      </c>
    </row>
    <row r="26" spans="1:14" x14ac:dyDescent="0.25">
      <c r="A26" s="20" t="s">
        <v>9</v>
      </c>
      <c r="B26" s="116">
        <f t="shared" ref="B26" si="17">SUM(B25/B6)</f>
        <v>0.16427407212197156</v>
      </c>
      <c r="C26" s="116">
        <v>0.17</v>
      </c>
      <c r="D26" s="116"/>
      <c r="E26" s="116" t="e">
        <f>E25/$E$6</f>
        <v>#REF!</v>
      </c>
      <c r="F26" s="116"/>
      <c r="G26" s="116"/>
      <c r="H26" s="116"/>
      <c r="I26" s="116"/>
      <c r="J26" s="116"/>
      <c r="K26" s="116"/>
      <c r="L26" s="116"/>
      <c r="M26" s="116" t="e">
        <f t="shared" ref="M26" si="18">M25/$E$6</f>
        <v>#REF!</v>
      </c>
      <c r="N26" s="117">
        <v>0.28999999999999998</v>
      </c>
    </row>
    <row r="27" spans="1:14" x14ac:dyDescent="0.25">
      <c r="A27" s="23"/>
      <c r="E27" s="84" t="e">
        <f>SUM(E6-E12-E19-E22)</f>
        <v>#REF!</v>
      </c>
    </row>
    <row r="28" spans="1:14" x14ac:dyDescent="0.25">
      <c r="A28" s="23"/>
      <c r="B28" s="108"/>
    </row>
    <row r="29" spans="1:14" x14ac:dyDescent="0.25">
      <c r="A29" s="23"/>
      <c r="B29" s="108"/>
    </row>
    <row r="31" spans="1:14" x14ac:dyDescent="0.25">
      <c r="A31" s="23"/>
      <c r="B31" s="109"/>
    </row>
  </sheetData>
  <pageMargins left="0.7" right="0.7" top="0.75" bottom="0.75" header="0.3" footer="0.3"/>
  <pageSetup orientation="landscape" horizontalDpi="4294967292" verticalDpi="0" r:id="rId1"/>
  <ignoredErrors>
    <ignoredError sqref="M8 M22 M25" formulaRange="1"/>
    <ignoredError sqref="M17 M15 M12 M10 M19" formula="1" formulaRange="1"/>
    <ignoredError sqref="M9 M11 M13:M14 M16 M18 E10:E16 M20:N20 N19" formula="1"/>
    <ignoredError sqref="E17:E21" numberStoredAsText="1" formula="1"/>
    <ignoredError sqref="D17 D22:E23 D18:D21" numberStoredAsText="1"/>
  </ignoredErrors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theme="3" tint="0.39997558519241921"/>
  </sheetPr>
  <dimension ref="A1:AF244"/>
  <sheetViews>
    <sheetView workbookViewId="0">
      <selection activeCell="M17" sqref="M17"/>
    </sheetView>
  </sheetViews>
  <sheetFormatPr defaultRowHeight="15" x14ac:dyDescent="0.25"/>
  <cols>
    <col min="1" max="8" width="3" style="50" customWidth="1"/>
    <col min="9" max="9" width="38.140625" style="50" customWidth="1"/>
    <col min="10" max="10" width="11.7109375" style="26" bestFit="1" customWidth="1"/>
    <col min="11" max="11" width="10.5703125" style="23" bestFit="1" customWidth="1"/>
    <col min="12" max="12" width="35" style="23" bestFit="1" customWidth="1"/>
    <col min="13" max="13" width="12.5703125" style="23" customWidth="1"/>
    <col min="14" max="14" width="16.5703125" style="23" customWidth="1"/>
    <col min="15" max="15" width="59.42578125" style="23" customWidth="1"/>
    <col min="16" max="31" width="9.140625" style="47"/>
    <col min="32" max="16384" width="9.140625" style="23"/>
  </cols>
  <sheetData>
    <row r="1" spans="1:32" ht="18.75" x14ac:dyDescent="0.3">
      <c r="A1" s="203" t="s">
        <v>615</v>
      </c>
      <c r="B1" s="204"/>
      <c r="C1" s="204"/>
      <c r="D1" s="204"/>
      <c r="E1" s="204"/>
      <c r="F1" s="204"/>
      <c r="G1" s="204"/>
      <c r="H1" s="204"/>
      <c r="I1" s="204"/>
    </row>
    <row r="2" spans="1:32" s="102" customFormat="1" ht="30.75" thickBot="1" x14ac:dyDescent="0.3">
      <c r="A2" s="31"/>
      <c r="B2" s="31"/>
      <c r="C2" s="31"/>
      <c r="D2" s="31"/>
      <c r="E2" s="31"/>
      <c r="F2" s="31"/>
      <c r="G2" s="31"/>
      <c r="H2" s="31"/>
      <c r="I2" s="31"/>
      <c r="J2" s="32" t="s">
        <v>479</v>
      </c>
      <c r="L2" s="226" t="s">
        <v>622</v>
      </c>
      <c r="M2" s="227" t="s">
        <v>621</v>
      </c>
      <c r="N2" s="228" t="s">
        <v>666</v>
      </c>
      <c r="O2" s="227" t="s">
        <v>624</v>
      </c>
      <c r="P2" s="189"/>
      <c r="Q2" s="189"/>
      <c r="R2" s="189"/>
      <c r="S2" s="189"/>
      <c r="T2" s="189"/>
      <c r="U2" s="189"/>
      <c r="V2" s="189"/>
      <c r="W2" s="189"/>
      <c r="X2" s="189"/>
      <c r="Y2" s="189"/>
      <c r="Z2" s="189"/>
      <c r="AA2" s="189"/>
      <c r="AB2" s="189"/>
      <c r="AC2" s="189"/>
      <c r="AD2" s="189"/>
    </row>
    <row r="3" spans="1:32" ht="15.75" thickTop="1" x14ac:dyDescent="0.25">
      <c r="A3" s="27"/>
      <c r="B3" s="27" t="s">
        <v>53</v>
      </c>
      <c r="C3" s="27"/>
      <c r="D3" s="27"/>
      <c r="E3" s="27"/>
      <c r="F3" s="27"/>
      <c r="G3" s="27"/>
      <c r="H3" s="27"/>
      <c r="I3" s="27"/>
      <c r="J3" s="28"/>
      <c r="L3" s="164" t="s">
        <v>505</v>
      </c>
      <c r="M3" s="233">
        <f>J83</f>
        <v>429328.51</v>
      </c>
      <c r="N3" s="164"/>
      <c r="O3" s="164" t="s">
        <v>671</v>
      </c>
      <c r="AE3" s="23"/>
    </row>
    <row r="4" spans="1:32" x14ac:dyDescent="0.25">
      <c r="A4" s="27"/>
      <c r="B4" s="27"/>
      <c r="C4" s="27"/>
      <c r="D4" s="27" t="s">
        <v>54</v>
      </c>
      <c r="E4" s="27"/>
      <c r="F4" s="27"/>
      <c r="G4" s="27"/>
      <c r="H4" s="27"/>
      <c r="I4" s="27"/>
      <c r="J4" s="28"/>
      <c r="L4" s="164" t="s">
        <v>506</v>
      </c>
      <c r="M4" s="233">
        <f>J116</f>
        <v>152250</v>
      </c>
      <c r="N4" s="164"/>
      <c r="O4" s="164" t="s">
        <v>671</v>
      </c>
      <c r="AE4" s="23"/>
    </row>
    <row r="5" spans="1:32" x14ac:dyDescent="0.25">
      <c r="A5" s="27"/>
      <c r="B5" s="27"/>
      <c r="C5" s="27"/>
      <c r="D5" s="27"/>
      <c r="E5" s="27" t="s">
        <v>55</v>
      </c>
      <c r="F5" s="27"/>
      <c r="G5" s="27"/>
      <c r="H5" s="27"/>
      <c r="I5" s="27"/>
      <c r="J5" s="28"/>
      <c r="L5" s="164" t="s">
        <v>507</v>
      </c>
      <c r="M5" s="233">
        <f>J143</f>
        <v>40000</v>
      </c>
      <c r="N5" s="164"/>
      <c r="O5" s="164" t="s">
        <v>671</v>
      </c>
      <c r="AE5" s="23"/>
    </row>
    <row r="6" spans="1:32" x14ac:dyDescent="0.25">
      <c r="A6" s="27"/>
      <c r="B6" s="27"/>
      <c r="C6" s="27"/>
      <c r="D6" s="27"/>
      <c r="E6" s="27"/>
      <c r="F6" s="27" t="s">
        <v>56</v>
      </c>
      <c r="G6" s="27"/>
      <c r="H6" s="27"/>
      <c r="I6" s="27"/>
      <c r="J6" s="28">
        <v>7070544</v>
      </c>
      <c r="L6" s="164" t="s">
        <v>508</v>
      </c>
      <c r="M6" s="233">
        <f>J163</f>
        <v>69750.8</v>
      </c>
      <c r="N6" s="164"/>
      <c r="O6" s="164" t="s">
        <v>671</v>
      </c>
      <c r="AE6" s="23"/>
    </row>
    <row r="7" spans="1:32" x14ac:dyDescent="0.25">
      <c r="A7" s="27"/>
      <c r="B7" s="27"/>
      <c r="C7" s="27"/>
      <c r="D7" s="27"/>
      <c r="E7" s="27"/>
      <c r="F7" s="27" t="s">
        <v>57</v>
      </c>
      <c r="G7" s="27"/>
      <c r="H7" s="27"/>
      <c r="I7" s="27"/>
      <c r="J7" s="28">
        <v>762423</v>
      </c>
      <c r="L7" s="164" t="s">
        <v>509</v>
      </c>
      <c r="M7" s="233">
        <f>J188</f>
        <v>103500</v>
      </c>
      <c r="N7" s="164"/>
      <c r="O7" s="164" t="s">
        <v>671</v>
      </c>
      <c r="AE7" s="23"/>
    </row>
    <row r="8" spans="1:32" ht="43.5" customHeight="1" x14ac:dyDescent="0.25">
      <c r="A8" s="27"/>
      <c r="B8" s="27"/>
      <c r="C8" s="27"/>
      <c r="D8" s="27"/>
      <c r="E8" s="27"/>
      <c r="F8" s="27" t="s">
        <v>58</v>
      </c>
      <c r="G8" s="27"/>
      <c r="H8" s="27"/>
      <c r="I8" s="27"/>
      <c r="J8" s="28">
        <v>1006439</v>
      </c>
      <c r="L8" s="185" t="s">
        <v>618</v>
      </c>
      <c r="M8" s="234">
        <v>101080</v>
      </c>
      <c r="N8" s="164"/>
      <c r="O8" s="188" t="s">
        <v>632</v>
      </c>
      <c r="P8" s="230"/>
      <c r="Q8" s="230"/>
      <c r="R8" s="230"/>
      <c r="S8" s="230"/>
      <c r="T8" s="163"/>
      <c r="U8" s="163"/>
      <c r="V8" s="163"/>
      <c r="W8" s="163"/>
      <c r="X8" s="163"/>
      <c r="AE8" s="23"/>
    </row>
    <row r="9" spans="1:32" x14ac:dyDescent="0.25">
      <c r="A9" s="27"/>
      <c r="B9" s="27"/>
      <c r="C9" s="27"/>
      <c r="D9" s="27"/>
      <c r="E9" s="27"/>
      <c r="F9" s="27" t="s">
        <v>59</v>
      </c>
      <c r="G9" s="27"/>
      <c r="H9" s="27"/>
      <c r="I9" s="27"/>
      <c r="J9" s="28">
        <v>284947</v>
      </c>
      <c r="L9" s="237" t="s">
        <v>672</v>
      </c>
      <c r="M9" s="164"/>
      <c r="N9" s="164"/>
      <c r="O9" s="164"/>
    </row>
    <row r="10" spans="1:32" x14ac:dyDescent="0.25">
      <c r="A10" s="27"/>
      <c r="B10" s="27"/>
      <c r="C10" s="27"/>
      <c r="D10" s="27"/>
      <c r="E10" s="27"/>
      <c r="F10" s="27" t="s">
        <v>60</v>
      </c>
      <c r="G10" s="27"/>
      <c r="H10" s="27"/>
      <c r="I10" s="27"/>
      <c r="J10" s="28">
        <v>4081996</v>
      </c>
      <c r="L10" s="194" t="s">
        <v>654</v>
      </c>
      <c r="M10" s="234" t="e">
        <f>#REF!*N10</f>
        <v>#REF!</v>
      </c>
      <c r="N10" s="195">
        <f>'Appportionment Basis-Common cos'!B5</f>
        <v>0.5</v>
      </c>
      <c r="O10" s="164"/>
    </row>
    <row r="11" spans="1:32" x14ac:dyDescent="0.25">
      <c r="A11" s="27"/>
      <c r="B11" s="27"/>
      <c r="C11" s="27"/>
      <c r="D11" s="27"/>
      <c r="E11" s="27"/>
      <c r="F11" s="27" t="s">
        <v>61</v>
      </c>
      <c r="G11" s="27"/>
      <c r="H11" s="27"/>
      <c r="I11" s="27"/>
      <c r="J11" s="28">
        <v>363434</v>
      </c>
      <c r="L11" s="194" t="s">
        <v>655</v>
      </c>
      <c r="M11" s="234" t="e">
        <f>#REF!*N11</f>
        <v>#REF!</v>
      </c>
      <c r="N11" s="195">
        <f>'Appportionment Basis-Common cos'!C5</f>
        <v>0.3</v>
      </c>
      <c r="O11" s="164"/>
    </row>
    <row r="12" spans="1:32" x14ac:dyDescent="0.25">
      <c r="A12" s="27"/>
      <c r="B12" s="27"/>
      <c r="C12" s="27"/>
      <c r="D12" s="27"/>
      <c r="E12" s="27"/>
      <c r="F12" s="27" t="s">
        <v>62</v>
      </c>
      <c r="G12" s="27"/>
      <c r="H12" s="27"/>
      <c r="I12" s="27"/>
      <c r="J12" s="28"/>
      <c r="L12" s="194" t="s">
        <v>656</v>
      </c>
      <c r="M12" s="234" t="e">
        <f>#REF!*N12</f>
        <v>#REF!</v>
      </c>
      <c r="N12" s="195">
        <f>'Appportionment Basis-Common cos'!D5</f>
        <v>0.45</v>
      </c>
      <c r="O12" s="164"/>
    </row>
    <row r="13" spans="1:32" x14ac:dyDescent="0.25">
      <c r="A13" s="27"/>
      <c r="B13" s="27"/>
      <c r="C13" s="27"/>
      <c r="D13" s="27"/>
      <c r="E13" s="27"/>
      <c r="F13" s="27"/>
      <c r="G13" s="27" t="s">
        <v>63</v>
      </c>
      <c r="H13" s="27"/>
      <c r="I13" s="27"/>
      <c r="J13" s="28">
        <v>18875</v>
      </c>
      <c r="L13" s="194" t="s">
        <v>657</v>
      </c>
      <c r="M13" s="234" t="e">
        <f>#REF!*N13</f>
        <v>#REF!</v>
      </c>
      <c r="N13" s="195">
        <f>'Appportionment Basis-Common cos'!E5</f>
        <v>0.45</v>
      </c>
      <c r="O13" s="164"/>
      <c r="AF13" s="47"/>
    </row>
    <row r="14" spans="1:32" x14ac:dyDescent="0.25">
      <c r="A14" s="27"/>
      <c r="B14" s="27"/>
      <c r="C14" s="27"/>
      <c r="D14" s="27"/>
      <c r="E14" s="27"/>
      <c r="F14" s="27"/>
      <c r="G14" s="27" t="s">
        <v>64</v>
      </c>
      <c r="H14" s="27"/>
      <c r="I14" s="27"/>
      <c r="J14" s="28">
        <v>41120</v>
      </c>
      <c r="L14" s="194" t="s">
        <v>665</v>
      </c>
      <c r="M14" s="234" t="e">
        <f>#REF!*N14</f>
        <v>#REF!</v>
      </c>
      <c r="N14" s="195">
        <f>'Appportionment Basis-Common cos'!F5</f>
        <v>0.5</v>
      </c>
      <c r="O14" s="164"/>
    </row>
    <row r="15" spans="1:32" x14ac:dyDescent="0.25">
      <c r="A15" s="27"/>
      <c r="B15" s="27"/>
      <c r="C15" s="27"/>
      <c r="D15" s="27"/>
      <c r="E15" s="27"/>
      <c r="F15" s="27"/>
      <c r="G15" s="27" t="s">
        <v>65</v>
      </c>
      <c r="H15" s="27"/>
      <c r="I15" s="27"/>
      <c r="J15" s="28">
        <v>-8788.7199999999993</v>
      </c>
      <c r="L15" s="194" t="s">
        <v>659</v>
      </c>
      <c r="M15" s="234" t="e">
        <f>#REF!*N15</f>
        <v>#REF!</v>
      </c>
      <c r="N15" s="195">
        <f>'Appportionment Basis-Common cos'!G5</f>
        <v>0.35</v>
      </c>
      <c r="O15" s="164"/>
    </row>
    <row r="16" spans="1:32" x14ac:dyDescent="0.25">
      <c r="A16" s="27"/>
      <c r="B16" s="27"/>
      <c r="C16" s="27"/>
      <c r="D16" s="27"/>
      <c r="E16" s="27"/>
      <c r="F16" s="27"/>
      <c r="G16" s="27" t="s">
        <v>68</v>
      </c>
      <c r="H16" s="27"/>
      <c r="I16" s="27"/>
      <c r="J16" s="28">
        <v>-32496.9</v>
      </c>
      <c r="L16" s="194" t="s">
        <v>660</v>
      </c>
      <c r="M16" s="234" t="e">
        <f>#REF!*N16</f>
        <v>#REF!</v>
      </c>
      <c r="N16" s="195">
        <f>'Appportionment Basis-Common cos'!H5</f>
        <v>0.15</v>
      </c>
      <c r="O16" s="164"/>
    </row>
    <row r="17" spans="1:15" ht="15.75" thickBot="1" x14ac:dyDescent="0.3">
      <c r="A17" s="27"/>
      <c r="B17" s="27"/>
      <c r="C17" s="27"/>
      <c r="D17" s="27"/>
      <c r="E17" s="27"/>
      <c r="F17" s="27"/>
      <c r="G17" s="27" t="s">
        <v>69</v>
      </c>
      <c r="H17" s="27"/>
      <c r="I17" s="27"/>
      <c r="J17" s="28">
        <v>-14659</v>
      </c>
      <c r="L17" s="187" t="s">
        <v>25</v>
      </c>
      <c r="M17" s="235" t="e">
        <f>SUM(M3:M16)</f>
        <v>#REF!</v>
      </c>
      <c r="N17" s="229"/>
    </row>
    <row r="18" spans="1:15" ht="15.75" thickTop="1" x14ac:dyDescent="0.25">
      <c r="A18" s="27"/>
      <c r="B18" s="27"/>
      <c r="C18" s="27"/>
      <c r="D18" s="27"/>
      <c r="E18" s="27"/>
      <c r="F18" s="27"/>
      <c r="G18" s="27" t="s">
        <v>70</v>
      </c>
      <c r="H18" s="27"/>
      <c r="I18" s="27"/>
      <c r="J18" s="28">
        <v>-2000</v>
      </c>
    </row>
    <row r="19" spans="1:15" ht="30" x14ac:dyDescent="0.25">
      <c r="A19" s="27"/>
      <c r="B19" s="27"/>
      <c r="C19" s="27"/>
      <c r="D19" s="27"/>
      <c r="E19" s="27"/>
      <c r="F19" s="27"/>
      <c r="G19" s="27" t="s">
        <v>71</v>
      </c>
      <c r="H19" s="27"/>
      <c r="I19" s="27"/>
      <c r="J19" s="28">
        <v>-7480</v>
      </c>
      <c r="L19" s="226" t="s">
        <v>631</v>
      </c>
      <c r="M19" s="227" t="s">
        <v>621</v>
      </c>
      <c r="N19" s="228" t="s">
        <v>666</v>
      </c>
      <c r="O19" s="227" t="s">
        <v>624</v>
      </c>
    </row>
    <row r="20" spans="1:15" x14ac:dyDescent="0.25">
      <c r="A20" s="27"/>
      <c r="B20" s="27"/>
      <c r="C20" s="27"/>
      <c r="D20" s="27"/>
      <c r="E20" s="27"/>
      <c r="F20" s="27"/>
      <c r="G20" s="27" t="s">
        <v>72</v>
      </c>
      <c r="H20" s="27"/>
      <c r="I20" s="27"/>
      <c r="J20" s="28">
        <v>-3774.34</v>
      </c>
      <c r="L20" s="164" t="s">
        <v>505</v>
      </c>
      <c r="M20" s="233">
        <f>J75+J88+J95+J101</f>
        <v>252912.83</v>
      </c>
      <c r="N20" s="186"/>
      <c r="O20" s="164" t="s">
        <v>671</v>
      </c>
    </row>
    <row r="21" spans="1:15" x14ac:dyDescent="0.25">
      <c r="A21" s="27"/>
      <c r="B21" s="27"/>
      <c r="C21" s="27"/>
      <c r="D21" s="27"/>
      <c r="E21" s="27"/>
      <c r="F21" s="27"/>
      <c r="G21" s="27" t="s">
        <v>73</v>
      </c>
      <c r="H21" s="27"/>
      <c r="I21" s="27"/>
      <c r="J21" s="28">
        <v>-17660</v>
      </c>
      <c r="L21" s="164" t="s">
        <v>506</v>
      </c>
      <c r="M21" s="233">
        <f>K110+J120+J125+J130+J133</f>
        <v>245352.63</v>
      </c>
      <c r="N21" s="186"/>
      <c r="O21" s="164" t="s">
        <v>671</v>
      </c>
    </row>
    <row r="22" spans="1:15" ht="15.75" thickBot="1" x14ac:dyDescent="0.3">
      <c r="A22" s="27"/>
      <c r="B22" s="27"/>
      <c r="C22" s="27"/>
      <c r="D22" s="27"/>
      <c r="E22" s="27"/>
      <c r="F22" s="27"/>
      <c r="G22" s="27" t="s">
        <v>74</v>
      </c>
      <c r="H22" s="27"/>
      <c r="I22" s="27"/>
      <c r="J22" s="30">
        <v>-2370</v>
      </c>
      <c r="L22" s="164" t="s">
        <v>507</v>
      </c>
      <c r="M22" s="233">
        <f>J147+J140</f>
        <v>14869.77</v>
      </c>
      <c r="N22" s="186"/>
      <c r="O22" s="164" t="s">
        <v>671</v>
      </c>
    </row>
    <row r="23" spans="1:15" ht="15.75" thickBot="1" x14ac:dyDescent="0.3">
      <c r="A23" s="27"/>
      <c r="B23" s="27"/>
      <c r="C23" s="27"/>
      <c r="D23" s="27"/>
      <c r="E23" s="27"/>
      <c r="F23" s="27" t="s">
        <v>81</v>
      </c>
      <c r="G23" s="27"/>
      <c r="H23" s="27"/>
      <c r="I23" s="27"/>
      <c r="J23" s="34">
        <f>ROUND(SUM(J12:J22),5)</f>
        <v>-29233.96</v>
      </c>
      <c r="L23" s="164" t="s">
        <v>508</v>
      </c>
      <c r="M23" s="233">
        <f>J157+J166+J170</f>
        <v>34990.54</v>
      </c>
      <c r="N23" s="192"/>
      <c r="O23" s="164" t="s">
        <v>671</v>
      </c>
    </row>
    <row r="24" spans="1:15" ht="15.75" thickBot="1" x14ac:dyDescent="0.3">
      <c r="A24" s="27"/>
      <c r="B24" s="27"/>
      <c r="C24" s="27"/>
      <c r="D24" s="27"/>
      <c r="E24" s="27" t="s">
        <v>82</v>
      </c>
      <c r="F24" s="27"/>
      <c r="G24" s="27"/>
      <c r="H24" s="27"/>
      <c r="I24" s="27"/>
      <c r="J24" s="33">
        <f>ROUND(SUM(J5:J11)+J23,5)</f>
        <v>13540549.039999999</v>
      </c>
      <c r="L24" s="164" t="s">
        <v>509</v>
      </c>
      <c r="M24" s="233">
        <f>J179+J183</f>
        <v>70904.14</v>
      </c>
      <c r="N24" s="192"/>
      <c r="O24" s="164" t="s">
        <v>671</v>
      </c>
    </row>
    <row r="25" spans="1:15" x14ac:dyDescent="0.25">
      <c r="A25" s="27"/>
      <c r="B25" s="27"/>
      <c r="C25" s="27"/>
      <c r="D25" s="27" t="s">
        <v>88</v>
      </c>
      <c r="E25" s="27"/>
      <c r="F25" s="27"/>
      <c r="G25" s="27"/>
      <c r="H25" s="27"/>
      <c r="I25" s="27"/>
      <c r="J25" s="28">
        <f>ROUND(J4+J24,5)</f>
        <v>13540549.039999999</v>
      </c>
      <c r="L25" s="193" t="s">
        <v>623</v>
      </c>
      <c r="M25" s="233">
        <f>J192</f>
        <v>14739.5</v>
      </c>
      <c r="N25" s="186"/>
      <c r="O25" s="164"/>
    </row>
    <row r="26" spans="1:15" x14ac:dyDescent="0.25">
      <c r="A26" s="27"/>
      <c r="B26" s="27"/>
      <c r="C26" s="27"/>
      <c r="D26" s="27" t="s">
        <v>89</v>
      </c>
      <c r="E26" s="27"/>
      <c r="F26" s="27"/>
      <c r="G26" s="27"/>
      <c r="H26" s="27"/>
      <c r="I26" s="27"/>
      <c r="J26" s="28"/>
      <c r="L26" s="224" t="s">
        <v>669</v>
      </c>
      <c r="M26" s="233">
        <f>J213*N26</f>
        <v>62837.529999999992</v>
      </c>
      <c r="N26" s="195">
        <f>'Appportionment Basis-Common cos'!I5</f>
        <v>0.35</v>
      </c>
      <c r="O26" s="164"/>
    </row>
    <row r="27" spans="1:15" x14ac:dyDescent="0.25">
      <c r="A27" s="27"/>
      <c r="B27" s="27"/>
      <c r="C27" s="27"/>
      <c r="D27" s="27"/>
      <c r="E27" s="27" t="s">
        <v>90</v>
      </c>
      <c r="F27" s="27"/>
      <c r="G27" s="27"/>
      <c r="H27" s="27"/>
      <c r="I27" s="27"/>
      <c r="J27" s="28"/>
      <c r="L27" s="193" t="s">
        <v>670</v>
      </c>
      <c r="M27" s="233"/>
      <c r="N27" s="164"/>
      <c r="O27" s="185"/>
    </row>
    <row r="28" spans="1:15" x14ac:dyDescent="0.25">
      <c r="A28" s="27"/>
      <c r="B28" s="27"/>
      <c r="C28" s="27"/>
      <c r="D28" s="27"/>
      <c r="E28" s="27"/>
      <c r="F28" s="27" t="s">
        <v>99</v>
      </c>
      <c r="G28" s="27"/>
      <c r="H28" s="27"/>
      <c r="I28" s="27"/>
      <c r="J28" s="28"/>
      <c r="L28" s="232" t="s">
        <v>662</v>
      </c>
      <c r="M28" s="233"/>
      <c r="N28" s="164"/>
      <c r="O28" s="164"/>
    </row>
    <row r="29" spans="1:15" x14ac:dyDescent="0.25">
      <c r="A29" s="27"/>
      <c r="B29" s="27"/>
      <c r="C29" s="27"/>
      <c r="D29" s="27"/>
      <c r="E29" s="27"/>
      <c r="F29" s="27"/>
      <c r="G29" s="27" t="s">
        <v>100</v>
      </c>
      <c r="H29" s="27"/>
      <c r="I29" s="27"/>
      <c r="J29" s="28">
        <v>3591173.7</v>
      </c>
      <c r="L29" s="194" t="s">
        <v>625</v>
      </c>
      <c r="M29" s="234">
        <f>((J197+J195+J198+J199+J200+J201)*N29)+J196</f>
        <v>148316.85</v>
      </c>
      <c r="N29" s="231">
        <f>'Appportionment Basis-Common cos'!J5</f>
        <v>0.3</v>
      </c>
      <c r="O29" s="164"/>
    </row>
    <row r="30" spans="1:15" x14ac:dyDescent="0.25">
      <c r="A30" s="27"/>
      <c r="B30" s="27"/>
      <c r="C30" s="27"/>
      <c r="D30" s="27"/>
      <c r="E30" s="27"/>
      <c r="F30" s="27"/>
      <c r="G30" s="27" t="s">
        <v>101</v>
      </c>
      <c r="H30" s="27"/>
      <c r="I30" s="27"/>
      <c r="J30" s="28">
        <v>215780.25</v>
      </c>
      <c r="L30" s="194" t="s">
        <v>626</v>
      </c>
      <c r="M30" s="234">
        <f>J217*N30</f>
        <v>10075.799999999999</v>
      </c>
      <c r="N30" s="231">
        <f>'Appportionment Basis-Common cos'!J5</f>
        <v>0.3</v>
      </c>
      <c r="O30" s="164"/>
    </row>
    <row r="31" spans="1:15" x14ac:dyDescent="0.25">
      <c r="A31" s="27"/>
      <c r="B31" s="27"/>
      <c r="C31" s="27"/>
      <c r="D31" s="27"/>
      <c r="E31" s="27"/>
      <c r="F31" s="27"/>
      <c r="G31" s="27" t="s">
        <v>102</v>
      </c>
      <c r="H31" s="27"/>
      <c r="I31" s="27"/>
      <c r="J31" s="28">
        <v>16000</v>
      </c>
      <c r="L31" s="194" t="s">
        <v>627</v>
      </c>
      <c r="M31" s="234">
        <f>J220*N31</f>
        <v>859.5</v>
      </c>
      <c r="N31" s="231">
        <f>'Appportionment Basis-Common cos'!J5</f>
        <v>0.3</v>
      </c>
      <c r="O31" s="164"/>
    </row>
    <row r="32" spans="1:15" ht="15.75" thickBot="1" x14ac:dyDescent="0.3">
      <c r="A32" s="27"/>
      <c r="B32" s="27"/>
      <c r="C32" s="27"/>
      <c r="D32" s="27"/>
      <c r="E32" s="27"/>
      <c r="F32" s="27"/>
      <c r="G32" s="27" t="s">
        <v>103</v>
      </c>
      <c r="H32" s="27"/>
      <c r="I32" s="27"/>
      <c r="J32" s="29">
        <v>278535</v>
      </c>
      <c r="L32" s="194" t="s">
        <v>628</v>
      </c>
      <c r="M32" s="234">
        <f>J226*N32</f>
        <v>166491.43499999997</v>
      </c>
      <c r="N32" s="231">
        <f>'Appportionment Basis-Common cos'!J5</f>
        <v>0.3</v>
      </c>
      <c r="O32" s="164"/>
    </row>
    <row r="33" spans="1:15" x14ac:dyDescent="0.25">
      <c r="A33" s="27"/>
      <c r="B33" s="27"/>
      <c r="C33" s="27"/>
      <c r="D33" s="27"/>
      <c r="E33" s="27"/>
      <c r="F33" s="27" t="s">
        <v>105</v>
      </c>
      <c r="G33" s="27"/>
      <c r="H33" s="27"/>
      <c r="I33" s="27"/>
      <c r="J33" s="28">
        <f>ROUND(SUM(J28:J32),5)</f>
        <v>4101488.95</v>
      </c>
      <c r="L33" s="194" t="s">
        <v>668</v>
      </c>
      <c r="M33" s="233">
        <f>J207*N33</f>
        <v>61874.981999999996</v>
      </c>
      <c r="N33" s="195">
        <f>'Appportionment Basis-Common cos'!J5</f>
        <v>0.3</v>
      </c>
      <c r="O33" s="164"/>
    </row>
    <row r="34" spans="1:15" x14ac:dyDescent="0.25">
      <c r="A34" s="27"/>
      <c r="B34" s="27"/>
      <c r="C34" s="27"/>
      <c r="D34" s="27"/>
      <c r="E34" s="27"/>
      <c r="F34" s="27" t="s">
        <v>106</v>
      </c>
      <c r="G34" s="27"/>
      <c r="H34" s="27"/>
      <c r="I34" s="27"/>
      <c r="J34" s="28"/>
      <c r="L34" s="187" t="s">
        <v>25</v>
      </c>
      <c r="M34" s="236">
        <f>SUM(M20:M33)</f>
        <v>1084225.507</v>
      </c>
      <c r="N34" s="196"/>
    </row>
    <row r="35" spans="1:15" x14ac:dyDescent="0.25">
      <c r="A35" s="27"/>
      <c r="B35" s="27"/>
      <c r="C35" s="27"/>
      <c r="D35" s="27"/>
      <c r="E35" s="27"/>
      <c r="F35" s="27"/>
      <c r="G35" s="27" t="s">
        <v>480</v>
      </c>
      <c r="H35" s="27"/>
      <c r="I35" s="27"/>
      <c r="J35" s="28">
        <v>165958.43</v>
      </c>
    </row>
    <row r="36" spans="1:15" x14ac:dyDescent="0.25">
      <c r="A36" s="27"/>
      <c r="B36" s="27"/>
      <c r="C36" s="27"/>
      <c r="D36" s="27"/>
      <c r="E36" s="27"/>
      <c r="F36" s="27"/>
      <c r="G36" s="27" t="s">
        <v>108</v>
      </c>
      <c r="H36" s="27"/>
      <c r="I36" s="27"/>
      <c r="J36" s="28">
        <v>7500</v>
      </c>
    </row>
    <row r="37" spans="1:15" x14ac:dyDescent="0.25">
      <c r="A37" s="27"/>
      <c r="B37" s="27"/>
      <c r="C37" s="27"/>
      <c r="D37" s="27"/>
      <c r="E37" s="27"/>
      <c r="F37" s="27"/>
      <c r="G37" s="27" t="s">
        <v>115</v>
      </c>
      <c r="H37" s="27"/>
      <c r="I37" s="27"/>
      <c r="J37" s="28">
        <v>19000</v>
      </c>
    </row>
    <row r="38" spans="1:15" x14ac:dyDescent="0.25">
      <c r="A38" s="27"/>
      <c r="B38" s="27"/>
      <c r="C38" s="27"/>
      <c r="D38" s="27"/>
      <c r="E38" s="27"/>
      <c r="F38" s="27"/>
      <c r="G38" s="27" t="s">
        <v>116</v>
      </c>
      <c r="H38" s="27"/>
      <c r="I38" s="27"/>
      <c r="J38" s="28">
        <v>219600</v>
      </c>
    </row>
    <row r="39" spans="1:15" ht="15.75" thickBot="1" x14ac:dyDescent="0.3">
      <c r="A39" s="27"/>
      <c r="B39" s="27"/>
      <c r="C39" s="27"/>
      <c r="D39" s="27"/>
      <c r="E39" s="27"/>
      <c r="F39" s="27"/>
      <c r="G39" s="27" t="s">
        <v>119</v>
      </c>
      <c r="H39" s="27"/>
      <c r="I39" s="27"/>
      <c r="J39" s="29">
        <v>874278.13</v>
      </c>
    </row>
    <row r="40" spans="1:15" x14ac:dyDescent="0.25">
      <c r="A40" s="27"/>
      <c r="B40" s="27"/>
      <c r="C40" s="27"/>
      <c r="D40" s="27"/>
      <c r="E40" s="27"/>
      <c r="F40" s="27" t="s">
        <v>121</v>
      </c>
      <c r="G40" s="27"/>
      <c r="H40" s="27"/>
      <c r="I40" s="27"/>
      <c r="J40" s="28">
        <f>ROUND(SUM(J34:J39),5)</f>
        <v>1286336.56</v>
      </c>
    </row>
    <row r="41" spans="1:15" x14ac:dyDescent="0.25">
      <c r="A41" s="27"/>
      <c r="B41" s="27"/>
      <c r="C41" s="27"/>
      <c r="D41" s="27"/>
      <c r="E41" s="27"/>
      <c r="F41" s="27" t="s">
        <v>122</v>
      </c>
      <c r="G41" s="27"/>
      <c r="H41" s="27"/>
      <c r="I41" s="27"/>
      <c r="J41" s="28"/>
    </row>
    <row r="42" spans="1:15" x14ac:dyDescent="0.25">
      <c r="A42" s="27"/>
      <c r="B42" s="27"/>
      <c r="C42" s="27"/>
      <c r="D42" s="27"/>
      <c r="E42" s="27"/>
      <c r="F42" s="27"/>
      <c r="G42" s="27" t="s">
        <v>123</v>
      </c>
      <c r="H42" s="27"/>
      <c r="I42" s="27"/>
      <c r="J42" s="28">
        <v>2394798.84</v>
      </c>
    </row>
    <row r="43" spans="1:15" x14ac:dyDescent="0.25">
      <c r="A43" s="27"/>
      <c r="B43" s="27"/>
      <c r="C43" s="27"/>
      <c r="D43" s="27"/>
      <c r="E43" s="27"/>
      <c r="F43" s="27"/>
      <c r="G43" s="27" t="s">
        <v>124</v>
      </c>
      <c r="H43" s="27"/>
      <c r="I43" s="27"/>
      <c r="J43" s="28">
        <v>850775.88</v>
      </c>
    </row>
    <row r="44" spans="1:15" x14ac:dyDescent="0.25">
      <c r="A44" s="27"/>
      <c r="B44" s="27"/>
      <c r="C44" s="27"/>
      <c r="D44" s="27"/>
      <c r="E44" s="27"/>
      <c r="F44" s="27"/>
      <c r="G44" s="27" t="s">
        <v>125</v>
      </c>
      <c r="H44" s="27"/>
      <c r="I44" s="27"/>
      <c r="J44" s="28">
        <v>305100.25</v>
      </c>
    </row>
    <row r="45" spans="1:15" x14ac:dyDescent="0.25">
      <c r="A45" s="27"/>
      <c r="B45" s="27"/>
      <c r="C45" s="27"/>
      <c r="D45" s="27"/>
      <c r="E45" s="27"/>
      <c r="F45" s="27"/>
      <c r="G45" s="27" t="s">
        <v>126</v>
      </c>
      <c r="H45" s="27"/>
      <c r="I45" s="27"/>
      <c r="J45" s="28">
        <v>120748.5</v>
      </c>
    </row>
    <row r="46" spans="1:15" ht="15.75" thickBot="1" x14ac:dyDescent="0.3">
      <c r="A46" s="27"/>
      <c r="B46" s="27"/>
      <c r="C46" s="27"/>
      <c r="D46" s="27"/>
      <c r="E46" s="27"/>
      <c r="F46" s="27"/>
      <c r="G46" s="27" t="s">
        <v>127</v>
      </c>
      <c r="H46" s="27"/>
      <c r="I46" s="27"/>
      <c r="J46" s="29">
        <v>5532.53</v>
      </c>
    </row>
    <row r="47" spans="1:15" x14ac:dyDescent="0.25">
      <c r="A47" s="27"/>
      <c r="B47" s="27"/>
      <c r="C47" s="27"/>
      <c r="D47" s="27"/>
      <c r="E47" s="27"/>
      <c r="F47" s="27" t="s">
        <v>128</v>
      </c>
      <c r="G47" s="27"/>
      <c r="H47" s="27"/>
      <c r="I47" s="27"/>
      <c r="J47" s="28">
        <f>ROUND(SUM(J41:J46),5)</f>
        <v>3676956</v>
      </c>
    </row>
    <row r="48" spans="1:15" x14ac:dyDescent="0.25">
      <c r="A48" s="27"/>
      <c r="B48" s="27"/>
      <c r="C48" s="27"/>
      <c r="D48" s="27"/>
      <c r="E48" s="27"/>
      <c r="F48" s="155" t="s">
        <v>129</v>
      </c>
      <c r="G48" s="155"/>
      <c r="H48" s="155"/>
      <c r="I48" s="155"/>
      <c r="J48" s="156"/>
    </row>
    <row r="49" spans="1:10" x14ac:dyDescent="0.25">
      <c r="A49" s="27"/>
      <c r="B49" s="27"/>
      <c r="C49" s="27"/>
      <c r="D49" s="27"/>
      <c r="E49" s="27"/>
      <c r="F49" s="155"/>
      <c r="G49" s="155" t="s">
        <v>130</v>
      </c>
      <c r="H49" s="155"/>
      <c r="I49" s="155"/>
      <c r="J49" s="156">
        <v>547598.67000000004</v>
      </c>
    </row>
    <row r="50" spans="1:10" x14ac:dyDescent="0.25">
      <c r="A50" s="27"/>
      <c r="B50" s="27"/>
      <c r="C50" s="27"/>
      <c r="D50" s="27"/>
      <c r="E50" s="27"/>
      <c r="F50" s="155"/>
      <c r="G50" s="155" t="s">
        <v>131</v>
      </c>
      <c r="H50" s="155"/>
      <c r="I50" s="155"/>
      <c r="J50" s="156">
        <v>60076.4</v>
      </c>
    </row>
    <row r="51" spans="1:10" x14ac:dyDescent="0.25">
      <c r="A51" s="27"/>
      <c r="B51" s="27"/>
      <c r="C51" s="27"/>
      <c r="D51" s="27"/>
      <c r="E51" s="27"/>
      <c r="F51" s="155"/>
      <c r="G51" s="155" t="s">
        <v>132</v>
      </c>
      <c r="H51" s="155"/>
      <c r="I51" s="155"/>
      <c r="J51" s="156">
        <v>15019.1</v>
      </c>
    </row>
    <row r="52" spans="1:10" x14ac:dyDescent="0.25">
      <c r="A52" s="27"/>
      <c r="B52" s="27"/>
      <c r="C52" s="27"/>
      <c r="D52" s="27"/>
      <c r="E52" s="27"/>
      <c r="F52" s="155"/>
      <c r="G52" s="155" t="s">
        <v>133</v>
      </c>
      <c r="H52" s="155"/>
      <c r="I52" s="155"/>
      <c r="J52" s="156">
        <v>112000</v>
      </c>
    </row>
    <row r="53" spans="1:10" x14ac:dyDescent="0.25">
      <c r="A53" s="27"/>
      <c r="B53" s="27"/>
      <c r="C53" s="27"/>
      <c r="D53" s="27"/>
      <c r="E53" s="27"/>
      <c r="F53" s="155"/>
      <c r="G53" s="155" t="s">
        <v>134</v>
      </c>
      <c r="H53" s="155"/>
      <c r="I53" s="155"/>
      <c r="J53" s="156">
        <v>87401.37</v>
      </c>
    </row>
    <row r="54" spans="1:10" ht="15.75" thickBot="1" x14ac:dyDescent="0.3">
      <c r="A54" s="27"/>
      <c r="B54" s="27"/>
      <c r="C54" s="27"/>
      <c r="D54" s="27"/>
      <c r="E54" s="27"/>
      <c r="F54" s="155"/>
      <c r="G54" s="155" t="s">
        <v>135</v>
      </c>
      <c r="H54" s="155"/>
      <c r="I54" s="155"/>
      <c r="J54" s="157">
        <v>36348.35</v>
      </c>
    </row>
    <row r="55" spans="1:10" x14ac:dyDescent="0.25">
      <c r="A55" s="27"/>
      <c r="B55" s="27"/>
      <c r="C55" s="27"/>
      <c r="D55" s="27"/>
      <c r="E55" s="27"/>
      <c r="F55" s="155" t="s">
        <v>136</v>
      </c>
      <c r="G55" s="155"/>
      <c r="H55" s="155"/>
      <c r="I55" s="155"/>
      <c r="J55" s="156">
        <f>ROUND(SUM(J48:J54),5)</f>
        <v>858443.89</v>
      </c>
    </row>
    <row r="56" spans="1:10" x14ac:dyDescent="0.25">
      <c r="A56" s="27"/>
      <c r="B56" s="27"/>
      <c r="C56" s="27"/>
      <c r="D56" s="27"/>
      <c r="E56" s="27"/>
      <c r="F56" s="27" t="s">
        <v>137</v>
      </c>
      <c r="G56" s="27"/>
      <c r="H56" s="27"/>
      <c r="I56" s="27"/>
      <c r="J56" s="28"/>
    </row>
    <row r="57" spans="1:10" ht="15.75" thickBot="1" x14ac:dyDescent="0.3">
      <c r="A57" s="27"/>
      <c r="B57" s="27"/>
      <c r="C57" s="27"/>
      <c r="D57" s="27"/>
      <c r="E57" s="27"/>
      <c r="F57" s="27"/>
      <c r="G57" s="27" t="s">
        <v>141</v>
      </c>
      <c r="H57" s="27"/>
      <c r="I57" s="27"/>
      <c r="J57" s="30">
        <v>400</v>
      </c>
    </row>
    <row r="58" spans="1:10" ht="15.75" thickBot="1" x14ac:dyDescent="0.3">
      <c r="A58" s="27"/>
      <c r="B58" s="27"/>
      <c r="C58" s="27"/>
      <c r="D58" s="27"/>
      <c r="E58" s="27"/>
      <c r="F58" s="27" t="s">
        <v>144</v>
      </c>
      <c r="G58" s="27"/>
      <c r="H58" s="27"/>
      <c r="I58" s="27"/>
      <c r="J58" s="34">
        <f>ROUND(SUM(J56:J57),5)</f>
        <v>400</v>
      </c>
    </row>
    <row r="59" spans="1:10" ht="15.75" thickBot="1" x14ac:dyDescent="0.3">
      <c r="A59" s="27"/>
      <c r="B59" s="27"/>
      <c r="C59" s="27"/>
      <c r="D59" s="27"/>
      <c r="E59" s="27" t="s">
        <v>145</v>
      </c>
      <c r="F59" s="27"/>
      <c r="G59" s="27"/>
      <c r="H59" s="27"/>
      <c r="I59" s="27"/>
      <c r="J59" s="34">
        <f>ROUND(J27+J33+J40+J47+J58,5)</f>
        <v>9065181.5099999998</v>
      </c>
    </row>
    <row r="60" spans="1:10" ht="15.75" thickBot="1" x14ac:dyDescent="0.3">
      <c r="A60" s="27"/>
      <c r="B60" s="27"/>
      <c r="C60" s="27"/>
      <c r="D60" s="27" t="s">
        <v>146</v>
      </c>
      <c r="E60" s="27"/>
      <c r="F60" s="27"/>
      <c r="G60" s="27"/>
      <c r="H60" s="27"/>
      <c r="I60" s="27"/>
      <c r="J60" s="33">
        <f>ROUND(J26+J59,5)</f>
        <v>9065181.5099999998</v>
      </c>
    </row>
    <row r="61" spans="1:10" x14ac:dyDescent="0.25">
      <c r="A61" s="27"/>
      <c r="B61" s="27"/>
      <c r="C61" s="27" t="s">
        <v>147</v>
      </c>
      <c r="D61" s="27"/>
      <c r="E61" s="27"/>
      <c r="F61" s="27"/>
      <c r="G61" s="27"/>
      <c r="H61" s="27"/>
      <c r="I61" s="27"/>
      <c r="J61" s="28">
        <f>ROUND(J25-J60,5)</f>
        <v>4475367.53</v>
      </c>
    </row>
    <row r="62" spans="1:10" x14ac:dyDescent="0.25">
      <c r="A62" s="27"/>
      <c r="B62" s="27"/>
      <c r="C62" s="27"/>
      <c r="D62" s="27" t="s">
        <v>148</v>
      </c>
      <c r="E62" s="27"/>
      <c r="F62" s="27"/>
      <c r="G62" s="27"/>
      <c r="H62" s="27"/>
      <c r="I62" s="27"/>
      <c r="J62" s="28"/>
    </row>
    <row r="63" spans="1:10" x14ac:dyDescent="0.25">
      <c r="A63" s="27"/>
      <c r="B63" s="27"/>
      <c r="C63" s="27"/>
      <c r="D63" s="27"/>
      <c r="E63" s="27" t="s">
        <v>149</v>
      </c>
      <c r="F63" s="27"/>
      <c r="G63" s="27"/>
      <c r="H63" s="27"/>
      <c r="I63" s="27"/>
      <c r="J63" s="28"/>
    </row>
    <row r="64" spans="1:10" x14ac:dyDescent="0.25">
      <c r="A64" s="27"/>
      <c r="B64" s="27"/>
      <c r="C64" s="27"/>
      <c r="D64" s="27"/>
      <c r="E64" s="27"/>
      <c r="F64" s="27" t="s">
        <v>389</v>
      </c>
      <c r="G64" s="27"/>
      <c r="H64" s="27"/>
      <c r="I64" s="27"/>
      <c r="J64" s="28"/>
    </row>
    <row r="65" spans="1:10" x14ac:dyDescent="0.25">
      <c r="A65" s="27"/>
      <c r="B65" s="27"/>
      <c r="C65" s="27"/>
      <c r="D65" s="27"/>
      <c r="E65" s="27"/>
      <c r="F65" s="27"/>
      <c r="G65" s="27" t="s">
        <v>151</v>
      </c>
      <c r="H65" s="27"/>
      <c r="I65" s="27"/>
      <c r="J65" s="28"/>
    </row>
    <row r="66" spans="1:10" x14ac:dyDescent="0.25">
      <c r="A66" s="27"/>
      <c r="B66" s="27"/>
      <c r="C66" s="27"/>
      <c r="D66" s="27"/>
      <c r="E66" s="27"/>
      <c r="F66" s="27"/>
      <c r="G66" s="27"/>
      <c r="H66" s="27" t="s">
        <v>152</v>
      </c>
      <c r="I66" s="27"/>
      <c r="J66" s="28">
        <v>8000</v>
      </c>
    </row>
    <row r="67" spans="1:10" x14ac:dyDescent="0.25">
      <c r="A67" s="27"/>
      <c r="B67" s="27"/>
      <c r="C67" s="27"/>
      <c r="D67" s="27"/>
      <c r="E67" s="27"/>
      <c r="F67" s="27"/>
      <c r="G67" s="27"/>
      <c r="H67" s="27" t="s">
        <v>153</v>
      </c>
      <c r="I67" s="27"/>
      <c r="J67" s="28">
        <v>25506.3</v>
      </c>
    </row>
    <row r="68" spans="1:10" x14ac:dyDescent="0.25">
      <c r="A68" s="27"/>
      <c r="B68" s="27"/>
      <c r="C68" s="27"/>
      <c r="D68" s="27"/>
      <c r="E68" s="27"/>
      <c r="F68" s="27"/>
      <c r="G68" s="27"/>
      <c r="H68" s="27" t="s">
        <v>154</v>
      </c>
      <c r="I68" s="27"/>
      <c r="J68" s="28">
        <v>750</v>
      </c>
    </row>
    <row r="69" spans="1:10" x14ac:dyDescent="0.25">
      <c r="A69" s="27"/>
      <c r="B69" s="27"/>
      <c r="C69" s="27"/>
      <c r="D69" s="27"/>
      <c r="E69" s="27"/>
      <c r="F69" s="27"/>
      <c r="G69" s="27"/>
      <c r="H69" s="27" t="s">
        <v>155</v>
      </c>
      <c r="I69" s="27"/>
      <c r="J69" s="28">
        <v>24075</v>
      </c>
    </row>
    <row r="70" spans="1:10" x14ac:dyDescent="0.25">
      <c r="A70" s="27"/>
      <c r="B70" s="27"/>
      <c r="C70" s="27"/>
      <c r="D70" s="27"/>
      <c r="E70" s="27"/>
      <c r="F70" s="27"/>
      <c r="G70" s="27"/>
      <c r="H70" s="27" t="s">
        <v>157</v>
      </c>
      <c r="I70" s="27"/>
      <c r="J70" s="28"/>
    </row>
    <row r="71" spans="1:10" ht="15.75" thickBot="1" x14ac:dyDescent="0.3">
      <c r="A71" s="27"/>
      <c r="B71" s="27"/>
      <c r="C71" s="27"/>
      <c r="D71" s="27"/>
      <c r="E71" s="27"/>
      <c r="F71" s="27"/>
      <c r="G71" s="27"/>
      <c r="H71" s="27"/>
      <c r="I71" s="27" t="s">
        <v>159</v>
      </c>
      <c r="J71" s="29">
        <v>16219</v>
      </c>
    </row>
    <row r="72" spans="1:10" x14ac:dyDescent="0.25">
      <c r="A72" s="27"/>
      <c r="B72" s="27"/>
      <c r="C72" s="27"/>
      <c r="D72" s="27"/>
      <c r="E72" s="27"/>
      <c r="F72" s="27"/>
      <c r="G72" s="27"/>
      <c r="H72" s="27" t="s">
        <v>160</v>
      </c>
      <c r="I72" s="27"/>
      <c r="J72" s="28">
        <f>ROUND(SUM(J70:J71),5)</f>
        <v>16219</v>
      </c>
    </row>
    <row r="73" spans="1:10" x14ac:dyDescent="0.25">
      <c r="A73" s="27"/>
      <c r="B73" s="27"/>
      <c r="C73" s="27"/>
      <c r="D73" s="27"/>
      <c r="E73" s="27"/>
      <c r="F73" s="27"/>
      <c r="G73" s="27"/>
      <c r="H73" s="27" t="s">
        <v>390</v>
      </c>
      <c r="I73" s="27"/>
      <c r="J73" s="28">
        <v>57799</v>
      </c>
    </row>
    <row r="74" spans="1:10" ht="15.75" thickBot="1" x14ac:dyDescent="0.3">
      <c r="A74" s="27"/>
      <c r="B74" s="27"/>
      <c r="C74" s="27"/>
      <c r="D74" s="27"/>
      <c r="E74" s="27"/>
      <c r="F74" s="27"/>
      <c r="G74" s="27"/>
      <c r="H74" s="27" t="s">
        <v>162</v>
      </c>
      <c r="I74" s="27"/>
      <c r="J74" s="29">
        <v>575</v>
      </c>
    </row>
    <row r="75" spans="1:10" x14ac:dyDescent="0.25">
      <c r="A75" s="27"/>
      <c r="B75" s="27"/>
      <c r="C75" s="27"/>
      <c r="D75" s="27"/>
      <c r="E75" s="27"/>
      <c r="F75" s="27"/>
      <c r="G75" s="27" t="s">
        <v>168</v>
      </c>
      <c r="H75" s="27"/>
      <c r="I75" s="27"/>
      <c r="J75" s="28">
        <f>ROUND(SUM(J65:J69)+SUM(J72:J74),5)</f>
        <v>132924.29999999999</v>
      </c>
    </row>
    <row r="76" spans="1:10" x14ac:dyDescent="0.25">
      <c r="A76" s="27"/>
      <c r="B76" s="27"/>
      <c r="C76" s="27"/>
      <c r="D76" s="27"/>
      <c r="E76" s="27"/>
      <c r="F76" s="27"/>
      <c r="G76" s="155" t="s">
        <v>169</v>
      </c>
      <c r="H76" s="155"/>
      <c r="I76" s="155"/>
      <c r="J76" s="156"/>
    </row>
    <row r="77" spans="1:10" x14ac:dyDescent="0.25">
      <c r="A77" s="27"/>
      <c r="B77" s="27"/>
      <c r="C77" s="27"/>
      <c r="D77" s="27"/>
      <c r="E77" s="27"/>
      <c r="F77" s="27"/>
      <c r="G77" s="155"/>
      <c r="H77" s="155" t="s">
        <v>170</v>
      </c>
      <c r="I77" s="155"/>
      <c r="J77" s="156">
        <v>307911.67</v>
      </c>
    </row>
    <row r="78" spans="1:10" x14ac:dyDescent="0.25">
      <c r="A78" s="27"/>
      <c r="B78" s="27"/>
      <c r="C78" s="27"/>
      <c r="D78" s="27"/>
      <c r="E78" s="27"/>
      <c r="F78" s="27"/>
      <c r="G78" s="155"/>
      <c r="H78" s="155" t="s">
        <v>171</v>
      </c>
      <c r="I78" s="155"/>
      <c r="J78" s="156">
        <v>36949.4</v>
      </c>
    </row>
    <row r="79" spans="1:10" x14ac:dyDescent="0.25">
      <c r="A79" s="27"/>
      <c r="B79" s="27"/>
      <c r="C79" s="27"/>
      <c r="D79" s="27"/>
      <c r="E79" s="27"/>
      <c r="F79" s="27"/>
      <c r="G79" s="155"/>
      <c r="H79" s="155" t="s">
        <v>172</v>
      </c>
      <c r="I79" s="155"/>
      <c r="J79" s="156">
        <v>9237.35</v>
      </c>
    </row>
    <row r="80" spans="1:10" x14ac:dyDescent="0.25">
      <c r="A80" s="27"/>
      <c r="B80" s="27"/>
      <c r="C80" s="27"/>
      <c r="D80" s="27"/>
      <c r="E80" s="27"/>
      <c r="F80" s="27"/>
      <c r="G80" s="155"/>
      <c r="H80" s="155" t="s">
        <v>174</v>
      </c>
      <c r="I80" s="155"/>
      <c r="J80" s="156">
        <v>37925</v>
      </c>
    </row>
    <row r="81" spans="1:10" x14ac:dyDescent="0.25">
      <c r="A81" s="27"/>
      <c r="B81" s="27"/>
      <c r="C81" s="27"/>
      <c r="D81" s="27"/>
      <c r="E81" s="27"/>
      <c r="F81" s="27"/>
      <c r="G81" s="155"/>
      <c r="H81" s="155" t="s">
        <v>175</v>
      </c>
      <c r="I81" s="155"/>
      <c r="J81" s="156">
        <v>43950</v>
      </c>
    </row>
    <row r="82" spans="1:10" ht="15.75" thickBot="1" x14ac:dyDescent="0.3">
      <c r="A82" s="27"/>
      <c r="B82" s="27"/>
      <c r="C82" s="27"/>
      <c r="D82" s="27"/>
      <c r="E82" s="27"/>
      <c r="F82" s="27"/>
      <c r="G82" s="155"/>
      <c r="H82" s="155" t="s">
        <v>177</v>
      </c>
      <c r="I82" s="155"/>
      <c r="J82" s="157">
        <v>-6644.91</v>
      </c>
    </row>
    <row r="83" spans="1:10" x14ac:dyDescent="0.25">
      <c r="A83" s="27"/>
      <c r="B83" s="27"/>
      <c r="C83" s="27"/>
      <c r="D83" s="27"/>
      <c r="E83" s="27"/>
      <c r="F83" s="27"/>
      <c r="G83" s="155" t="s">
        <v>178</v>
      </c>
      <c r="H83" s="155"/>
      <c r="I83" s="155"/>
      <c r="J83" s="156">
        <f>ROUND(SUM(J76:J82),5)</f>
        <v>429328.51</v>
      </c>
    </row>
    <row r="84" spans="1:10" x14ac:dyDescent="0.25">
      <c r="A84" s="27"/>
      <c r="B84" s="27"/>
      <c r="C84" s="27"/>
      <c r="D84" s="27"/>
      <c r="E84" s="27"/>
      <c r="F84" s="27"/>
      <c r="G84" s="27" t="s">
        <v>179</v>
      </c>
      <c r="H84" s="27"/>
      <c r="I84" s="27"/>
      <c r="J84" s="28"/>
    </row>
    <row r="85" spans="1:10" x14ac:dyDescent="0.25">
      <c r="A85" s="27"/>
      <c r="B85" s="27"/>
      <c r="C85" s="27"/>
      <c r="D85" s="27"/>
      <c r="E85" s="27"/>
      <c r="F85" s="27"/>
      <c r="G85" s="27"/>
      <c r="H85" s="27" t="s">
        <v>180</v>
      </c>
      <c r="I85" s="27"/>
      <c r="J85" s="28">
        <v>4948.33</v>
      </c>
    </row>
    <row r="86" spans="1:10" x14ac:dyDescent="0.25">
      <c r="A86" s="27"/>
      <c r="B86" s="27"/>
      <c r="C86" s="27"/>
      <c r="D86" s="27"/>
      <c r="E86" s="27"/>
      <c r="F86" s="27"/>
      <c r="G86" s="27"/>
      <c r="H86" s="27" t="s">
        <v>182</v>
      </c>
      <c r="I86" s="27"/>
      <c r="J86" s="28">
        <v>16766.7</v>
      </c>
    </row>
    <row r="87" spans="1:10" ht="15.75" thickBot="1" x14ac:dyDescent="0.3">
      <c r="A87" s="27"/>
      <c r="B87" s="27"/>
      <c r="C87" s="27"/>
      <c r="D87" s="27"/>
      <c r="E87" s="27"/>
      <c r="F87" s="27"/>
      <c r="G87" s="27"/>
      <c r="H87" s="27" t="s">
        <v>183</v>
      </c>
      <c r="I87" s="27"/>
      <c r="J87" s="29">
        <v>16761.75</v>
      </c>
    </row>
    <row r="88" spans="1:10" x14ac:dyDescent="0.25">
      <c r="A88" s="27"/>
      <c r="B88" s="27"/>
      <c r="C88" s="27"/>
      <c r="D88" s="27"/>
      <c r="E88" s="27"/>
      <c r="F88" s="27"/>
      <c r="G88" s="27" t="s">
        <v>185</v>
      </c>
      <c r="H88" s="27"/>
      <c r="I88" s="27"/>
      <c r="J88" s="28">
        <f>ROUND(SUM(J84:J87),5)</f>
        <v>38476.78</v>
      </c>
    </row>
    <row r="89" spans="1:10" x14ac:dyDescent="0.25">
      <c r="A89" s="27"/>
      <c r="B89" s="27"/>
      <c r="C89" s="27"/>
      <c r="D89" s="27"/>
      <c r="E89" s="27"/>
      <c r="F89" s="27"/>
      <c r="G89" s="27" t="s">
        <v>186</v>
      </c>
      <c r="H89" s="27"/>
      <c r="I89" s="27"/>
      <c r="J89" s="28"/>
    </row>
    <row r="90" spans="1:10" x14ac:dyDescent="0.25">
      <c r="A90" s="27"/>
      <c r="B90" s="27"/>
      <c r="C90" s="27"/>
      <c r="D90" s="27"/>
      <c r="E90" s="27"/>
      <c r="F90" s="27"/>
      <c r="G90" s="27"/>
      <c r="H90" s="27" t="s">
        <v>187</v>
      </c>
      <c r="I90" s="27"/>
      <c r="J90" s="28">
        <v>300</v>
      </c>
    </row>
    <row r="91" spans="1:10" x14ac:dyDescent="0.25">
      <c r="A91" s="27"/>
      <c r="B91" s="27"/>
      <c r="C91" s="27"/>
      <c r="D91" s="27"/>
      <c r="E91" s="27"/>
      <c r="F91" s="27"/>
      <c r="G91" s="27"/>
      <c r="H91" s="27" t="s">
        <v>191</v>
      </c>
      <c r="I91" s="27"/>
      <c r="J91" s="28">
        <v>2500</v>
      </c>
    </row>
    <row r="92" spans="1:10" x14ac:dyDescent="0.25">
      <c r="A92" s="27"/>
      <c r="B92" s="27"/>
      <c r="C92" s="27"/>
      <c r="D92" s="27"/>
      <c r="E92" s="27"/>
      <c r="F92" s="27"/>
      <c r="G92" s="27"/>
      <c r="H92" s="27" t="s">
        <v>192</v>
      </c>
      <c r="I92" s="27"/>
      <c r="J92" s="28">
        <v>11520</v>
      </c>
    </row>
    <row r="93" spans="1:10" x14ac:dyDescent="0.25">
      <c r="A93" s="27"/>
      <c r="B93" s="27"/>
      <c r="C93" s="27"/>
      <c r="D93" s="27"/>
      <c r="E93" s="27"/>
      <c r="F93" s="27"/>
      <c r="G93" s="27"/>
      <c r="H93" s="27" t="s">
        <v>193</v>
      </c>
      <c r="I93" s="27"/>
      <c r="J93" s="28">
        <v>38920</v>
      </c>
    </row>
    <row r="94" spans="1:10" ht="15.75" thickBot="1" x14ac:dyDescent="0.3">
      <c r="A94" s="27"/>
      <c r="B94" s="27"/>
      <c r="C94" s="27"/>
      <c r="D94" s="27"/>
      <c r="E94" s="27"/>
      <c r="F94" s="27"/>
      <c r="G94" s="27"/>
      <c r="H94" s="27" t="s">
        <v>194</v>
      </c>
      <c r="I94" s="27"/>
      <c r="J94" s="29">
        <v>6000</v>
      </c>
    </row>
    <row r="95" spans="1:10" x14ac:dyDescent="0.25">
      <c r="A95" s="27"/>
      <c r="B95" s="27"/>
      <c r="C95" s="27"/>
      <c r="D95" s="27"/>
      <c r="E95" s="27"/>
      <c r="F95" s="27"/>
      <c r="G95" s="27" t="s">
        <v>195</v>
      </c>
      <c r="H95" s="27"/>
      <c r="I95" s="27"/>
      <c r="J95" s="28">
        <f>ROUND(SUM(J89:J94),5)</f>
        <v>59240</v>
      </c>
    </row>
    <row r="96" spans="1:10" x14ac:dyDescent="0.25">
      <c r="A96" s="27"/>
      <c r="B96" s="27"/>
      <c r="C96" s="27"/>
      <c r="D96" s="27"/>
      <c r="E96" s="27"/>
      <c r="F96" s="27"/>
      <c r="G96" s="27" t="s">
        <v>196</v>
      </c>
      <c r="H96" s="27"/>
      <c r="I96" s="27"/>
      <c r="J96" s="28"/>
    </row>
    <row r="97" spans="1:12" x14ac:dyDescent="0.25">
      <c r="A97" s="27"/>
      <c r="B97" s="27"/>
      <c r="C97" s="27"/>
      <c r="D97" s="27"/>
      <c r="E97" s="27"/>
      <c r="F97" s="27"/>
      <c r="G97" s="27"/>
      <c r="H97" s="27" t="s">
        <v>197</v>
      </c>
      <c r="I97" s="27"/>
      <c r="J97" s="28">
        <v>18526.75</v>
      </c>
    </row>
    <row r="98" spans="1:12" x14ac:dyDescent="0.25">
      <c r="A98" s="27"/>
      <c r="B98" s="27"/>
      <c r="C98" s="27"/>
      <c r="D98" s="27"/>
      <c r="E98" s="27"/>
      <c r="F98" s="27"/>
      <c r="G98" s="27"/>
      <c r="H98" s="27" t="s">
        <v>200</v>
      </c>
      <c r="I98" s="27"/>
      <c r="J98" s="28">
        <v>3430</v>
      </c>
    </row>
    <row r="99" spans="1:12" x14ac:dyDescent="0.25">
      <c r="A99" s="27"/>
      <c r="B99" s="27"/>
      <c r="C99" s="27"/>
      <c r="D99" s="27"/>
      <c r="E99" s="27"/>
      <c r="F99" s="27"/>
      <c r="G99" s="27"/>
      <c r="H99" s="27" t="s">
        <v>201</v>
      </c>
      <c r="I99" s="27"/>
      <c r="J99" s="28">
        <v>15</v>
      </c>
    </row>
    <row r="100" spans="1:12" ht="15.75" thickBot="1" x14ac:dyDescent="0.3">
      <c r="A100" s="27"/>
      <c r="B100" s="27"/>
      <c r="C100" s="27"/>
      <c r="D100" s="27"/>
      <c r="E100" s="27"/>
      <c r="F100" s="27"/>
      <c r="G100" s="27"/>
      <c r="H100" s="27" t="s">
        <v>203</v>
      </c>
      <c r="I100" s="27"/>
      <c r="J100" s="30">
        <v>300</v>
      </c>
    </row>
    <row r="101" spans="1:12" ht="15.75" thickBot="1" x14ac:dyDescent="0.3">
      <c r="A101" s="27"/>
      <c r="B101" s="27"/>
      <c r="C101" s="27"/>
      <c r="D101" s="27"/>
      <c r="E101" s="27"/>
      <c r="F101" s="27"/>
      <c r="G101" s="27" t="s">
        <v>208</v>
      </c>
      <c r="H101" s="27"/>
      <c r="I101" s="27"/>
      <c r="J101" s="33">
        <f>ROUND(SUM(J96:J100),5)</f>
        <v>22271.75</v>
      </c>
    </row>
    <row r="102" spans="1:12" x14ac:dyDescent="0.25">
      <c r="A102" s="27"/>
      <c r="B102" s="27"/>
      <c r="C102" s="27"/>
      <c r="D102" s="27"/>
      <c r="E102" s="27"/>
      <c r="F102" s="27" t="s">
        <v>391</v>
      </c>
      <c r="G102" s="27"/>
      <c r="H102" s="27"/>
      <c r="I102" s="27"/>
      <c r="J102" s="28">
        <f>ROUND(J64+J75+J88+J95+J101+J83,5)</f>
        <v>682241.34</v>
      </c>
    </row>
    <row r="103" spans="1:12" x14ac:dyDescent="0.25">
      <c r="A103" s="27"/>
      <c r="B103" s="27"/>
      <c r="C103" s="27"/>
      <c r="D103" s="27"/>
      <c r="E103" s="27"/>
      <c r="F103" s="27" t="s">
        <v>218</v>
      </c>
      <c r="G103" s="27"/>
      <c r="H103" s="27"/>
      <c r="I103" s="27"/>
      <c r="J103" s="28"/>
    </row>
    <row r="104" spans="1:12" x14ac:dyDescent="0.25">
      <c r="A104" s="27"/>
      <c r="B104" s="27"/>
      <c r="C104" s="27"/>
      <c r="D104" s="27"/>
      <c r="E104" s="27"/>
      <c r="F104" s="27"/>
      <c r="G104" s="27" t="s">
        <v>219</v>
      </c>
      <c r="H104" s="27"/>
      <c r="I104" s="27"/>
      <c r="J104" s="28"/>
    </row>
    <row r="105" spans="1:12" x14ac:dyDescent="0.25">
      <c r="A105" s="27"/>
      <c r="B105" s="27"/>
      <c r="C105" s="27"/>
      <c r="D105" s="27"/>
      <c r="E105" s="27"/>
      <c r="F105" s="27"/>
      <c r="G105" s="27"/>
      <c r="H105" s="27" t="s">
        <v>220</v>
      </c>
      <c r="I105" s="27"/>
      <c r="J105" s="28">
        <v>11500</v>
      </c>
      <c r="K105" s="107">
        <f>J105</f>
        <v>11500</v>
      </c>
    </row>
    <row r="106" spans="1:12" x14ac:dyDescent="0.25">
      <c r="A106" s="27"/>
      <c r="B106" s="27"/>
      <c r="C106" s="27"/>
      <c r="D106" s="27"/>
      <c r="E106" s="27"/>
      <c r="F106" s="27"/>
      <c r="G106" s="27"/>
      <c r="H106" s="27" t="s">
        <v>222</v>
      </c>
      <c r="I106" s="27"/>
      <c r="J106" s="28">
        <v>660</v>
      </c>
      <c r="K106" s="160">
        <v>81252</v>
      </c>
    </row>
    <row r="107" spans="1:12" x14ac:dyDescent="0.25">
      <c r="A107" s="27"/>
      <c r="B107" s="27"/>
      <c r="C107" s="27"/>
      <c r="D107" s="27"/>
      <c r="E107" s="27"/>
      <c r="F107" s="27"/>
      <c r="G107" s="27"/>
      <c r="H107" s="27" t="s">
        <v>224</v>
      </c>
      <c r="I107" s="27"/>
      <c r="J107" s="28">
        <v>60398</v>
      </c>
      <c r="K107" s="107">
        <f>J107</f>
        <v>60398</v>
      </c>
    </row>
    <row r="108" spans="1:12" x14ac:dyDescent="0.25">
      <c r="A108" s="27"/>
      <c r="B108" s="27"/>
      <c r="C108" s="27"/>
      <c r="D108" s="27"/>
      <c r="E108" s="27"/>
      <c r="F108" s="27"/>
      <c r="G108" s="27"/>
      <c r="H108" s="27" t="s">
        <v>225</v>
      </c>
      <c r="I108" s="27"/>
      <c r="J108" s="28">
        <v>1236.8</v>
      </c>
      <c r="K108" s="107">
        <f t="shared" ref="K108:K109" si="0">J108</f>
        <v>1236.8</v>
      </c>
    </row>
    <row r="109" spans="1:12" ht="15.75" thickBot="1" x14ac:dyDescent="0.3">
      <c r="A109" s="27"/>
      <c r="B109" s="27"/>
      <c r="C109" s="27"/>
      <c r="D109" s="27"/>
      <c r="E109" s="27"/>
      <c r="F109" s="27"/>
      <c r="G109" s="27"/>
      <c r="H109" s="27" t="s">
        <v>229</v>
      </c>
      <c r="I109" s="27"/>
      <c r="J109" s="29">
        <v>8871</v>
      </c>
      <c r="K109" s="107">
        <f t="shared" si="0"/>
        <v>8871</v>
      </c>
    </row>
    <row r="110" spans="1:12" x14ac:dyDescent="0.25">
      <c r="A110" s="27"/>
      <c r="B110" s="27"/>
      <c r="C110" s="27"/>
      <c r="D110" s="27"/>
      <c r="E110" s="27"/>
      <c r="F110" s="27"/>
      <c r="G110" s="27" t="s">
        <v>230</v>
      </c>
      <c r="H110" s="27"/>
      <c r="I110" s="27"/>
      <c r="J110" s="28">
        <f>ROUND(SUM(J104:J109),5)</f>
        <v>82665.8</v>
      </c>
      <c r="K110" s="156">
        <f>ROUND(SUM(K104:K109),5)</f>
        <v>163257.79999999999</v>
      </c>
    </row>
    <row r="111" spans="1:12" x14ac:dyDescent="0.25">
      <c r="A111" s="27"/>
      <c r="B111" s="27"/>
      <c r="C111" s="27"/>
      <c r="D111" s="27"/>
      <c r="E111" s="27"/>
      <c r="F111" s="27"/>
      <c r="G111" s="155" t="s">
        <v>231</v>
      </c>
      <c r="H111" s="155"/>
      <c r="I111" s="155"/>
      <c r="J111" s="28"/>
      <c r="K111" s="161"/>
    </row>
    <row r="112" spans="1:12" x14ac:dyDescent="0.25">
      <c r="A112" s="27"/>
      <c r="B112" s="27"/>
      <c r="C112" s="27"/>
      <c r="D112" s="27"/>
      <c r="E112" s="27"/>
      <c r="F112" s="27"/>
      <c r="G112" s="27"/>
      <c r="H112" s="155" t="s">
        <v>232</v>
      </c>
      <c r="I112" s="155"/>
      <c r="J112" s="156">
        <v>115000</v>
      </c>
      <c r="K112" s="161"/>
      <c r="L112" s="47"/>
    </row>
    <row r="113" spans="1:12" x14ac:dyDescent="0.25">
      <c r="A113" s="27"/>
      <c r="B113" s="27"/>
      <c r="C113" s="27"/>
      <c r="D113" s="27"/>
      <c r="E113" s="27"/>
      <c r="F113" s="27"/>
      <c r="G113" s="27"/>
      <c r="H113" s="155" t="s">
        <v>233</v>
      </c>
      <c r="I113" s="155"/>
      <c r="J113" s="156">
        <v>13800</v>
      </c>
      <c r="K113" s="161"/>
      <c r="L113" s="47"/>
    </row>
    <row r="114" spans="1:12" x14ac:dyDescent="0.25">
      <c r="A114" s="27"/>
      <c r="B114" s="27"/>
      <c r="C114" s="27"/>
      <c r="D114" s="27"/>
      <c r="E114" s="27"/>
      <c r="F114" s="27"/>
      <c r="G114" s="27"/>
      <c r="H114" s="155" t="s">
        <v>234</v>
      </c>
      <c r="I114" s="155"/>
      <c r="J114" s="156">
        <v>3450</v>
      </c>
      <c r="K114" s="161"/>
      <c r="L114" s="47"/>
    </row>
    <row r="115" spans="1:12" ht="15.75" thickBot="1" x14ac:dyDescent="0.3">
      <c r="A115" s="27"/>
      <c r="B115" s="27"/>
      <c r="C115" s="27"/>
      <c r="D115" s="27"/>
      <c r="E115" s="27"/>
      <c r="F115" s="27"/>
      <c r="G115" s="27"/>
      <c r="H115" s="155" t="s">
        <v>235</v>
      </c>
      <c r="I115" s="155"/>
      <c r="J115" s="157">
        <v>20000</v>
      </c>
      <c r="K115" s="161"/>
      <c r="L115" s="47"/>
    </row>
    <row r="116" spans="1:12" x14ac:dyDescent="0.25">
      <c r="A116" s="27"/>
      <c r="B116" s="27"/>
      <c r="C116" s="27"/>
      <c r="D116" s="27"/>
      <c r="E116" s="27"/>
      <c r="F116" s="27"/>
      <c r="G116" s="155" t="s">
        <v>237</v>
      </c>
      <c r="H116" s="155"/>
      <c r="I116" s="155"/>
      <c r="J116" s="156">
        <f>ROUND(SUM(J112:J115),5)</f>
        <v>152250</v>
      </c>
      <c r="K116" s="161"/>
      <c r="L116" s="47"/>
    </row>
    <row r="117" spans="1:12" x14ac:dyDescent="0.25">
      <c r="A117" s="27"/>
      <c r="B117" s="27"/>
      <c r="C117" s="27"/>
      <c r="D117" s="27"/>
      <c r="E117" s="27"/>
      <c r="F117" s="27"/>
      <c r="G117" s="27" t="s">
        <v>238</v>
      </c>
      <c r="H117" s="27"/>
      <c r="I117" s="27"/>
      <c r="J117" s="28"/>
    </row>
    <row r="118" spans="1:12" x14ac:dyDescent="0.25">
      <c r="A118" s="27"/>
      <c r="B118" s="27"/>
      <c r="C118" s="27"/>
      <c r="D118" s="27"/>
      <c r="E118" s="27"/>
      <c r="F118" s="27"/>
      <c r="G118" s="27"/>
      <c r="H118" s="27" t="s">
        <v>239</v>
      </c>
      <c r="I118" s="27"/>
      <c r="J118" s="28">
        <v>14690.93</v>
      </c>
    </row>
    <row r="119" spans="1:12" ht="15.75" thickBot="1" x14ac:dyDescent="0.3">
      <c r="A119" s="27"/>
      <c r="B119" s="27"/>
      <c r="C119" s="27"/>
      <c r="D119" s="27"/>
      <c r="E119" s="27"/>
      <c r="F119" s="27"/>
      <c r="G119" s="27"/>
      <c r="H119" s="27" t="s">
        <v>240</v>
      </c>
      <c r="I119" s="27"/>
      <c r="J119" s="29">
        <v>8540.9</v>
      </c>
    </row>
    <row r="120" spans="1:12" x14ac:dyDescent="0.25">
      <c r="A120" s="27"/>
      <c r="B120" s="27"/>
      <c r="C120" s="27"/>
      <c r="D120" s="27"/>
      <c r="E120" s="27"/>
      <c r="F120" s="27"/>
      <c r="G120" s="27" t="s">
        <v>242</v>
      </c>
      <c r="H120" s="27"/>
      <c r="I120" s="27"/>
      <c r="J120" s="28">
        <f>ROUND(SUM(J117:J119),5)</f>
        <v>23231.83</v>
      </c>
    </row>
    <row r="121" spans="1:12" x14ac:dyDescent="0.25">
      <c r="A121" s="27"/>
      <c r="B121" s="27"/>
      <c r="C121" s="27"/>
      <c r="D121" s="27"/>
      <c r="E121" s="27"/>
      <c r="F121" s="27"/>
      <c r="G121" s="27" t="s">
        <v>243</v>
      </c>
      <c r="H121" s="27"/>
      <c r="I121" s="27"/>
      <c r="J121" s="28"/>
    </row>
    <row r="122" spans="1:12" x14ac:dyDescent="0.25">
      <c r="A122" s="27"/>
      <c r="B122" s="27"/>
      <c r="C122" s="27"/>
      <c r="D122" s="27"/>
      <c r="E122" s="27"/>
      <c r="F122" s="27"/>
      <c r="G122" s="27"/>
      <c r="H122" s="27" t="s">
        <v>244</v>
      </c>
      <c r="I122" s="27"/>
      <c r="J122" s="28">
        <v>50</v>
      </c>
    </row>
    <row r="123" spans="1:12" x14ac:dyDescent="0.25">
      <c r="A123" s="27"/>
      <c r="B123" s="27"/>
      <c r="C123" s="27"/>
      <c r="D123" s="27"/>
      <c r="E123" s="27"/>
      <c r="F123" s="27"/>
      <c r="G123" s="27"/>
      <c r="H123" s="27" t="s">
        <v>248</v>
      </c>
      <c r="I123" s="27"/>
      <c r="J123" s="28">
        <v>23340</v>
      </c>
    </row>
    <row r="124" spans="1:12" ht="15.75" thickBot="1" x14ac:dyDescent="0.3">
      <c r="A124" s="27"/>
      <c r="B124" s="27"/>
      <c r="C124" s="27"/>
      <c r="D124" s="27"/>
      <c r="E124" s="27"/>
      <c r="F124" s="27"/>
      <c r="G124" s="27"/>
      <c r="H124" s="27" t="s">
        <v>481</v>
      </c>
      <c r="I124" s="27"/>
      <c r="J124" s="29">
        <v>6000</v>
      </c>
    </row>
    <row r="125" spans="1:12" x14ac:dyDescent="0.25">
      <c r="A125" s="27"/>
      <c r="B125" s="27"/>
      <c r="C125" s="27"/>
      <c r="D125" s="27"/>
      <c r="E125" s="27"/>
      <c r="F125" s="27"/>
      <c r="G125" s="27" t="s">
        <v>249</v>
      </c>
      <c r="H125" s="27"/>
      <c r="I125" s="27"/>
      <c r="J125" s="28">
        <f>ROUND(SUM(J121:J124),5)</f>
        <v>29390</v>
      </c>
    </row>
    <row r="126" spans="1:12" x14ac:dyDescent="0.25">
      <c r="A126" s="27"/>
      <c r="B126" s="27"/>
      <c r="C126" s="27"/>
      <c r="D126" s="27"/>
      <c r="E126" s="27"/>
      <c r="F126" s="27"/>
      <c r="G126" s="27" t="s">
        <v>250</v>
      </c>
      <c r="H126" s="27"/>
      <c r="I126" s="27"/>
      <c r="J126" s="28"/>
    </row>
    <row r="127" spans="1:12" x14ac:dyDescent="0.25">
      <c r="A127" s="27"/>
      <c r="B127" s="27"/>
      <c r="C127" s="27"/>
      <c r="D127" s="27"/>
      <c r="E127" s="27"/>
      <c r="F127" s="27"/>
      <c r="G127" s="27"/>
      <c r="H127" s="27" t="s">
        <v>251</v>
      </c>
      <c r="I127" s="27"/>
      <c r="J127" s="28">
        <v>5765</v>
      </c>
    </row>
    <row r="128" spans="1:12" x14ac:dyDescent="0.25">
      <c r="A128" s="27"/>
      <c r="B128" s="27"/>
      <c r="C128" s="27"/>
      <c r="D128" s="27"/>
      <c r="E128" s="27"/>
      <c r="F128" s="27"/>
      <c r="G128" s="27"/>
      <c r="H128" s="27" t="s">
        <v>252</v>
      </c>
      <c r="I128" s="27"/>
      <c r="J128" s="28">
        <v>16938</v>
      </c>
    </row>
    <row r="129" spans="1:10" ht="15.75" thickBot="1" x14ac:dyDescent="0.3">
      <c r="A129" s="27"/>
      <c r="B129" s="27"/>
      <c r="C129" s="27"/>
      <c r="D129" s="27"/>
      <c r="E129" s="27"/>
      <c r="F129" s="27"/>
      <c r="G129" s="27"/>
      <c r="H129" s="27" t="s">
        <v>253</v>
      </c>
      <c r="I129" s="27"/>
      <c r="J129" s="29">
        <v>1570</v>
      </c>
    </row>
    <row r="130" spans="1:10" x14ac:dyDescent="0.25">
      <c r="A130" s="27"/>
      <c r="B130" s="27"/>
      <c r="C130" s="27"/>
      <c r="D130" s="27"/>
      <c r="E130" s="27"/>
      <c r="F130" s="27"/>
      <c r="G130" s="27" t="s">
        <v>258</v>
      </c>
      <c r="H130" s="27"/>
      <c r="I130" s="27"/>
      <c r="J130" s="28">
        <f>ROUND(SUM(J126:J129),5)</f>
        <v>24273</v>
      </c>
    </row>
    <row r="131" spans="1:10" x14ac:dyDescent="0.25">
      <c r="A131" s="27"/>
      <c r="B131" s="27"/>
      <c r="C131" s="27"/>
      <c r="D131" s="27"/>
      <c r="E131" s="27"/>
      <c r="F131" s="27"/>
      <c r="G131" s="27" t="s">
        <v>259</v>
      </c>
      <c r="H131" s="27"/>
      <c r="I131" s="27"/>
      <c r="J131" s="28"/>
    </row>
    <row r="132" spans="1:10" ht="15.75" thickBot="1" x14ac:dyDescent="0.3">
      <c r="A132" s="27"/>
      <c r="B132" s="27"/>
      <c r="C132" s="27"/>
      <c r="D132" s="27"/>
      <c r="E132" s="27"/>
      <c r="F132" s="27"/>
      <c r="G132" s="27"/>
      <c r="H132" s="27" t="s">
        <v>260</v>
      </c>
      <c r="I132" s="27"/>
      <c r="J132" s="30">
        <v>5200</v>
      </c>
    </row>
    <row r="133" spans="1:10" ht="15.75" thickBot="1" x14ac:dyDescent="0.3">
      <c r="A133" s="27"/>
      <c r="B133" s="27"/>
      <c r="C133" s="27"/>
      <c r="D133" s="27"/>
      <c r="E133" s="27"/>
      <c r="F133" s="27"/>
      <c r="G133" s="27" t="s">
        <v>263</v>
      </c>
      <c r="H133" s="27"/>
      <c r="I133" s="27"/>
      <c r="J133" s="33">
        <f>ROUND(SUM(J131:J132),5)</f>
        <v>5200</v>
      </c>
    </row>
    <row r="134" spans="1:10" x14ac:dyDescent="0.25">
      <c r="A134" s="27"/>
      <c r="B134" s="27"/>
      <c r="C134" s="27"/>
      <c r="D134" s="27"/>
      <c r="E134" s="27"/>
      <c r="F134" s="27" t="s">
        <v>264</v>
      </c>
      <c r="G134" s="27"/>
      <c r="H134" s="27"/>
      <c r="I134" s="27"/>
      <c r="J134" s="156">
        <f>ROUND(J103+K110+J120+J125+J130+J133+J116,5)</f>
        <v>397602.63</v>
      </c>
    </row>
    <row r="135" spans="1:10" x14ac:dyDescent="0.25">
      <c r="A135" s="27"/>
      <c r="B135" s="27"/>
      <c r="C135" s="27"/>
      <c r="D135" s="27"/>
      <c r="E135" s="27"/>
      <c r="F135" s="27" t="s">
        <v>265</v>
      </c>
      <c r="G135" s="27"/>
      <c r="H135" s="27"/>
      <c r="I135" s="27"/>
      <c r="J135" s="28"/>
    </row>
    <row r="136" spans="1:10" x14ac:dyDescent="0.25">
      <c r="A136" s="27"/>
      <c r="B136" s="27"/>
      <c r="C136" s="27"/>
      <c r="D136" s="27"/>
      <c r="E136" s="27"/>
      <c r="F136" s="27"/>
      <c r="G136" s="27" t="s">
        <v>392</v>
      </c>
      <c r="H136" s="27"/>
      <c r="I136" s="27"/>
      <c r="J136" s="28"/>
    </row>
    <row r="137" spans="1:10" x14ac:dyDescent="0.25">
      <c r="A137" s="27"/>
      <c r="B137" s="27"/>
      <c r="C137" s="27"/>
      <c r="D137" s="27"/>
      <c r="E137" s="27"/>
      <c r="F137" s="27"/>
      <c r="G137" s="27"/>
      <c r="H137" s="27" t="s">
        <v>393</v>
      </c>
      <c r="I137" s="27"/>
      <c r="J137" s="28">
        <v>0</v>
      </c>
    </row>
    <row r="138" spans="1:10" x14ac:dyDescent="0.25">
      <c r="A138" s="27"/>
      <c r="B138" s="27"/>
      <c r="C138" s="27"/>
      <c r="D138" s="27"/>
      <c r="E138" s="27"/>
      <c r="F138" s="27"/>
      <c r="G138" s="27"/>
      <c r="H138" s="27" t="s">
        <v>394</v>
      </c>
      <c r="I138" s="27"/>
      <c r="J138" s="28">
        <v>1129.02</v>
      </c>
    </row>
    <row r="139" spans="1:10" ht="15.75" thickBot="1" x14ac:dyDescent="0.3">
      <c r="A139" s="27"/>
      <c r="B139" s="27"/>
      <c r="C139" s="27"/>
      <c r="D139" s="27"/>
      <c r="E139" s="27"/>
      <c r="F139" s="27"/>
      <c r="G139" s="27"/>
      <c r="H139" s="27" t="s">
        <v>395</v>
      </c>
      <c r="I139" s="27"/>
      <c r="J139" s="29">
        <v>1231.75</v>
      </c>
    </row>
    <row r="140" spans="1:10" x14ac:dyDescent="0.25">
      <c r="A140" s="27"/>
      <c r="B140" s="27"/>
      <c r="C140" s="27"/>
      <c r="D140" s="27"/>
      <c r="E140" s="27"/>
      <c r="F140" s="27"/>
      <c r="G140" s="27" t="s">
        <v>396</v>
      </c>
      <c r="H140" s="27"/>
      <c r="I140" s="27"/>
      <c r="J140" s="28">
        <f>ROUND(SUM(J136:J139),5)</f>
        <v>2360.77</v>
      </c>
    </row>
    <row r="141" spans="1:10" x14ac:dyDescent="0.25">
      <c r="A141" s="27"/>
      <c r="B141" s="27"/>
      <c r="C141" s="27"/>
      <c r="D141" s="27"/>
      <c r="E141" s="27"/>
      <c r="F141" s="27"/>
      <c r="G141" s="155" t="s">
        <v>397</v>
      </c>
      <c r="H141" s="155"/>
      <c r="I141" s="155"/>
      <c r="J141" s="156"/>
    </row>
    <row r="142" spans="1:10" ht="15.75" thickBot="1" x14ac:dyDescent="0.3">
      <c r="A142" s="27"/>
      <c r="B142" s="27"/>
      <c r="C142" s="27"/>
      <c r="D142" s="27"/>
      <c r="E142" s="27"/>
      <c r="F142" s="27"/>
      <c r="G142" s="155"/>
      <c r="H142" s="155" t="s">
        <v>374</v>
      </c>
      <c r="I142" s="155"/>
      <c r="J142" s="157">
        <v>40000</v>
      </c>
    </row>
    <row r="143" spans="1:10" x14ac:dyDescent="0.25">
      <c r="A143" s="27"/>
      <c r="B143" s="27"/>
      <c r="C143" s="27"/>
      <c r="D143" s="27"/>
      <c r="E143" s="27"/>
      <c r="F143" s="27"/>
      <c r="G143" s="155" t="s">
        <v>398</v>
      </c>
      <c r="H143" s="155"/>
      <c r="I143" s="155"/>
      <c r="J143" s="156">
        <f>ROUND(SUM(J141:J142),5)</f>
        <v>40000</v>
      </c>
    </row>
    <row r="144" spans="1:10" x14ac:dyDescent="0.25">
      <c r="A144" s="27"/>
      <c r="B144" s="27"/>
      <c r="C144" s="27"/>
      <c r="D144" s="27"/>
      <c r="E144" s="27"/>
      <c r="F144" s="27"/>
      <c r="G144" s="27" t="s">
        <v>399</v>
      </c>
      <c r="H144" s="27"/>
      <c r="I144" s="27"/>
      <c r="J144" s="28"/>
    </row>
    <row r="145" spans="1:10" x14ac:dyDescent="0.25">
      <c r="A145" s="27"/>
      <c r="B145" s="27"/>
      <c r="C145" s="27"/>
      <c r="D145" s="27"/>
      <c r="E145" s="27"/>
      <c r="F145" s="27"/>
      <c r="G145" s="27"/>
      <c r="H145" s="27" t="s">
        <v>268</v>
      </c>
      <c r="I145" s="27"/>
      <c r="J145" s="30">
        <v>509</v>
      </c>
    </row>
    <row r="146" spans="1:10" ht="15.75" thickBot="1" x14ac:dyDescent="0.3">
      <c r="A146" s="27"/>
      <c r="B146" s="27"/>
      <c r="C146" s="27"/>
      <c r="D146" s="27"/>
      <c r="E146" s="27"/>
      <c r="F146" s="27"/>
      <c r="G146" s="27"/>
      <c r="H146" s="155" t="s">
        <v>269</v>
      </c>
      <c r="I146" s="155"/>
      <c r="J146" s="159">
        <v>12000</v>
      </c>
    </row>
    <row r="147" spans="1:10" ht="15.75" thickBot="1" x14ac:dyDescent="0.3">
      <c r="A147" s="27"/>
      <c r="B147" s="27"/>
      <c r="C147" s="27"/>
      <c r="D147" s="27"/>
      <c r="E147" s="27"/>
      <c r="F147" s="27"/>
      <c r="G147" s="27" t="s">
        <v>400</v>
      </c>
      <c r="H147" s="27"/>
      <c r="I147" s="27"/>
      <c r="J147" s="33">
        <f>ROUND(SUM(J144:J146),5)</f>
        <v>12509</v>
      </c>
    </row>
    <row r="148" spans="1:10" x14ac:dyDescent="0.25">
      <c r="A148" s="27"/>
      <c r="B148" s="27"/>
      <c r="C148" s="27"/>
      <c r="D148" s="27"/>
      <c r="E148" s="27"/>
      <c r="F148" s="27" t="s">
        <v>271</v>
      </c>
      <c r="G148" s="27"/>
      <c r="H148" s="27"/>
      <c r="I148" s="27"/>
      <c r="J148" s="28">
        <f>ROUND(J135+J140+J147+J143,5)</f>
        <v>54869.77</v>
      </c>
    </row>
    <row r="149" spans="1:10" x14ac:dyDescent="0.25">
      <c r="A149" s="27"/>
      <c r="B149" s="27"/>
      <c r="C149" s="27"/>
      <c r="D149" s="27"/>
      <c r="E149" s="27"/>
      <c r="F149" s="27" t="s">
        <v>375</v>
      </c>
      <c r="G149" s="27"/>
      <c r="H149" s="27"/>
      <c r="I149" s="27"/>
      <c r="J149" s="28"/>
    </row>
    <row r="150" spans="1:10" x14ac:dyDescent="0.25">
      <c r="A150" s="27"/>
      <c r="B150" s="27"/>
      <c r="C150" s="27"/>
      <c r="D150" s="27"/>
      <c r="E150" s="27"/>
      <c r="F150" s="27"/>
      <c r="G150" s="27" t="s">
        <v>406</v>
      </c>
      <c r="H150" s="27"/>
      <c r="I150" s="27"/>
      <c r="J150" s="28"/>
    </row>
    <row r="151" spans="1:10" ht="15.75" thickBot="1" x14ac:dyDescent="0.3">
      <c r="A151" s="27"/>
      <c r="B151" s="27"/>
      <c r="C151" s="27"/>
      <c r="D151" s="27"/>
      <c r="E151" s="27"/>
      <c r="F151" s="27"/>
      <c r="G151" s="27"/>
      <c r="H151" s="27" t="s">
        <v>407</v>
      </c>
      <c r="I151" s="27"/>
      <c r="J151" s="30">
        <v>2946.31</v>
      </c>
    </row>
    <row r="152" spans="1:10" ht="15.75" thickBot="1" x14ac:dyDescent="0.3">
      <c r="A152" s="27"/>
      <c r="B152" s="27"/>
      <c r="C152" s="27"/>
      <c r="D152" s="27"/>
      <c r="E152" s="27"/>
      <c r="F152" s="27"/>
      <c r="G152" s="27" t="s">
        <v>408</v>
      </c>
      <c r="H152" s="27"/>
      <c r="I152" s="27"/>
      <c r="J152" s="33">
        <f>ROUND(SUM(J150:J151),5)</f>
        <v>2946.31</v>
      </c>
    </row>
    <row r="153" spans="1:10" x14ac:dyDescent="0.25">
      <c r="A153" s="27"/>
      <c r="B153" s="27"/>
      <c r="C153" s="27"/>
      <c r="D153" s="27"/>
      <c r="E153" s="27"/>
      <c r="F153" s="27"/>
      <c r="G153" s="155" t="s">
        <v>401</v>
      </c>
      <c r="H153" s="155"/>
      <c r="I153" s="155"/>
      <c r="J153" s="156"/>
    </row>
    <row r="154" spans="1:10" x14ac:dyDescent="0.25">
      <c r="A154" s="27"/>
      <c r="B154" s="27"/>
      <c r="C154" s="27"/>
      <c r="D154" s="27"/>
      <c r="E154" s="27"/>
      <c r="F154" s="27"/>
      <c r="G154" s="155"/>
      <c r="H154" s="155" t="s">
        <v>402</v>
      </c>
      <c r="I154" s="155"/>
      <c r="J154" s="156">
        <v>13675.8</v>
      </c>
    </row>
    <row r="155" spans="1:10" x14ac:dyDescent="0.25">
      <c r="A155" s="27"/>
      <c r="B155" s="27"/>
      <c r="C155" s="27"/>
      <c r="D155" s="27"/>
      <c r="E155" s="27"/>
      <c r="F155" s="27"/>
      <c r="G155" s="155"/>
      <c r="H155" s="155" t="s">
        <v>403</v>
      </c>
      <c r="I155" s="155"/>
      <c r="J155" s="156">
        <v>10630</v>
      </c>
    </row>
    <row r="156" spans="1:10" ht="15.75" thickBot="1" x14ac:dyDescent="0.3">
      <c r="A156" s="27"/>
      <c r="B156" s="27"/>
      <c r="C156" s="27"/>
      <c r="D156" s="27"/>
      <c r="E156" s="27"/>
      <c r="F156" s="27"/>
      <c r="G156" s="155"/>
      <c r="H156" s="155" t="s">
        <v>404</v>
      </c>
      <c r="I156" s="155"/>
      <c r="J156" s="157">
        <v>330</v>
      </c>
    </row>
    <row r="157" spans="1:10" x14ac:dyDescent="0.25">
      <c r="A157" s="27"/>
      <c r="B157" s="27"/>
      <c r="C157" s="27"/>
      <c r="D157" s="27"/>
      <c r="E157" s="27"/>
      <c r="F157" s="27"/>
      <c r="G157" s="155" t="s">
        <v>405</v>
      </c>
      <c r="H157" s="155"/>
      <c r="I157" s="155"/>
      <c r="J157" s="156">
        <f>ROUND(SUM(J153:J156),5)</f>
        <v>24635.8</v>
      </c>
    </row>
    <row r="158" spans="1:10" x14ac:dyDescent="0.25">
      <c r="A158" s="27"/>
      <c r="B158" s="27"/>
      <c r="C158" s="27"/>
      <c r="D158" s="27"/>
      <c r="E158" s="27"/>
      <c r="F158" s="27"/>
      <c r="G158" s="155" t="s">
        <v>376</v>
      </c>
      <c r="H158" s="155"/>
      <c r="I158" s="155"/>
      <c r="J158" s="156"/>
    </row>
    <row r="159" spans="1:10" x14ac:dyDescent="0.25">
      <c r="A159" s="27"/>
      <c r="B159" s="27"/>
      <c r="C159" s="27"/>
      <c r="D159" s="27"/>
      <c r="E159" s="27"/>
      <c r="F159" s="27"/>
      <c r="G159" s="155"/>
      <c r="H159" s="155" t="s">
        <v>377</v>
      </c>
      <c r="I159" s="155"/>
      <c r="J159" s="156">
        <v>47110</v>
      </c>
    </row>
    <row r="160" spans="1:10" x14ac:dyDescent="0.25">
      <c r="A160" s="27"/>
      <c r="B160" s="27"/>
      <c r="C160" s="27"/>
      <c r="D160" s="27"/>
      <c r="E160" s="27"/>
      <c r="F160" s="27"/>
      <c r="G160" s="155"/>
      <c r="H160" s="155" t="s">
        <v>378</v>
      </c>
      <c r="I160" s="155"/>
      <c r="J160" s="156">
        <v>11288.64</v>
      </c>
    </row>
    <row r="161" spans="1:10" x14ac:dyDescent="0.25">
      <c r="A161" s="27"/>
      <c r="B161" s="27"/>
      <c r="C161" s="27"/>
      <c r="D161" s="27"/>
      <c r="E161" s="27"/>
      <c r="F161" s="27"/>
      <c r="G161" s="155"/>
      <c r="H161" s="155" t="s">
        <v>379</v>
      </c>
      <c r="I161" s="155"/>
      <c r="J161" s="156">
        <v>2822.16</v>
      </c>
    </row>
    <row r="162" spans="1:10" ht="15.75" thickBot="1" x14ac:dyDescent="0.3">
      <c r="A162" s="27"/>
      <c r="B162" s="27"/>
      <c r="C162" s="27"/>
      <c r="D162" s="27"/>
      <c r="E162" s="27"/>
      <c r="F162" s="27"/>
      <c r="G162" s="155"/>
      <c r="H162" s="155" t="s">
        <v>380</v>
      </c>
      <c r="I162" s="155"/>
      <c r="J162" s="157">
        <v>8530</v>
      </c>
    </row>
    <row r="163" spans="1:10" x14ac:dyDescent="0.25">
      <c r="A163" s="27"/>
      <c r="B163" s="27"/>
      <c r="C163" s="27"/>
      <c r="D163" s="27"/>
      <c r="E163" s="27"/>
      <c r="F163" s="27"/>
      <c r="G163" s="155" t="s">
        <v>381</v>
      </c>
      <c r="H163" s="155"/>
      <c r="I163" s="155"/>
      <c r="J163" s="156">
        <f>ROUND(SUM(J158:J162),5)</f>
        <v>69750.8</v>
      </c>
    </row>
    <row r="164" spans="1:10" x14ac:dyDescent="0.25">
      <c r="A164" s="27"/>
      <c r="B164" s="27"/>
      <c r="C164" s="27"/>
      <c r="D164" s="27"/>
      <c r="E164" s="27"/>
      <c r="F164" s="27"/>
      <c r="G164" s="155" t="s">
        <v>409</v>
      </c>
      <c r="H164" s="155"/>
      <c r="I164" s="155"/>
      <c r="J164" s="156"/>
    </row>
    <row r="165" spans="1:10" ht="15.75" thickBot="1" x14ac:dyDescent="0.3">
      <c r="A165" s="27"/>
      <c r="B165" s="27"/>
      <c r="C165" s="27"/>
      <c r="D165" s="27"/>
      <c r="E165" s="27"/>
      <c r="F165" s="27"/>
      <c r="G165" s="155"/>
      <c r="H165" s="155" t="s">
        <v>497</v>
      </c>
      <c r="I165" s="155"/>
      <c r="J165" s="157">
        <v>7315</v>
      </c>
    </row>
    <row r="166" spans="1:10" x14ac:dyDescent="0.25">
      <c r="A166" s="27"/>
      <c r="B166" s="27"/>
      <c r="C166" s="27"/>
      <c r="D166" s="27"/>
      <c r="E166" s="27"/>
      <c r="F166" s="27"/>
      <c r="G166" s="155" t="s">
        <v>410</v>
      </c>
      <c r="H166" s="155"/>
      <c r="I166" s="155"/>
      <c r="J166" s="156">
        <f>ROUND(SUM(J164:J165),5)</f>
        <v>7315</v>
      </c>
    </row>
    <row r="167" spans="1:10" x14ac:dyDescent="0.25">
      <c r="A167" s="27"/>
      <c r="B167" s="27"/>
      <c r="C167" s="27"/>
      <c r="D167" s="27"/>
      <c r="E167" s="27"/>
      <c r="F167" s="27"/>
      <c r="G167" s="155" t="s">
        <v>411</v>
      </c>
      <c r="H167" s="155"/>
      <c r="I167" s="155"/>
      <c r="J167" s="156"/>
    </row>
    <row r="168" spans="1:10" x14ac:dyDescent="0.25">
      <c r="A168" s="27"/>
      <c r="B168" s="27"/>
      <c r="C168" s="27"/>
      <c r="D168" s="27"/>
      <c r="E168" s="27"/>
      <c r="F168" s="27"/>
      <c r="G168" s="155"/>
      <c r="H168" s="155" t="s">
        <v>412</v>
      </c>
      <c r="I168" s="155"/>
      <c r="J168" s="156">
        <v>2664.74</v>
      </c>
    </row>
    <row r="169" spans="1:10" ht="15.75" thickBot="1" x14ac:dyDescent="0.3">
      <c r="A169" s="27"/>
      <c r="B169" s="27"/>
      <c r="C169" s="27"/>
      <c r="D169" s="27"/>
      <c r="E169" s="27"/>
      <c r="F169" s="27"/>
      <c r="G169" s="155"/>
      <c r="H169" s="155" t="s">
        <v>413</v>
      </c>
      <c r="I169" s="155"/>
      <c r="J169" s="159">
        <v>375</v>
      </c>
    </row>
    <row r="170" spans="1:10" ht="15.75" thickBot="1" x14ac:dyDescent="0.3">
      <c r="A170" s="27"/>
      <c r="B170" s="27"/>
      <c r="C170" s="27"/>
      <c r="D170" s="27"/>
      <c r="E170" s="27"/>
      <c r="F170" s="27"/>
      <c r="G170" s="155" t="s">
        <v>414</v>
      </c>
      <c r="H170" s="155"/>
      <c r="I170" s="155"/>
      <c r="J170" s="158">
        <f>ROUND(SUM(J167:J169),5)</f>
        <v>3039.74</v>
      </c>
    </row>
    <row r="171" spans="1:10" x14ac:dyDescent="0.25">
      <c r="A171" s="27"/>
      <c r="B171" s="27"/>
      <c r="C171" s="27"/>
      <c r="D171" s="27"/>
      <c r="E171" s="27"/>
      <c r="F171" s="27" t="s">
        <v>382</v>
      </c>
      <c r="G171" s="27"/>
      <c r="H171" s="27"/>
      <c r="I171" s="27"/>
      <c r="J171" s="156">
        <f>ROUND(J149+J152+J157+J163+J166+J170,5)</f>
        <v>107687.65</v>
      </c>
    </row>
    <row r="172" spans="1:10" x14ac:dyDescent="0.25">
      <c r="A172" s="27"/>
      <c r="B172" s="27"/>
      <c r="C172" s="27"/>
      <c r="D172" s="27"/>
      <c r="E172" s="27"/>
      <c r="F172" s="27" t="s">
        <v>415</v>
      </c>
      <c r="G172" s="27"/>
      <c r="H172" s="27"/>
      <c r="I172" s="27"/>
      <c r="J172" s="28"/>
    </row>
    <row r="173" spans="1:10" x14ac:dyDescent="0.25">
      <c r="A173" s="27"/>
      <c r="B173" s="27"/>
      <c r="C173" s="27"/>
      <c r="D173" s="27"/>
      <c r="E173" s="27"/>
      <c r="F173" s="27"/>
      <c r="G173" s="27" t="s">
        <v>383</v>
      </c>
      <c r="H173" s="27"/>
      <c r="I173" s="27"/>
      <c r="J173" s="28"/>
    </row>
    <row r="174" spans="1:10" x14ac:dyDescent="0.25">
      <c r="A174" s="27"/>
      <c r="B174" s="27"/>
      <c r="C174" s="27"/>
      <c r="D174" s="27"/>
      <c r="E174" s="27"/>
      <c r="F174" s="27"/>
      <c r="G174" s="27"/>
      <c r="H174" s="27" t="s">
        <v>384</v>
      </c>
      <c r="I174" s="27"/>
      <c r="J174" s="28"/>
    </row>
    <row r="175" spans="1:10" x14ac:dyDescent="0.25">
      <c r="A175" s="27"/>
      <c r="B175" s="27"/>
      <c r="C175" s="27"/>
      <c r="D175" s="27"/>
      <c r="E175" s="27"/>
      <c r="F175" s="27"/>
      <c r="G175" s="27"/>
      <c r="H175" s="27"/>
      <c r="I175" s="27" t="s">
        <v>472</v>
      </c>
      <c r="J175" s="28">
        <v>24440</v>
      </c>
    </row>
    <row r="176" spans="1:10" x14ac:dyDescent="0.25">
      <c r="A176" s="27"/>
      <c r="B176" s="27"/>
      <c r="C176" s="27"/>
      <c r="D176" s="27"/>
      <c r="E176" s="27"/>
      <c r="F176" s="27"/>
      <c r="G176" s="27"/>
      <c r="H176" s="27"/>
      <c r="I176" s="27" t="s">
        <v>473</v>
      </c>
      <c r="J176" s="28">
        <v>250</v>
      </c>
    </row>
    <row r="177" spans="1:15" ht="15.75" thickBot="1" x14ac:dyDescent="0.3">
      <c r="A177" s="27"/>
      <c r="B177" s="27"/>
      <c r="C177" s="27"/>
      <c r="D177" s="27"/>
      <c r="E177" s="27"/>
      <c r="F177" s="27"/>
      <c r="G177" s="27"/>
      <c r="H177" s="27"/>
      <c r="I177" s="27" t="s">
        <v>474</v>
      </c>
      <c r="J177" s="30">
        <v>482.14</v>
      </c>
    </row>
    <row r="178" spans="1:15" ht="15.75" thickBot="1" x14ac:dyDescent="0.3">
      <c r="A178" s="27"/>
      <c r="B178" s="27"/>
      <c r="C178" s="27"/>
      <c r="D178" s="27"/>
      <c r="E178" s="27"/>
      <c r="F178" s="27"/>
      <c r="G178" s="27"/>
      <c r="H178" s="27" t="s">
        <v>475</v>
      </c>
      <c r="I178" s="27"/>
      <c r="J178" s="33">
        <f>ROUND(SUM(J174:J177),5)</f>
        <v>25172.14</v>
      </c>
    </row>
    <row r="179" spans="1:15" x14ac:dyDescent="0.25">
      <c r="A179" s="27"/>
      <c r="B179" s="27"/>
      <c r="C179" s="27"/>
      <c r="D179" s="27"/>
      <c r="E179" s="27"/>
      <c r="F179" s="27"/>
      <c r="G179" s="27" t="s">
        <v>385</v>
      </c>
      <c r="H179" s="27"/>
      <c r="I179" s="27"/>
      <c r="J179" s="28">
        <f>ROUND(J173+J178,5)</f>
        <v>25172.14</v>
      </c>
    </row>
    <row r="180" spans="1:15" x14ac:dyDescent="0.25">
      <c r="A180" s="27"/>
      <c r="B180" s="27"/>
      <c r="C180" s="27"/>
      <c r="D180" s="27"/>
      <c r="E180" s="27"/>
      <c r="F180" s="27"/>
      <c r="G180" s="27" t="s">
        <v>386</v>
      </c>
      <c r="H180" s="27"/>
      <c r="I180" s="27"/>
      <c r="J180" s="28"/>
    </row>
    <row r="181" spans="1:15" x14ac:dyDescent="0.25">
      <c r="A181" s="27"/>
      <c r="B181" s="27"/>
      <c r="C181" s="27"/>
      <c r="D181" s="27"/>
      <c r="E181" s="27"/>
      <c r="F181" s="27"/>
      <c r="G181" s="27"/>
      <c r="H181" s="27" t="s">
        <v>387</v>
      </c>
      <c r="I181" s="27"/>
      <c r="J181" s="30">
        <v>732</v>
      </c>
    </row>
    <row r="182" spans="1:15" ht="15.75" thickBot="1" x14ac:dyDescent="0.3">
      <c r="A182" s="27"/>
      <c r="B182" s="27"/>
      <c r="C182" s="27"/>
      <c r="D182" s="27"/>
      <c r="E182" s="27"/>
      <c r="F182" s="27"/>
      <c r="G182" s="27"/>
      <c r="H182" s="155" t="s">
        <v>420</v>
      </c>
      <c r="I182" s="155"/>
      <c r="J182" s="159">
        <v>45000</v>
      </c>
    </row>
    <row r="183" spans="1:15" ht="15.75" thickBot="1" x14ac:dyDescent="0.3">
      <c r="A183" s="27"/>
      <c r="B183" s="27"/>
      <c r="C183" s="27"/>
      <c r="D183" s="27"/>
      <c r="E183" s="27"/>
      <c r="F183" s="27"/>
      <c r="G183" s="27" t="s">
        <v>388</v>
      </c>
      <c r="H183" s="27"/>
      <c r="I183" s="27"/>
      <c r="J183" s="33">
        <f>ROUND(SUM(J180:J182),5)</f>
        <v>45732</v>
      </c>
    </row>
    <row r="184" spans="1:15" x14ac:dyDescent="0.25">
      <c r="A184" s="27"/>
      <c r="B184" s="27"/>
      <c r="C184" s="27"/>
      <c r="D184" s="27"/>
      <c r="E184" s="27"/>
      <c r="F184" s="27"/>
      <c r="G184" s="155" t="s">
        <v>416</v>
      </c>
      <c r="H184" s="155"/>
      <c r="I184" s="155"/>
      <c r="J184" s="156"/>
    </row>
    <row r="185" spans="1:15" x14ac:dyDescent="0.25">
      <c r="A185" s="27"/>
      <c r="B185" s="27"/>
      <c r="C185" s="27"/>
      <c r="D185" s="27"/>
      <c r="E185" s="27"/>
      <c r="F185" s="27"/>
      <c r="G185" s="155"/>
      <c r="H185" s="155" t="s">
        <v>422</v>
      </c>
      <c r="I185" s="155"/>
      <c r="J185" s="156">
        <v>90000</v>
      </c>
    </row>
    <row r="186" spans="1:15" x14ac:dyDescent="0.25">
      <c r="A186" s="27"/>
      <c r="B186" s="27"/>
      <c r="C186" s="27"/>
      <c r="D186" s="27"/>
      <c r="E186" s="27"/>
      <c r="F186" s="27"/>
      <c r="G186" s="155"/>
      <c r="H186" s="155" t="s">
        <v>417</v>
      </c>
      <c r="I186" s="155"/>
      <c r="J186" s="156">
        <v>10800</v>
      </c>
    </row>
    <row r="187" spans="1:15" ht="15.75" thickBot="1" x14ac:dyDescent="0.3">
      <c r="A187" s="27"/>
      <c r="B187" s="27"/>
      <c r="C187" s="27"/>
      <c r="D187" s="27"/>
      <c r="E187" s="27"/>
      <c r="F187" s="27"/>
      <c r="G187" s="155"/>
      <c r="H187" s="155" t="s">
        <v>418</v>
      </c>
      <c r="I187" s="155"/>
      <c r="J187" s="157">
        <v>2700</v>
      </c>
    </row>
    <row r="188" spans="1:15" x14ac:dyDescent="0.25">
      <c r="A188" s="27"/>
      <c r="B188" s="27"/>
      <c r="C188" s="27"/>
      <c r="D188" s="27"/>
      <c r="E188" s="27"/>
      <c r="F188" s="27"/>
      <c r="G188" s="155" t="s">
        <v>419</v>
      </c>
      <c r="H188" s="155"/>
      <c r="I188" s="155"/>
      <c r="J188" s="156">
        <f>ROUND(SUM(J184:J187),5)</f>
        <v>103500</v>
      </c>
    </row>
    <row r="189" spans="1:15" x14ac:dyDescent="0.25">
      <c r="A189" s="27"/>
      <c r="B189" s="27"/>
      <c r="C189" s="27"/>
      <c r="D189" s="27"/>
      <c r="E189" s="27"/>
      <c r="F189" s="27" t="s">
        <v>421</v>
      </c>
      <c r="G189" s="27"/>
      <c r="H189" s="27"/>
      <c r="I189" s="27"/>
      <c r="J189" s="156">
        <f>ROUND(J172+J179+J183+J188,5)</f>
        <v>174404.14</v>
      </c>
      <c r="K189" s="162" t="s">
        <v>498</v>
      </c>
      <c r="L189" s="163"/>
      <c r="M189" s="163"/>
      <c r="N189" s="163"/>
      <c r="O189" s="163"/>
    </row>
    <row r="190" spans="1:15" x14ac:dyDescent="0.25">
      <c r="A190" s="27"/>
      <c r="B190" s="27"/>
      <c r="C190" s="27"/>
      <c r="D190" s="27"/>
      <c r="E190" s="27"/>
      <c r="F190" s="27" t="s">
        <v>482</v>
      </c>
      <c r="G190" s="27"/>
      <c r="H190" s="27"/>
      <c r="I190" s="27"/>
      <c r="J190" s="28"/>
    </row>
    <row r="191" spans="1:15" ht="15.75" thickBot="1" x14ac:dyDescent="0.3">
      <c r="A191" s="27"/>
      <c r="B191" s="27"/>
      <c r="C191" s="27"/>
      <c r="D191" s="27"/>
      <c r="E191" s="27"/>
      <c r="F191" s="27"/>
      <c r="G191" s="27" t="s">
        <v>483</v>
      </c>
      <c r="H191" s="27"/>
      <c r="I191" s="27"/>
      <c r="J191" s="29">
        <v>14739.5</v>
      </c>
    </row>
    <row r="192" spans="1:15" x14ac:dyDescent="0.25">
      <c r="A192" s="27"/>
      <c r="B192" s="27"/>
      <c r="C192" s="27"/>
      <c r="D192" s="27"/>
      <c r="E192" s="27"/>
      <c r="F192" s="27" t="s">
        <v>484</v>
      </c>
      <c r="G192" s="27"/>
      <c r="H192" s="27"/>
      <c r="I192" s="27"/>
      <c r="J192" s="28">
        <f>ROUND(SUM(J190:J191),5)</f>
        <v>14739.5</v>
      </c>
    </row>
    <row r="193" spans="1:12" x14ac:dyDescent="0.25">
      <c r="A193" s="27"/>
      <c r="B193" s="27"/>
      <c r="C193" s="27"/>
      <c r="D193" s="27"/>
      <c r="E193" s="27"/>
      <c r="F193" s="27" t="s">
        <v>281</v>
      </c>
      <c r="G193" s="27"/>
      <c r="H193" s="27"/>
      <c r="I193" s="27"/>
      <c r="J193" s="28"/>
    </row>
    <row r="194" spans="1:12" x14ac:dyDescent="0.25">
      <c r="A194" s="27"/>
      <c r="B194" s="27"/>
      <c r="C194" s="27"/>
      <c r="D194" s="27"/>
      <c r="E194" s="27"/>
      <c r="F194" s="27"/>
      <c r="G194" s="27" t="s">
        <v>293</v>
      </c>
      <c r="H194" s="27"/>
      <c r="I194" s="27"/>
      <c r="J194" s="28"/>
    </row>
    <row r="195" spans="1:12" ht="15.75" thickBot="1" x14ac:dyDescent="0.3">
      <c r="A195" s="27"/>
      <c r="B195" s="27"/>
      <c r="C195" s="27"/>
      <c r="D195" s="27"/>
      <c r="E195" s="27"/>
      <c r="F195" s="27"/>
      <c r="G195" s="27"/>
      <c r="H195" s="155" t="s">
        <v>290</v>
      </c>
      <c r="I195" s="155"/>
      <c r="J195" s="157">
        <v>225000</v>
      </c>
    </row>
    <row r="196" spans="1:12" x14ac:dyDescent="0.25">
      <c r="A196" s="27"/>
      <c r="B196" s="27"/>
      <c r="C196" s="27"/>
      <c r="D196" s="27"/>
      <c r="E196" s="27"/>
      <c r="F196" s="27"/>
      <c r="G196" s="27"/>
      <c r="H196" s="27" t="s">
        <v>295</v>
      </c>
      <c r="I196" s="27"/>
      <c r="J196" s="28">
        <v>45582.15</v>
      </c>
    </row>
    <row r="197" spans="1:12" x14ac:dyDescent="0.25">
      <c r="A197" s="27"/>
      <c r="B197" s="27"/>
      <c r="C197" s="27"/>
      <c r="D197" s="27"/>
      <c r="E197" s="27"/>
      <c r="F197" s="27"/>
      <c r="G197" s="27"/>
      <c r="H197" s="27" t="s">
        <v>296</v>
      </c>
      <c r="I197" s="27"/>
      <c r="J197" s="28">
        <v>40573</v>
      </c>
    </row>
    <row r="198" spans="1:12" x14ac:dyDescent="0.25">
      <c r="A198" s="27"/>
      <c r="B198" s="27"/>
      <c r="C198" s="27"/>
      <c r="D198" s="27"/>
      <c r="E198" s="27"/>
      <c r="F198" s="27"/>
      <c r="G198" s="27"/>
      <c r="H198" s="27" t="s">
        <v>304</v>
      </c>
      <c r="I198" s="27"/>
      <c r="J198" s="28">
        <v>11710</v>
      </c>
    </row>
    <row r="199" spans="1:12" x14ac:dyDescent="0.25">
      <c r="A199" s="27"/>
      <c r="B199" s="27"/>
      <c r="C199" s="27"/>
      <c r="D199" s="27"/>
      <c r="E199" s="27"/>
      <c r="F199" s="27"/>
      <c r="G199" s="27"/>
      <c r="H199" s="27" t="s">
        <v>305</v>
      </c>
      <c r="I199" s="27"/>
      <c r="J199" s="28">
        <v>10406</v>
      </c>
    </row>
    <row r="200" spans="1:12" x14ac:dyDescent="0.25">
      <c r="A200" s="27"/>
      <c r="B200" s="27"/>
      <c r="C200" s="27"/>
      <c r="D200" s="27"/>
      <c r="E200" s="27"/>
      <c r="F200" s="27"/>
      <c r="G200" s="27"/>
      <c r="H200" s="27" t="s">
        <v>306</v>
      </c>
      <c r="I200" s="27"/>
      <c r="J200" s="28">
        <v>48310</v>
      </c>
    </row>
    <row r="201" spans="1:12" ht="15.75" thickBot="1" x14ac:dyDescent="0.3">
      <c r="A201" s="27"/>
      <c r="B201" s="27"/>
      <c r="C201" s="27"/>
      <c r="D201" s="27"/>
      <c r="E201" s="27"/>
      <c r="F201" s="27"/>
      <c r="G201" s="27"/>
      <c r="H201" s="27" t="s">
        <v>309</v>
      </c>
      <c r="I201" s="27"/>
      <c r="J201" s="29">
        <v>6450</v>
      </c>
    </row>
    <row r="202" spans="1:12" x14ac:dyDescent="0.25">
      <c r="A202" s="27"/>
      <c r="B202" s="27"/>
      <c r="C202" s="27"/>
      <c r="D202" s="27"/>
      <c r="E202" s="27"/>
      <c r="F202" s="27"/>
      <c r="G202" s="27" t="s">
        <v>310</v>
      </c>
      <c r="H202" s="27"/>
      <c r="I202" s="27"/>
      <c r="J202" s="28">
        <f>ROUND(SUM(J194:J201),5)</f>
        <v>388031.15</v>
      </c>
      <c r="K202" s="197">
        <f>J202-J196</f>
        <v>342449</v>
      </c>
      <c r="L202" s="111">
        <f>K202*0.8</f>
        <v>273959.2</v>
      </c>
    </row>
    <row r="203" spans="1:12" x14ac:dyDescent="0.25">
      <c r="A203" s="27"/>
      <c r="B203" s="27"/>
      <c r="C203" s="27"/>
      <c r="D203" s="27"/>
      <c r="E203" s="27"/>
      <c r="F203" s="27"/>
      <c r="G203" s="27" t="s">
        <v>311</v>
      </c>
      <c r="H203" s="27"/>
      <c r="I203" s="27"/>
      <c r="J203" s="28"/>
      <c r="L203" s="108">
        <f>L202+J196</f>
        <v>319541.35000000003</v>
      </c>
    </row>
    <row r="204" spans="1:12" x14ac:dyDescent="0.25">
      <c r="A204" s="27"/>
      <c r="B204" s="27"/>
      <c r="C204" s="27"/>
      <c r="D204" s="27"/>
      <c r="E204" s="27"/>
      <c r="F204" s="27"/>
      <c r="G204" s="27"/>
      <c r="H204" s="155" t="s">
        <v>313</v>
      </c>
      <c r="I204" s="155"/>
      <c r="J204" s="156">
        <v>8343.07</v>
      </c>
    </row>
    <row r="205" spans="1:12" x14ac:dyDescent="0.25">
      <c r="A205" s="27"/>
      <c r="B205" s="27"/>
      <c r="C205" s="27"/>
      <c r="D205" s="27"/>
      <c r="E205" s="27"/>
      <c r="F205" s="27"/>
      <c r="G205" s="27"/>
      <c r="H205" s="27" t="s">
        <v>314</v>
      </c>
      <c r="I205" s="27"/>
      <c r="J205" s="28">
        <v>107965.28</v>
      </c>
    </row>
    <row r="206" spans="1:12" ht="15.75" thickBot="1" x14ac:dyDescent="0.3">
      <c r="A206" s="27"/>
      <c r="B206" s="27"/>
      <c r="C206" s="27"/>
      <c r="D206" s="27"/>
      <c r="E206" s="27"/>
      <c r="F206" s="27"/>
      <c r="G206" s="27"/>
      <c r="H206" s="27" t="s">
        <v>315</v>
      </c>
      <c r="I206" s="27"/>
      <c r="J206" s="29">
        <v>89941.59</v>
      </c>
    </row>
    <row r="207" spans="1:12" x14ac:dyDescent="0.25">
      <c r="A207" s="27"/>
      <c r="B207" s="27"/>
      <c r="C207" s="27"/>
      <c r="D207" s="27"/>
      <c r="E207" s="27"/>
      <c r="F207" s="27"/>
      <c r="G207" s="27" t="s">
        <v>318</v>
      </c>
      <c r="H207" s="27"/>
      <c r="I207" s="27"/>
      <c r="J207" s="28">
        <f>ROUND(SUM(J203:J206),5)</f>
        <v>206249.94</v>
      </c>
    </row>
    <row r="208" spans="1:12" x14ac:dyDescent="0.25">
      <c r="A208" s="27"/>
      <c r="B208" s="27"/>
      <c r="C208" s="27"/>
      <c r="D208" s="27"/>
      <c r="E208" s="27"/>
      <c r="F208" s="27"/>
      <c r="G208" s="27" t="s">
        <v>319</v>
      </c>
      <c r="H208" s="27"/>
      <c r="I208" s="27"/>
      <c r="J208" s="28"/>
    </row>
    <row r="209" spans="1:10" x14ac:dyDescent="0.25">
      <c r="A209" s="27"/>
      <c r="B209" s="27"/>
      <c r="C209" s="27"/>
      <c r="D209" s="27"/>
      <c r="E209" s="27"/>
      <c r="F209" s="27"/>
      <c r="G209" s="27"/>
      <c r="H209" s="27" t="s">
        <v>321</v>
      </c>
      <c r="I209" s="155"/>
      <c r="J209" s="156">
        <v>11384.8</v>
      </c>
    </row>
    <row r="210" spans="1:10" x14ac:dyDescent="0.25">
      <c r="A210" s="27"/>
      <c r="B210" s="27"/>
      <c r="C210" s="27"/>
      <c r="D210" s="27"/>
      <c r="E210" s="27"/>
      <c r="F210" s="27"/>
      <c r="G210" s="27"/>
      <c r="H210" s="27" t="s">
        <v>323</v>
      </c>
      <c r="I210" s="27"/>
      <c r="J210" s="30">
        <v>87675.6</v>
      </c>
    </row>
    <row r="211" spans="1:10" x14ac:dyDescent="0.25">
      <c r="A211" s="27"/>
      <c r="B211" s="27"/>
      <c r="C211" s="27"/>
      <c r="D211" s="27"/>
      <c r="E211" s="27"/>
      <c r="F211" s="27"/>
      <c r="G211" s="27"/>
      <c r="H211" s="27" t="s">
        <v>320</v>
      </c>
      <c r="I211" s="27"/>
      <c r="J211" s="30">
        <v>10475.4</v>
      </c>
    </row>
    <row r="212" spans="1:10" x14ac:dyDescent="0.25">
      <c r="A212" s="27"/>
      <c r="B212" s="27"/>
      <c r="C212" s="27"/>
      <c r="D212" s="27"/>
      <c r="E212" s="27"/>
      <c r="F212" s="27"/>
      <c r="G212" s="27"/>
      <c r="H212" s="155" t="s">
        <v>322</v>
      </c>
      <c r="I212" s="155"/>
      <c r="J212" s="156">
        <v>70000</v>
      </c>
    </row>
    <row r="213" spans="1:10" x14ac:dyDescent="0.25">
      <c r="A213" s="27"/>
      <c r="B213" s="27"/>
      <c r="C213" s="27"/>
      <c r="D213" s="27"/>
      <c r="E213" s="27"/>
      <c r="F213" s="27"/>
      <c r="G213" s="27" t="s">
        <v>324</v>
      </c>
      <c r="H213" s="27"/>
      <c r="I213" s="27"/>
      <c r="J213" s="28">
        <f>ROUND(SUM(J208:J212),5)</f>
        <v>179535.8</v>
      </c>
    </row>
    <row r="214" spans="1:10" x14ac:dyDescent="0.25">
      <c r="A214" s="27"/>
      <c r="B214" s="27"/>
      <c r="C214" s="27"/>
      <c r="D214" s="27"/>
      <c r="E214" s="27"/>
      <c r="F214" s="27"/>
      <c r="G214" s="27" t="s">
        <v>325</v>
      </c>
      <c r="H214" s="27"/>
      <c r="I214" s="27"/>
      <c r="J214" s="28"/>
    </row>
    <row r="215" spans="1:10" x14ac:dyDescent="0.25">
      <c r="A215" s="27"/>
      <c r="B215" s="27"/>
      <c r="C215" s="27"/>
      <c r="D215" s="27"/>
      <c r="E215" s="27"/>
      <c r="F215" s="27"/>
      <c r="G215" s="27"/>
      <c r="H215" s="27" t="s">
        <v>328</v>
      </c>
      <c r="I215" s="27"/>
      <c r="J215" s="28">
        <v>5000</v>
      </c>
    </row>
    <row r="216" spans="1:10" ht="15.75" thickBot="1" x14ac:dyDescent="0.3">
      <c r="A216" s="27"/>
      <c r="B216" s="27"/>
      <c r="C216" s="27"/>
      <c r="D216" s="27"/>
      <c r="E216" s="27"/>
      <c r="F216" s="27"/>
      <c r="G216" s="27"/>
      <c r="H216" s="27" t="s">
        <v>330</v>
      </c>
      <c r="I216" s="27"/>
      <c r="J216" s="29">
        <v>28586</v>
      </c>
    </row>
    <row r="217" spans="1:10" x14ac:dyDescent="0.25">
      <c r="A217" s="27"/>
      <c r="B217" s="27"/>
      <c r="C217" s="27"/>
      <c r="D217" s="27"/>
      <c r="E217" s="27"/>
      <c r="F217" s="27"/>
      <c r="G217" s="27" t="s">
        <v>333</v>
      </c>
      <c r="H217" s="27"/>
      <c r="I217" s="27"/>
      <c r="J217" s="28">
        <f>ROUND(SUM(J214:J216),5)</f>
        <v>33586</v>
      </c>
    </row>
    <row r="218" spans="1:10" x14ac:dyDescent="0.25">
      <c r="A218" s="27"/>
      <c r="B218" s="27"/>
      <c r="C218" s="27"/>
      <c r="D218" s="27"/>
      <c r="E218" s="27"/>
      <c r="F218" s="27"/>
      <c r="G218" s="27" t="s">
        <v>340</v>
      </c>
      <c r="H218" s="27"/>
      <c r="I218" s="27"/>
      <c r="J218" s="28"/>
    </row>
    <row r="219" spans="1:10" ht="15.75" thickBot="1" x14ac:dyDescent="0.3">
      <c r="A219" s="27"/>
      <c r="B219" s="27"/>
      <c r="C219" s="27"/>
      <c r="D219" s="27"/>
      <c r="E219" s="27"/>
      <c r="F219" s="27"/>
      <c r="G219" s="27"/>
      <c r="H219" s="27" t="s">
        <v>341</v>
      </c>
      <c r="I219" s="27"/>
      <c r="J219" s="29">
        <v>2865</v>
      </c>
    </row>
    <row r="220" spans="1:10" x14ac:dyDescent="0.25">
      <c r="A220" s="27"/>
      <c r="B220" s="27"/>
      <c r="C220" s="27"/>
      <c r="D220" s="27"/>
      <c r="E220" s="27"/>
      <c r="F220" s="27"/>
      <c r="G220" s="27" t="s">
        <v>342</v>
      </c>
      <c r="H220" s="27"/>
      <c r="I220" s="27"/>
      <c r="J220" s="28">
        <f>ROUND(SUM(J218:J219),5)</f>
        <v>2865</v>
      </c>
    </row>
    <row r="221" spans="1:10" x14ac:dyDescent="0.25">
      <c r="A221" s="27"/>
      <c r="B221" s="27"/>
      <c r="C221" s="27"/>
      <c r="D221" s="27"/>
      <c r="E221" s="27"/>
      <c r="F221" s="27"/>
      <c r="G221" s="27" t="s">
        <v>343</v>
      </c>
      <c r="H221" s="27"/>
      <c r="I221" s="27"/>
      <c r="J221" s="28"/>
    </row>
    <row r="222" spans="1:10" x14ac:dyDescent="0.25">
      <c r="A222" s="27"/>
      <c r="B222" s="27"/>
      <c r="C222" s="27"/>
      <c r="D222" s="27"/>
      <c r="E222" s="27"/>
      <c r="F222" s="27"/>
      <c r="G222" s="27"/>
      <c r="H222" s="27" t="s">
        <v>344</v>
      </c>
      <c r="I222" s="27"/>
      <c r="J222" s="28">
        <v>68069.8</v>
      </c>
    </row>
    <row r="223" spans="1:10" x14ac:dyDescent="0.25">
      <c r="A223" s="27"/>
      <c r="B223" s="27"/>
      <c r="C223" s="27"/>
      <c r="D223" s="27"/>
      <c r="E223" s="27"/>
      <c r="F223" s="27"/>
      <c r="G223" s="27"/>
      <c r="H223" s="27" t="s">
        <v>346</v>
      </c>
      <c r="I223" s="27"/>
      <c r="J223" s="28">
        <v>463702.25</v>
      </c>
    </row>
    <row r="224" spans="1:10" x14ac:dyDescent="0.25">
      <c r="A224" s="27"/>
      <c r="B224" s="27"/>
      <c r="C224" s="27"/>
      <c r="D224" s="27"/>
      <c r="E224" s="27"/>
      <c r="F224" s="27"/>
      <c r="G224" s="27"/>
      <c r="H224" s="27" t="s">
        <v>349</v>
      </c>
      <c r="I224" s="27"/>
      <c r="J224" s="28">
        <v>500</v>
      </c>
    </row>
    <row r="225" spans="1:10" ht="15.75" thickBot="1" x14ac:dyDescent="0.3">
      <c r="A225" s="27"/>
      <c r="B225" s="27"/>
      <c r="C225" s="27"/>
      <c r="D225" s="27"/>
      <c r="E225" s="27"/>
      <c r="F225" s="27"/>
      <c r="G225" s="27"/>
      <c r="H225" s="27" t="s">
        <v>351</v>
      </c>
      <c r="I225" s="27"/>
      <c r="J225" s="30">
        <v>22699.4</v>
      </c>
    </row>
    <row r="226" spans="1:10" ht="15.75" thickBot="1" x14ac:dyDescent="0.3">
      <c r="A226" s="27"/>
      <c r="B226" s="27"/>
      <c r="C226" s="27"/>
      <c r="D226" s="27"/>
      <c r="E226" s="27"/>
      <c r="F226" s="27"/>
      <c r="G226" s="27" t="s">
        <v>353</v>
      </c>
      <c r="H226" s="27"/>
      <c r="I226" s="27"/>
      <c r="J226" s="34">
        <f>ROUND(SUM(J221:J225),5)</f>
        <v>554971.44999999995</v>
      </c>
    </row>
    <row r="227" spans="1:10" ht="15.75" thickBot="1" x14ac:dyDescent="0.3">
      <c r="A227" s="27"/>
      <c r="B227" s="27"/>
      <c r="C227" s="27"/>
      <c r="D227" s="27"/>
      <c r="E227" s="27"/>
      <c r="F227" s="27" t="s">
        <v>355</v>
      </c>
      <c r="G227" s="27"/>
      <c r="H227" s="27"/>
      <c r="I227" s="27"/>
      <c r="J227" s="34">
        <f>ROUND(J193+J202+J207+J213+J217+J220+J226,5)</f>
        <v>1365239.34</v>
      </c>
    </row>
    <row r="228" spans="1:10" ht="15.75" thickBot="1" x14ac:dyDescent="0.3">
      <c r="A228" s="27"/>
      <c r="B228" s="27"/>
      <c r="C228" s="27"/>
      <c r="D228" s="27"/>
      <c r="E228" s="27" t="s">
        <v>356</v>
      </c>
      <c r="F228" s="27"/>
      <c r="G228" s="27"/>
      <c r="H228" s="27"/>
      <c r="I228" s="27"/>
      <c r="J228" s="34">
        <f>ROUND(J63+J102+J134+J148+J171+J189+J192+J227,5)</f>
        <v>2796784.37</v>
      </c>
    </row>
    <row r="229" spans="1:10" ht="15.75" thickBot="1" x14ac:dyDescent="0.3">
      <c r="A229" s="27"/>
      <c r="B229" s="27"/>
      <c r="C229" s="27"/>
      <c r="D229" s="27" t="s">
        <v>357</v>
      </c>
      <c r="E229" s="27"/>
      <c r="F229" s="27"/>
      <c r="G229" s="27"/>
      <c r="H229" s="27"/>
      <c r="I229" s="27"/>
      <c r="J229" s="33">
        <f>ROUND(J62+J228,5)</f>
        <v>2796784.37</v>
      </c>
    </row>
    <row r="230" spans="1:10" x14ac:dyDescent="0.25">
      <c r="A230" s="27"/>
      <c r="B230" s="27" t="s">
        <v>358</v>
      </c>
      <c r="C230" s="27"/>
      <c r="D230" s="27"/>
      <c r="E230" s="27"/>
      <c r="F230" s="27"/>
      <c r="G230" s="27"/>
      <c r="H230" s="27"/>
      <c r="I230" s="27"/>
      <c r="J230" s="28">
        <f>ROUND(J3+J61-J229,5)</f>
        <v>1678583.16</v>
      </c>
    </row>
    <row r="231" spans="1:10" x14ac:dyDescent="0.25">
      <c r="A231" s="27"/>
      <c r="B231" s="27" t="s">
        <v>359</v>
      </c>
      <c r="C231" s="27"/>
      <c r="D231" s="27"/>
      <c r="E231" s="27"/>
      <c r="F231" s="27"/>
      <c r="G231" s="27"/>
      <c r="H231" s="27"/>
      <c r="I231" s="27"/>
      <c r="J231" s="28"/>
    </row>
    <row r="232" spans="1:10" x14ac:dyDescent="0.25">
      <c r="A232" s="27"/>
      <c r="B232" s="27"/>
      <c r="C232" s="27" t="s">
        <v>360</v>
      </c>
      <c r="D232" s="27"/>
      <c r="E232" s="27"/>
      <c r="F232" s="27"/>
      <c r="G232" s="27"/>
      <c r="H232" s="27"/>
      <c r="I232" s="27"/>
      <c r="J232" s="28"/>
    </row>
    <row r="233" spans="1:10" x14ac:dyDescent="0.25">
      <c r="A233" s="27"/>
      <c r="B233" s="27"/>
      <c r="C233" s="27"/>
      <c r="D233" s="27" t="s">
        <v>361</v>
      </c>
      <c r="E233" s="27"/>
      <c r="F233" s="27"/>
      <c r="G233" s="27"/>
      <c r="H233" s="27"/>
      <c r="I233" s="27"/>
      <c r="J233" s="28"/>
    </row>
    <row r="234" spans="1:10" ht="15.75" thickBot="1" x14ac:dyDescent="0.3">
      <c r="A234" s="27"/>
      <c r="B234" s="27"/>
      <c r="C234" s="27"/>
      <c r="D234" s="27"/>
      <c r="E234" s="27" t="s">
        <v>363</v>
      </c>
      <c r="F234" s="27"/>
      <c r="G234" s="27"/>
      <c r="H234" s="27"/>
      <c r="I234" s="27"/>
      <c r="J234" s="30">
        <v>13475</v>
      </c>
    </row>
    <row r="235" spans="1:10" ht="15.75" thickBot="1" x14ac:dyDescent="0.3">
      <c r="A235" s="27"/>
      <c r="B235" s="27"/>
      <c r="C235" s="27"/>
      <c r="D235" s="27" t="s">
        <v>366</v>
      </c>
      <c r="E235" s="27"/>
      <c r="F235" s="27"/>
      <c r="G235" s="27"/>
      <c r="H235" s="27"/>
      <c r="I235" s="27"/>
      <c r="J235" s="33">
        <f>ROUND(SUM(J233:J234),5)</f>
        <v>13475</v>
      </c>
    </row>
    <row r="236" spans="1:10" x14ac:dyDescent="0.25">
      <c r="A236" s="27"/>
      <c r="B236" s="27"/>
      <c r="C236" s="27" t="s">
        <v>367</v>
      </c>
      <c r="D236" s="27"/>
      <c r="E236" s="27"/>
      <c r="F236" s="27"/>
      <c r="G236" s="27"/>
      <c r="H236" s="27"/>
      <c r="I236" s="27"/>
      <c r="J236" s="28">
        <f>ROUND(J232+J235,5)</f>
        <v>13475</v>
      </c>
    </row>
    <row r="237" spans="1:10" x14ac:dyDescent="0.25">
      <c r="A237" s="27"/>
      <c r="B237" s="27"/>
      <c r="C237" s="27" t="s">
        <v>368</v>
      </c>
      <c r="D237" s="27"/>
      <c r="E237" s="27"/>
      <c r="F237" s="27"/>
      <c r="G237" s="27"/>
      <c r="H237" s="27"/>
      <c r="I237" s="27"/>
      <c r="J237" s="28"/>
    </row>
    <row r="238" spans="1:10" ht="15.75" thickBot="1" x14ac:dyDescent="0.3">
      <c r="A238" s="27"/>
      <c r="B238" s="27"/>
      <c r="C238" s="27"/>
      <c r="D238" s="27" t="s">
        <v>369</v>
      </c>
      <c r="E238" s="27"/>
      <c r="F238" s="27"/>
      <c r="G238" s="27"/>
      <c r="H238" s="27"/>
      <c r="I238" s="27"/>
      <c r="J238" s="30">
        <v>0</v>
      </c>
    </row>
    <row r="239" spans="1:10" ht="15.75" thickBot="1" x14ac:dyDescent="0.3">
      <c r="A239" s="27"/>
      <c r="B239" s="27"/>
      <c r="C239" s="27" t="s">
        <v>370</v>
      </c>
      <c r="D239" s="27"/>
      <c r="E239" s="27"/>
      <c r="F239" s="27"/>
      <c r="G239" s="27"/>
      <c r="H239" s="27"/>
      <c r="I239" s="27"/>
      <c r="J239" s="34">
        <f>ROUND(SUM(J237:J238),5)</f>
        <v>0</v>
      </c>
    </row>
    <row r="240" spans="1:10" ht="15.75" thickBot="1" x14ac:dyDescent="0.3">
      <c r="A240" s="27"/>
      <c r="B240" s="27" t="s">
        <v>371</v>
      </c>
      <c r="C240" s="27"/>
      <c r="D240" s="27"/>
      <c r="E240" s="27"/>
      <c r="F240" s="27"/>
      <c r="G240" s="27"/>
      <c r="H240" s="27"/>
      <c r="I240" s="27"/>
      <c r="J240" s="34">
        <f>ROUND(J231+J236-J239,5)</f>
        <v>13475</v>
      </c>
    </row>
    <row r="241" spans="1:31" s="104" customFormat="1" ht="12" thickBot="1" x14ac:dyDescent="0.25">
      <c r="A241" s="27" t="s">
        <v>372</v>
      </c>
      <c r="B241" s="27"/>
      <c r="C241" s="27"/>
      <c r="D241" s="27"/>
      <c r="E241" s="27"/>
      <c r="F241" s="27"/>
      <c r="G241" s="27"/>
      <c r="H241" s="27"/>
      <c r="I241" s="27"/>
      <c r="J241" s="35">
        <f>ROUND(J230+J240,5)</f>
        <v>1692058.16</v>
      </c>
      <c r="P241" s="190"/>
      <c r="Q241" s="190"/>
      <c r="R241" s="190"/>
      <c r="S241" s="190"/>
      <c r="T241" s="190"/>
      <c r="U241" s="190"/>
      <c r="V241" s="190"/>
      <c r="W241" s="190"/>
      <c r="X241" s="190"/>
      <c r="Y241" s="190"/>
      <c r="Z241" s="190"/>
      <c r="AA241" s="190"/>
      <c r="AB241" s="190"/>
      <c r="AC241" s="190"/>
      <c r="AD241" s="190"/>
      <c r="AE241" s="190"/>
    </row>
    <row r="242" spans="1:31" ht="15.75" thickTop="1" x14ac:dyDescent="0.25"/>
    <row r="243" spans="1:31" x14ac:dyDescent="0.25">
      <c r="J243" s="107" t="e">
        <f>J241+#REF!</f>
        <v>#REF!</v>
      </c>
    </row>
    <row r="244" spans="1:31" x14ac:dyDescent="0.25">
      <c r="J244" s="154" t="e">
        <f>J243/130000</f>
        <v>#REF!</v>
      </c>
    </row>
  </sheetData>
  <pageMargins left="0.7" right="0.7" top="0.75" bottom="0.75" header="0.25" footer="0.3"/>
  <pageSetup orientation="portrait" horizontalDpi="4294967292" verticalDpi="0" r:id="rId1"/>
  <headerFooter>
    <oddHeader>&amp;L&amp;"Arial,Bold"&amp;8 4:28 AM
&amp;"Arial,Bold"&amp;8 02/06/15
&amp;"Arial,Bold"&amp;8 Accrual Basis&amp;C&amp;"Arial,Bold"&amp;12 Tropical Fish International (Pvt) Limited
&amp;"Arial,Bold"&amp;14 Profit &amp;&amp; Loss
&amp;"Arial,Bold"&amp;10 January 2 - 29, 2015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46433" r:id="rId4" name="FILTER">
          <controlPr defaultSize="0" autoLine="0" r:id="rId5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4</xdr:col>
                <xdr:colOff>114300</xdr:colOff>
                <xdr:row>1</xdr:row>
                <xdr:rowOff>228600</xdr:rowOff>
              </to>
            </anchor>
          </controlPr>
        </control>
      </mc:Choice>
      <mc:Fallback>
        <control shapeId="146433" r:id="rId4" name="FILTER"/>
      </mc:Fallback>
    </mc:AlternateContent>
    <mc:AlternateContent xmlns:mc="http://schemas.openxmlformats.org/markup-compatibility/2006">
      <mc:Choice Requires="x14">
        <control shapeId="146434" r:id="rId6" name="HEADER">
          <controlPr defaultSize="0" autoLine="0" r:id="rId7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4</xdr:col>
                <xdr:colOff>114300</xdr:colOff>
                <xdr:row>1</xdr:row>
                <xdr:rowOff>228600</xdr:rowOff>
              </to>
            </anchor>
          </controlPr>
        </control>
      </mc:Choice>
      <mc:Fallback>
        <control shapeId="146434" r:id="rId6" name="HEADER"/>
      </mc:Fallback>
    </mc:AlternateContent>
  </control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L18"/>
  <sheetViews>
    <sheetView workbookViewId="0">
      <selection activeCell="K3" sqref="K3:K4"/>
    </sheetView>
  </sheetViews>
  <sheetFormatPr defaultRowHeight="15" x14ac:dyDescent="0.25"/>
  <cols>
    <col min="1" max="1" width="37.140625" customWidth="1"/>
    <col min="2" max="2" width="7.5703125" style="23" customWidth="1"/>
    <col min="3" max="3" width="15.42578125" customWidth="1"/>
  </cols>
  <sheetData>
    <row r="1" spans="1:12" ht="23.25" x14ac:dyDescent="0.35">
      <c r="A1" s="37" t="s">
        <v>476</v>
      </c>
      <c r="B1" s="37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2" ht="18.75" x14ac:dyDescent="0.3">
      <c r="A2" s="203" t="s">
        <v>616</v>
      </c>
      <c r="B2" s="184"/>
      <c r="C2" s="23"/>
      <c r="D2" s="23"/>
      <c r="E2" s="23"/>
      <c r="F2" s="23"/>
      <c r="G2" s="23"/>
      <c r="H2" s="23"/>
      <c r="I2" s="23"/>
      <c r="J2" s="23"/>
      <c r="K2" s="23"/>
      <c r="L2" s="23"/>
    </row>
    <row r="3" spans="1:12" ht="26.25" x14ac:dyDescent="0.25">
      <c r="A3" s="5"/>
      <c r="B3" s="191" t="s">
        <v>617</v>
      </c>
      <c r="C3" s="124" t="s">
        <v>477</v>
      </c>
      <c r="D3" s="125"/>
      <c r="E3" s="125"/>
      <c r="F3" s="125"/>
      <c r="G3" s="125"/>
      <c r="H3" s="125"/>
      <c r="I3" s="125"/>
      <c r="J3" s="113"/>
      <c r="K3" s="200">
        <v>2015</v>
      </c>
      <c r="L3" s="244">
        <v>2015</v>
      </c>
    </row>
    <row r="4" spans="1:12" x14ac:dyDescent="0.25">
      <c r="A4" s="19"/>
      <c r="B4" s="19"/>
      <c r="C4" s="112"/>
      <c r="D4" s="112"/>
      <c r="E4" s="112"/>
      <c r="F4" s="112"/>
      <c r="G4" s="112"/>
      <c r="H4" s="112"/>
      <c r="I4" s="112"/>
      <c r="J4" s="112"/>
      <c r="K4" s="200" t="s">
        <v>478</v>
      </c>
      <c r="L4" s="244" t="s">
        <v>30</v>
      </c>
    </row>
    <row r="5" spans="1:12" x14ac:dyDescent="0.25">
      <c r="A5" s="20" t="s">
        <v>6</v>
      </c>
      <c r="B5" s="20"/>
      <c r="C5" s="114" t="e">
        <f>SUM(#REF!)/130000</f>
        <v>#REF!</v>
      </c>
      <c r="D5" s="114"/>
      <c r="E5" s="114"/>
      <c r="F5" s="114"/>
      <c r="G5" s="114"/>
      <c r="H5" s="114"/>
      <c r="I5" s="114"/>
      <c r="J5" s="114"/>
      <c r="K5" s="114" t="e">
        <f>SUM(C5:J5)</f>
        <v>#REF!</v>
      </c>
      <c r="L5" s="115"/>
    </row>
    <row r="6" spans="1:12" x14ac:dyDescent="0.25">
      <c r="A6" s="20"/>
      <c r="B6" s="20"/>
      <c r="C6" s="114"/>
      <c r="D6" s="114"/>
      <c r="E6" s="114"/>
      <c r="F6" s="114"/>
      <c r="G6" s="114"/>
      <c r="H6" s="114"/>
      <c r="I6" s="114"/>
      <c r="J6" s="114"/>
      <c r="K6" s="114"/>
      <c r="L6" s="112"/>
    </row>
    <row r="7" spans="1:12" x14ac:dyDescent="0.25">
      <c r="A7" s="20" t="s">
        <v>10</v>
      </c>
      <c r="B7" s="20"/>
      <c r="C7" s="114">
        <f>SUM('TFI - Jan 2nd to 29th -  QB '!J54+'TFI - Jan 2nd to 29th -  QB '!J67)/130/1000</f>
        <v>0.47580499999999992</v>
      </c>
      <c r="D7" s="114"/>
      <c r="E7" s="114"/>
      <c r="F7" s="114"/>
      <c r="G7" s="114"/>
      <c r="H7" s="114"/>
      <c r="I7" s="114"/>
      <c r="J7" s="114"/>
      <c r="K7" s="114">
        <f t="shared" ref="K7:K17" si="0">SUM(C7:J7)</f>
        <v>0.47580499999999992</v>
      </c>
      <c r="L7" s="112"/>
    </row>
    <row r="8" spans="1:12" x14ac:dyDescent="0.25">
      <c r="A8" s="20" t="s">
        <v>1</v>
      </c>
      <c r="B8" s="20"/>
      <c r="C8" s="116">
        <v>0</v>
      </c>
      <c r="D8" s="116"/>
      <c r="E8" s="116"/>
      <c r="F8" s="116"/>
      <c r="G8" s="116"/>
      <c r="H8" s="116"/>
      <c r="I8" s="116"/>
      <c r="J8" s="116"/>
      <c r="K8" s="116" t="e">
        <f>K7/$K$5</f>
        <v>#REF!</v>
      </c>
      <c r="L8" s="117"/>
    </row>
    <row r="9" spans="1:12" x14ac:dyDescent="0.25">
      <c r="A9" s="20" t="s">
        <v>11</v>
      </c>
      <c r="B9" s="202" t="s">
        <v>619</v>
      </c>
      <c r="C9" s="201" t="e">
        <f>SUM(#REF!)/130/1000</f>
        <v>#REF!</v>
      </c>
      <c r="D9" s="114"/>
      <c r="E9" s="114"/>
      <c r="F9" s="114"/>
      <c r="G9" s="114"/>
      <c r="H9" s="114"/>
      <c r="I9" s="114"/>
      <c r="J9" s="114"/>
      <c r="K9" s="114" t="e">
        <f t="shared" si="0"/>
        <v>#REF!</v>
      </c>
      <c r="L9" s="112"/>
    </row>
    <row r="10" spans="1:12" x14ac:dyDescent="0.25">
      <c r="A10" s="20" t="s">
        <v>2</v>
      </c>
      <c r="B10" s="164"/>
      <c r="C10" s="116" t="e">
        <f>C9/$C$5</f>
        <v>#REF!</v>
      </c>
      <c r="D10" s="116"/>
      <c r="E10" s="116"/>
      <c r="F10" s="116"/>
      <c r="G10" s="116"/>
      <c r="H10" s="116"/>
      <c r="I10" s="116"/>
      <c r="J10" s="116"/>
      <c r="K10" s="116" t="e">
        <f>K9/$K$5</f>
        <v>#REF!</v>
      </c>
      <c r="L10" s="119"/>
    </row>
    <row r="11" spans="1:12" x14ac:dyDescent="0.25">
      <c r="A11" s="20" t="s">
        <v>33</v>
      </c>
      <c r="B11" s="20"/>
      <c r="C11" s="140" t="e">
        <f>SUM(C7+C9)</f>
        <v>#REF!</v>
      </c>
      <c r="D11" s="114"/>
      <c r="E11" s="114"/>
      <c r="F11" s="114"/>
      <c r="G11" s="114"/>
      <c r="H11" s="114"/>
      <c r="I11" s="114"/>
      <c r="J11" s="114"/>
      <c r="K11" s="114" t="e">
        <f t="shared" si="0"/>
        <v>#REF!</v>
      </c>
      <c r="L11" s="112"/>
    </row>
    <row r="12" spans="1:12" x14ac:dyDescent="0.25">
      <c r="A12" s="20" t="s">
        <v>3</v>
      </c>
      <c r="B12" s="20"/>
      <c r="C12" s="116" t="e">
        <f>C11/$C$5</f>
        <v>#REF!</v>
      </c>
      <c r="D12" s="116"/>
      <c r="E12" s="116"/>
      <c r="F12" s="116"/>
      <c r="G12" s="116"/>
      <c r="H12" s="116"/>
      <c r="I12" s="116"/>
      <c r="J12" s="116"/>
      <c r="K12" s="116" t="e">
        <f>K11/$K$5</f>
        <v>#REF!</v>
      </c>
      <c r="L12" s="119"/>
    </row>
    <row r="13" spans="1:12" x14ac:dyDescent="0.25">
      <c r="A13" s="20"/>
      <c r="B13" s="20"/>
      <c r="C13" s="114"/>
      <c r="D13" s="114"/>
      <c r="E13" s="114"/>
      <c r="F13" s="114"/>
      <c r="G13" s="114"/>
      <c r="H13" s="114"/>
      <c r="I13" s="114"/>
      <c r="J13" s="114"/>
      <c r="K13" s="114"/>
      <c r="L13" s="112"/>
    </row>
    <row r="14" spans="1:12" x14ac:dyDescent="0.25">
      <c r="A14" s="20" t="s">
        <v>4</v>
      </c>
      <c r="B14" s="202" t="s">
        <v>620</v>
      </c>
      <c r="C14" s="201" t="e">
        <f>SUM(#REF!)/130/1000</f>
        <v>#REF!</v>
      </c>
      <c r="D14" s="114"/>
      <c r="E14" s="114"/>
      <c r="F14" s="114"/>
      <c r="G14" s="114"/>
      <c r="H14" s="114"/>
      <c r="I14" s="114"/>
      <c r="J14" s="114"/>
      <c r="K14" s="114" t="e">
        <f t="shared" si="0"/>
        <v>#REF!</v>
      </c>
      <c r="L14" s="112"/>
    </row>
    <row r="15" spans="1:12" x14ac:dyDescent="0.25">
      <c r="A15" s="20" t="s">
        <v>7</v>
      </c>
      <c r="B15" s="20"/>
      <c r="C15" s="116" t="e">
        <f>C14/C5</f>
        <v>#REF!</v>
      </c>
      <c r="D15" s="116"/>
      <c r="E15" s="116"/>
      <c r="F15" s="116"/>
      <c r="G15" s="116"/>
      <c r="H15" s="116"/>
      <c r="I15" s="116"/>
      <c r="J15" s="116"/>
      <c r="K15" s="116" t="e">
        <f>K14/$K$5</f>
        <v>#REF!</v>
      </c>
      <c r="L15" s="119"/>
    </row>
    <row r="16" spans="1:12" x14ac:dyDescent="0.25">
      <c r="A16" s="20"/>
      <c r="B16" s="20"/>
      <c r="C16" s="114"/>
      <c r="D16" s="114"/>
      <c r="E16" s="114"/>
      <c r="F16" s="114"/>
      <c r="G16" s="114"/>
      <c r="H16" s="114"/>
      <c r="I16" s="114"/>
      <c r="J16" s="114"/>
      <c r="K16" s="114"/>
      <c r="L16" s="112"/>
    </row>
    <row r="17" spans="1:12" x14ac:dyDescent="0.25">
      <c r="A17" s="20" t="s">
        <v>8</v>
      </c>
      <c r="B17" s="20"/>
      <c r="C17" s="114" t="e">
        <f>SUM(#REF!-#REF!-#REF!)/130/1000</f>
        <v>#REF!</v>
      </c>
      <c r="D17" s="114"/>
      <c r="E17" s="114"/>
      <c r="F17" s="114"/>
      <c r="G17" s="114"/>
      <c r="H17" s="114"/>
      <c r="I17" s="114"/>
      <c r="J17" s="114"/>
      <c r="K17" s="122" t="e">
        <f t="shared" si="0"/>
        <v>#REF!</v>
      </c>
      <c r="L17" s="112"/>
    </row>
    <row r="18" spans="1:12" x14ac:dyDescent="0.25">
      <c r="A18" s="20" t="s">
        <v>9</v>
      </c>
      <c r="B18" s="20"/>
      <c r="C18" s="116" t="e">
        <f>C17/C5</f>
        <v>#REF!</v>
      </c>
      <c r="D18" s="116"/>
      <c r="E18" s="116"/>
      <c r="F18" s="116"/>
      <c r="G18" s="116"/>
      <c r="H18" s="116"/>
      <c r="I18" s="116"/>
      <c r="J18" s="116"/>
      <c r="K18" s="116" t="e">
        <f>K17/$K$5</f>
        <v>#REF!</v>
      </c>
      <c r="L18" s="117"/>
    </row>
  </sheetData>
  <pageMargins left="0.7" right="0.7" top="0.75" bottom="0.75" header="0.3" footer="0.3"/>
  <ignoredErrors>
    <ignoredError sqref="B9:C10 B15:C15 B11:B14" numberStoredAsText="1"/>
    <ignoredError sqref="K8:K17" formula="1"/>
    <ignoredError sqref="C11:C14" numberStoredAsText="1" formula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1"/>
  <sheetViews>
    <sheetView topLeftCell="A7" workbookViewId="0">
      <selection activeCell="H9" sqref="H9"/>
    </sheetView>
  </sheetViews>
  <sheetFormatPr defaultRowHeight="15" x14ac:dyDescent="0.25"/>
  <cols>
    <col min="1" max="1" width="45.140625" customWidth="1"/>
    <col min="2" max="2" width="19.140625" customWidth="1"/>
    <col min="3" max="3" width="12.7109375" customWidth="1"/>
    <col min="4" max="4" width="18.5703125" customWidth="1"/>
    <col min="5" max="5" width="13.28515625" customWidth="1"/>
    <col min="6" max="6" width="18.5703125" customWidth="1"/>
  </cols>
  <sheetData>
    <row r="3" spans="1:6" ht="31.5" x14ac:dyDescent="0.5">
      <c r="A3" s="36" t="s">
        <v>36</v>
      </c>
      <c r="B3" s="23"/>
      <c r="C3" s="23"/>
      <c r="D3" s="23"/>
      <c r="E3" s="23"/>
      <c r="F3" s="23"/>
    </row>
    <row r="4" spans="1:6" ht="24" thickBot="1" x14ac:dyDescent="0.4">
      <c r="A4" s="37" t="s">
        <v>37</v>
      </c>
      <c r="B4" s="23" t="s">
        <v>38</v>
      </c>
      <c r="C4" s="41">
        <v>127.6</v>
      </c>
      <c r="D4" s="23"/>
      <c r="E4" s="23">
        <v>128.91</v>
      </c>
      <c r="F4" s="23"/>
    </row>
    <row r="5" spans="1:6" ht="18.75" x14ac:dyDescent="0.3">
      <c r="A5" s="38" t="s">
        <v>35</v>
      </c>
      <c r="B5" s="76" t="s">
        <v>39</v>
      </c>
      <c r="C5" s="79" t="s">
        <v>40</v>
      </c>
      <c r="D5" s="39" t="s">
        <v>39</v>
      </c>
      <c r="E5" s="44" t="s">
        <v>373</v>
      </c>
      <c r="F5" s="47"/>
    </row>
    <row r="6" spans="1:6" ht="19.5" thickBot="1" x14ac:dyDescent="0.35">
      <c r="A6" s="38"/>
      <c r="B6" s="77">
        <v>2012</v>
      </c>
      <c r="C6" s="80">
        <v>2012</v>
      </c>
      <c r="D6" s="42">
        <v>2013</v>
      </c>
      <c r="E6" s="45">
        <v>2013</v>
      </c>
      <c r="F6" s="45">
        <v>2014</v>
      </c>
    </row>
    <row r="7" spans="1:6" ht="19.5" thickBot="1" x14ac:dyDescent="0.35">
      <c r="A7" s="40"/>
      <c r="B7" s="89" t="s">
        <v>5</v>
      </c>
      <c r="C7" s="96" t="s">
        <v>5</v>
      </c>
      <c r="D7" s="43" t="s">
        <v>5</v>
      </c>
      <c r="E7" s="46" t="s">
        <v>5</v>
      </c>
      <c r="F7" s="48" t="s">
        <v>30</v>
      </c>
    </row>
    <row r="8" spans="1:6" x14ac:dyDescent="0.25">
      <c r="A8" s="24" t="s">
        <v>41</v>
      </c>
      <c r="B8" s="88">
        <v>187870225.59999999</v>
      </c>
      <c r="C8" s="51">
        <f>SUM(B8/C4)</f>
        <v>1472337.1912225706</v>
      </c>
      <c r="D8" s="101">
        <f>SUM('P&amp;L2013'!J37)</f>
        <v>238147136.16999999</v>
      </c>
      <c r="E8" s="51">
        <f>SUM(D8/$E$4)</f>
        <v>1847390.7080133427</v>
      </c>
      <c r="F8" s="98">
        <v>2300000</v>
      </c>
    </row>
    <row r="9" spans="1:6" x14ac:dyDescent="0.25">
      <c r="A9" s="24"/>
      <c r="B9" s="85"/>
      <c r="C9" s="94"/>
      <c r="D9" s="85"/>
      <c r="E9" s="93"/>
      <c r="F9" s="99"/>
    </row>
    <row r="10" spans="1:6" x14ac:dyDescent="0.25">
      <c r="A10" s="24" t="s">
        <v>42</v>
      </c>
      <c r="B10" s="85">
        <v>37040841.969999999</v>
      </c>
      <c r="C10" s="94">
        <f>SUM(B10/$C$4)</f>
        <v>290288.73017241381</v>
      </c>
      <c r="D10" s="85">
        <f>SUM('P&amp;L2013'!J95-'P&amp;L2013'!J85-'P&amp;L2013'!J77)</f>
        <v>55436737.880000003</v>
      </c>
      <c r="E10" s="93">
        <f>SUM(D10/$E$4)</f>
        <v>430042.18353890313</v>
      </c>
      <c r="F10" s="100">
        <f>SUM(E11*F8)</f>
        <v>535402.18528171431</v>
      </c>
    </row>
    <row r="11" spans="1:6" x14ac:dyDescent="0.25">
      <c r="A11" s="24" t="s">
        <v>28</v>
      </c>
      <c r="B11" s="90">
        <v>0.19716185388984811</v>
      </c>
      <c r="C11" s="90">
        <v>0.19716185388984811</v>
      </c>
      <c r="D11" s="90">
        <f>SUM(D10/D8)</f>
        <v>0.2327835588181367</v>
      </c>
      <c r="E11" s="90">
        <f>SUM(E10/E8)</f>
        <v>0.23278355881813667</v>
      </c>
      <c r="F11" s="95">
        <f>SUM(F10/F8)</f>
        <v>0.23278355881813664</v>
      </c>
    </row>
    <row r="12" spans="1:6" x14ac:dyDescent="0.25">
      <c r="A12" s="24" t="s">
        <v>43</v>
      </c>
      <c r="B12" s="85">
        <v>36385007.700000003</v>
      </c>
      <c r="C12" s="94">
        <f>SUM(B12/$C$4)</f>
        <v>285148.96316614421</v>
      </c>
      <c r="D12" s="87">
        <f>SUM('P&amp;L2013'!J77)</f>
        <v>51599913.960000001</v>
      </c>
      <c r="E12" s="93">
        <f>SUM(D12/E4)</f>
        <v>400278.59716080991</v>
      </c>
      <c r="F12" s="100">
        <f>SUM(E13*F8)</f>
        <v>498346.54330372083</v>
      </c>
    </row>
    <row r="13" spans="1:6" x14ac:dyDescent="0.25">
      <c r="A13" s="24" t="s">
        <v>0</v>
      </c>
      <c r="B13" s="91">
        <v>0.19367096400612405</v>
      </c>
      <c r="C13" s="91">
        <v>0.19367096400612405</v>
      </c>
      <c r="D13" s="91">
        <f>SUM(D12/D8)</f>
        <v>0.21667241013205255</v>
      </c>
      <c r="E13" s="91">
        <f>SUM(E12/E8)</f>
        <v>0.21667241013205255</v>
      </c>
      <c r="F13" s="91">
        <f>SUM(F12/F8)</f>
        <v>0.21667241013205255</v>
      </c>
    </row>
    <row r="14" spans="1:6" x14ac:dyDescent="0.25">
      <c r="A14" s="24" t="s">
        <v>44</v>
      </c>
      <c r="B14" s="87">
        <v>73425849.670000002</v>
      </c>
      <c r="C14" s="94">
        <f>SUM(B14/$C$4)</f>
        <v>575437.69333855808</v>
      </c>
      <c r="D14" s="87">
        <f>SUM(D10+D12)</f>
        <v>107036651.84</v>
      </c>
      <c r="E14" s="87">
        <f>SUM(E10+E12)</f>
        <v>830320.78069971304</v>
      </c>
      <c r="F14" s="100">
        <f>SUM(E15*F8)</f>
        <v>1033748.7285854353</v>
      </c>
    </row>
    <row r="15" spans="1:6" x14ac:dyDescent="0.25">
      <c r="A15" s="24" t="s">
        <v>45</v>
      </c>
      <c r="B15" s="91">
        <v>0.39083281789597213</v>
      </c>
      <c r="C15" s="91">
        <v>0.39083281789597213</v>
      </c>
      <c r="D15" s="91">
        <f>SUM(D14/D8)</f>
        <v>0.44945596895018924</v>
      </c>
      <c r="E15" s="91">
        <f>SUM(E14/E8)</f>
        <v>0.44945596895018924</v>
      </c>
      <c r="F15" s="91">
        <f>SUM(F14/F8)</f>
        <v>0.44945596895018924</v>
      </c>
    </row>
    <row r="16" spans="1:6" x14ac:dyDescent="0.25">
      <c r="A16" s="24"/>
      <c r="B16" s="85"/>
      <c r="C16" s="94"/>
      <c r="D16" s="86"/>
      <c r="E16" s="93"/>
      <c r="F16" s="99"/>
    </row>
    <row r="17" spans="1:8" x14ac:dyDescent="0.25">
      <c r="A17" s="24" t="s">
        <v>46</v>
      </c>
      <c r="B17" s="83">
        <v>4722903.6100000003</v>
      </c>
      <c r="C17" s="94">
        <f>SUM(B17/$C$4)</f>
        <v>37013.351175548596</v>
      </c>
      <c r="D17" s="85">
        <f>SUM('P&amp;L2013'!J85+'P&amp;L2013'!J103+'P&amp;L2013'!J172)</f>
        <v>8132985.4699999997</v>
      </c>
      <c r="E17" s="93">
        <f>SUM(D17/E4)</f>
        <v>63090.415561244277</v>
      </c>
      <c r="F17" s="100">
        <f>SUM(E18*F8)</f>
        <v>78547.51848725538</v>
      </c>
    </row>
    <row r="18" spans="1:8" x14ac:dyDescent="0.25">
      <c r="A18" s="24" t="s">
        <v>1</v>
      </c>
      <c r="B18" s="78">
        <f>SUM(B17/B8)</f>
        <v>2.5139181021987343E-2</v>
      </c>
      <c r="C18" s="78">
        <f>SUM(C17/C8)</f>
        <v>2.5139181021987343E-2</v>
      </c>
      <c r="D18" s="73">
        <f>SUM(D17/D8)</f>
        <v>3.4151094994458862E-2</v>
      </c>
      <c r="E18" s="73">
        <f>SUM(E17/E8)</f>
        <v>3.4151094994458862E-2</v>
      </c>
      <c r="F18" s="73">
        <f>SUM(F17/F8)</f>
        <v>3.4151094994458862E-2</v>
      </c>
    </row>
    <row r="19" spans="1:8" x14ac:dyDescent="0.25">
      <c r="A19" s="24" t="s">
        <v>47</v>
      </c>
      <c r="B19" s="85">
        <v>28334853.079999998</v>
      </c>
      <c r="C19" s="94">
        <f>SUM(B19/$C$4)</f>
        <v>222059.97711598745</v>
      </c>
      <c r="D19" s="85">
        <f>SUM('P&amp;L2013'!J127+'P&amp;L2013'!J186+'P&amp;L2013'!J241)</f>
        <v>42168973.370000005</v>
      </c>
      <c r="E19" s="93">
        <f>SUM(D19/E4)</f>
        <v>327119.48933364369</v>
      </c>
      <c r="F19" s="100">
        <f>SUM(E20*F8)</f>
        <v>407263.51074726012</v>
      </c>
    </row>
    <row r="20" spans="1:8" x14ac:dyDescent="0.25">
      <c r="A20" s="24" t="s">
        <v>2</v>
      </c>
      <c r="B20" s="91">
        <f>SUM(B19/B8)</f>
        <v>0.15082141403464627</v>
      </c>
      <c r="C20" s="91">
        <f>SUM(C19/C8)</f>
        <v>0.15082141403464625</v>
      </c>
      <c r="D20" s="91">
        <f>SUM(D19/D8)</f>
        <v>0.17707109162924353</v>
      </c>
      <c r="E20" s="91">
        <f>SUM(E19/E8)</f>
        <v>0.17707109162924353</v>
      </c>
      <c r="F20" s="91">
        <f>SUM(F19/F8)</f>
        <v>0.17707109162924353</v>
      </c>
    </row>
    <row r="21" spans="1:8" x14ac:dyDescent="0.25">
      <c r="A21" s="24" t="s">
        <v>48</v>
      </c>
      <c r="B21" s="87">
        <f>SUM(B17+B19)</f>
        <v>33057756.689999998</v>
      </c>
      <c r="C21" s="94">
        <f>SUM(B21/$C$4)</f>
        <v>259073.32829153605</v>
      </c>
      <c r="D21" s="87">
        <f>SUM(D17+D19)</f>
        <v>50301958.840000004</v>
      </c>
      <c r="E21" s="93">
        <f>SUM(E17+E19)</f>
        <v>390209.90489488799</v>
      </c>
      <c r="F21" s="93">
        <f>SUM(E22*F8)</f>
        <v>485811.0292345155</v>
      </c>
    </row>
    <row r="22" spans="1:8" x14ac:dyDescent="0.25">
      <c r="A22" s="24" t="s">
        <v>49</v>
      </c>
      <c r="B22" s="91">
        <f>SUM(B21/B8)</f>
        <v>0.17596059505663358</v>
      </c>
      <c r="C22" s="91">
        <f>SUM(C21/C8)</f>
        <v>0.17596059505663358</v>
      </c>
      <c r="D22" s="91">
        <f>SUM(D21/D8)</f>
        <v>0.2112221866237024</v>
      </c>
      <c r="E22" s="91">
        <f>SUM(E21/E8)</f>
        <v>0.2112221866237024</v>
      </c>
      <c r="F22" s="91">
        <f>SUM(F21/F8)</f>
        <v>0.2112221866237024</v>
      </c>
    </row>
    <row r="23" spans="1:8" x14ac:dyDescent="0.25">
      <c r="A23" s="24"/>
      <c r="B23" s="85"/>
      <c r="C23" s="94"/>
      <c r="D23" s="86"/>
      <c r="E23" s="93"/>
      <c r="F23" s="99"/>
    </row>
    <row r="24" spans="1:8" x14ac:dyDescent="0.25">
      <c r="A24" s="24" t="s">
        <v>50</v>
      </c>
      <c r="B24" s="82">
        <v>30941274.689999998</v>
      </c>
      <c r="C24" s="94">
        <f>SUM(B24/$C$4)</f>
        <v>242486.47876175548</v>
      </c>
      <c r="D24" s="85">
        <f>SUM('P&amp;L2013'!J306-Summary!D19-'P&amp;L2013'!K305)</f>
        <v>42231053.049999997</v>
      </c>
      <c r="E24" s="93">
        <f>SUM(D24/E4)</f>
        <v>327601.06314482971</v>
      </c>
      <c r="F24" s="100">
        <f>SUM(E25*F8)</f>
        <v>407863.06976903247</v>
      </c>
    </row>
    <row r="25" spans="1:8" x14ac:dyDescent="0.25">
      <c r="A25" s="24" t="s">
        <v>7</v>
      </c>
      <c r="B25" s="92">
        <f>SUM(B24/B8)</f>
        <v>0.16469493551297465</v>
      </c>
      <c r="C25" s="92">
        <f>SUM(C24/C8)</f>
        <v>0.16469493551297465</v>
      </c>
      <c r="D25" s="92">
        <f>SUM(D24/D8)</f>
        <v>0.17733176946479676</v>
      </c>
      <c r="E25" s="92">
        <f>SUM(E24/E8)</f>
        <v>0.17733176946479673</v>
      </c>
      <c r="F25" s="92">
        <f>SUM(F24/F8)</f>
        <v>0.17733176946479673</v>
      </c>
      <c r="H25" s="23"/>
    </row>
    <row r="26" spans="1:8" x14ac:dyDescent="0.25">
      <c r="A26" s="24"/>
      <c r="B26" s="86"/>
      <c r="C26" s="94"/>
      <c r="D26" s="86"/>
      <c r="E26" s="93"/>
      <c r="F26" s="99"/>
    </row>
    <row r="27" spans="1:8" x14ac:dyDescent="0.25">
      <c r="A27" s="24" t="s">
        <v>51</v>
      </c>
      <c r="B27" s="85">
        <v>50763772.32</v>
      </c>
      <c r="C27" s="94">
        <f>SUM(B27/$C$4)</f>
        <v>397835.20626959251</v>
      </c>
      <c r="D27" s="85">
        <f>SUM('P&amp;L2013'!J321)</f>
        <v>38576555.149999999</v>
      </c>
      <c r="E27" s="93">
        <f>SUM(D27/E4)</f>
        <v>299251.84353424871</v>
      </c>
      <c r="F27" s="100">
        <f>SUM(E28*F8)</f>
        <v>372568.31332064973</v>
      </c>
    </row>
    <row r="28" spans="1:8" ht="15.75" thickBot="1" x14ac:dyDescent="0.3">
      <c r="A28" s="24" t="s">
        <v>9</v>
      </c>
      <c r="B28" s="97">
        <f>SUM(B27/B8)</f>
        <v>0.27020658626387473</v>
      </c>
      <c r="C28" s="97">
        <f>SUM(C27/C8)</f>
        <v>0.27020658626387473</v>
      </c>
      <c r="D28" s="97">
        <f>SUM(D27/D8)</f>
        <v>0.16198622318289119</v>
      </c>
      <c r="E28" s="97">
        <f>SUM(E27/E8)</f>
        <v>0.16198622318289119</v>
      </c>
      <c r="F28" s="97">
        <f>SUM(F27/F8)</f>
        <v>0.16198622318289119</v>
      </c>
    </row>
    <row r="30" spans="1:8" x14ac:dyDescent="0.25">
      <c r="A30" s="23"/>
      <c r="B30" s="52">
        <f>SUM(B8-B14-B21-B24)</f>
        <v>50445344.549999997</v>
      </c>
      <c r="C30" s="25">
        <f>SUM(C8-C14-C21-C24)</f>
        <v>395339.69083072094</v>
      </c>
      <c r="D30" s="25">
        <f>SUM(D8-D14-D21-D24)</f>
        <v>38577472.439999983</v>
      </c>
      <c r="E30" s="25">
        <f>SUM(E8-E14-E21-E24)</f>
        <v>299258.9592739119</v>
      </c>
      <c r="F30" s="25">
        <f>SUM(F8-F14-F21-F24)</f>
        <v>372577.17241101671</v>
      </c>
    </row>
    <row r="31" spans="1:8" x14ac:dyDescent="0.25">
      <c r="B31" s="81">
        <f>SUM(B27-B30)</f>
        <v>318427.77000000328</v>
      </c>
      <c r="C31" s="84">
        <f>SUM(C27-C30)</f>
        <v>2495.5154388715746</v>
      </c>
      <c r="D31" s="84">
        <f>SUM(D27-D30)</f>
        <v>-917.28999998420477</v>
      </c>
      <c r="E31" s="84">
        <f>SUM(E27-E30)</f>
        <v>-7.1157396631897427</v>
      </c>
      <c r="F31" s="84">
        <f>SUM(F27-F30)</f>
        <v>-8.8590903669828549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theme="1"/>
  </sheetPr>
  <dimension ref="A2:U409"/>
  <sheetViews>
    <sheetView workbookViewId="0">
      <pane ySplit="2" topLeftCell="A3" activePane="bottomLeft" state="frozen"/>
      <selection pane="bottomLeft" activeCell="L14" sqref="L14"/>
    </sheetView>
  </sheetViews>
  <sheetFormatPr defaultRowHeight="15" x14ac:dyDescent="0.25"/>
  <cols>
    <col min="1" max="1" width="9.85546875" style="50" bestFit="1" customWidth="1"/>
    <col min="2" max="8" width="3" style="50" customWidth="1"/>
    <col min="9" max="9" width="38.140625" style="50" customWidth="1"/>
    <col min="10" max="10" width="12" style="259" bestFit="1" customWidth="1"/>
    <col min="11" max="11" width="5" style="257" bestFit="1" customWidth="1"/>
    <col min="12" max="12" width="15.5703125" style="257" customWidth="1"/>
    <col min="13" max="13" width="4.140625" style="257" bestFit="1" customWidth="1"/>
    <col min="14" max="14" width="14" style="257" bestFit="1" customWidth="1"/>
    <col min="15" max="15" width="27.85546875" style="257" bestFit="1" customWidth="1"/>
    <col min="16" max="16384" width="9.140625" style="23"/>
  </cols>
  <sheetData>
    <row r="2" spans="1:21" ht="44.25" customHeight="1" thickBot="1" x14ac:dyDescent="0.3">
      <c r="B2" s="31"/>
      <c r="C2" s="31"/>
      <c r="D2" s="31"/>
      <c r="E2" s="31"/>
      <c r="F2" s="31"/>
      <c r="G2" s="31"/>
      <c r="H2" s="31"/>
      <c r="I2" s="31"/>
      <c r="J2" s="250" t="s">
        <v>730</v>
      </c>
      <c r="K2" s="275" t="s">
        <v>713</v>
      </c>
      <c r="L2" s="269" t="s">
        <v>714</v>
      </c>
      <c r="M2" s="276" t="s">
        <v>713</v>
      </c>
      <c r="N2" s="269" t="s">
        <v>715</v>
      </c>
      <c r="O2" s="269" t="s">
        <v>716</v>
      </c>
    </row>
    <row r="3" spans="1:21" s="259" customFormat="1" ht="15.75" thickTop="1" x14ac:dyDescent="0.25">
      <c r="A3" s="50"/>
      <c r="B3" s="50"/>
      <c r="C3" s="50"/>
      <c r="D3" s="50"/>
      <c r="E3" s="50"/>
      <c r="F3" s="50"/>
      <c r="G3" s="50"/>
      <c r="H3" s="50"/>
      <c r="I3" s="50"/>
      <c r="K3" s="161"/>
      <c r="L3" s="161"/>
      <c r="M3" s="161"/>
      <c r="N3" s="161"/>
      <c r="O3" s="161"/>
      <c r="P3" s="23"/>
      <c r="Q3" s="23"/>
      <c r="R3" s="23"/>
      <c r="S3" s="23"/>
      <c r="T3" s="23"/>
      <c r="U3" s="23"/>
    </row>
    <row r="4" spans="1:21" s="102" customFormat="1" ht="15.75" x14ac:dyDescent="0.25">
      <c r="A4" s="284" t="s">
        <v>629</v>
      </c>
      <c r="B4" s="27" t="s">
        <v>53</v>
      </c>
      <c r="C4" s="27"/>
      <c r="D4" s="27"/>
      <c r="E4" s="27"/>
      <c r="F4" s="27"/>
      <c r="G4" s="27"/>
      <c r="H4" s="27"/>
      <c r="I4" s="27"/>
      <c r="J4" s="259"/>
      <c r="K4" s="272"/>
      <c r="L4" s="272"/>
      <c r="M4" s="272"/>
      <c r="N4" s="272"/>
      <c r="O4" s="272"/>
    </row>
    <row r="5" spans="1:21" x14ac:dyDescent="0.25">
      <c r="A5" s="27"/>
      <c r="B5" s="27"/>
      <c r="C5" s="27"/>
      <c r="D5" s="27" t="s">
        <v>54</v>
      </c>
      <c r="E5" s="27"/>
      <c r="F5" s="27"/>
      <c r="G5" s="27"/>
      <c r="H5" s="27"/>
      <c r="I5" s="27"/>
      <c r="K5" s="161"/>
      <c r="L5" s="161"/>
      <c r="M5" s="161"/>
      <c r="N5" s="161"/>
      <c r="O5" s="161"/>
    </row>
    <row r="6" spans="1:21" x14ac:dyDescent="0.25">
      <c r="A6" s="27"/>
      <c r="B6" s="27"/>
      <c r="C6" s="27"/>
      <c r="D6" s="27"/>
      <c r="E6" s="27" t="s">
        <v>55</v>
      </c>
      <c r="F6" s="27"/>
      <c r="G6" s="27"/>
      <c r="H6" s="27"/>
      <c r="I6" s="27"/>
      <c r="J6" s="252"/>
      <c r="K6" s="161"/>
      <c r="L6" s="161"/>
      <c r="M6" s="161"/>
      <c r="N6" s="161"/>
      <c r="O6" s="161"/>
    </row>
    <row r="7" spans="1:21" x14ac:dyDescent="0.25">
      <c r="A7" s="27"/>
      <c r="B7" s="27"/>
      <c r="C7" s="27"/>
      <c r="D7" s="27"/>
      <c r="E7" s="27"/>
      <c r="F7" s="27" t="s">
        <v>56</v>
      </c>
      <c r="G7" s="27"/>
      <c r="H7" s="27"/>
      <c r="I7" s="27"/>
      <c r="J7" s="252">
        <v>5978542.5599999996</v>
      </c>
      <c r="K7" s="161"/>
      <c r="L7" s="161"/>
      <c r="M7" s="161"/>
      <c r="N7" s="161"/>
      <c r="O7" s="161"/>
    </row>
    <row r="8" spans="1:21" x14ac:dyDescent="0.25">
      <c r="A8" s="27"/>
      <c r="B8" s="27"/>
      <c r="C8" s="27"/>
      <c r="D8" s="27"/>
      <c r="E8" s="27"/>
      <c r="F8" s="27" t="s">
        <v>57</v>
      </c>
      <c r="G8" s="27"/>
      <c r="H8" s="27"/>
      <c r="I8" s="27"/>
      <c r="J8" s="252">
        <v>817600</v>
      </c>
      <c r="K8" s="161"/>
      <c r="L8" s="161"/>
      <c r="M8" s="161"/>
      <c r="N8" s="161"/>
      <c r="O8" s="161"/>
    </row>
    <row r="9" spans="1:21" x14ac:dyDescent="0.25">
      <c r="A9" s="27"/>
      <c r="B9" s="27"/>
      <c r="C9" s="27"/>
      <c r="D9" s="27"/>
      <c r="E9" s="27"/>
      <c r="F9" s="27" t="s">
        <v>59</v>
      </c>
      <c r="G9" s="27"/>
      <c r="H9" s="27"/>
      <c r="I9" s="27"/>
      <c r="J9" s="252">
        <v>321661</v>
      </c>
      <c r="K9" s="161"/>
      <c r="L9" s="161"/>
      <c r="M9" s="161"/>
      <c r="N9" s="161"/>
      <c r="O9" s="161"/>
    </row>
    <row r="10" spans="1:21" x14ac:dyDescent="0.25">
      <c r="A10" s="27"/>
      <c r="B10" s="27"/>
      <c r="C10" s="27"/>
      <c r="D10" s="27"/>
      <c r="E10" s="27"/>
      <c r="F10" s="27" t="s">
        <v>60</v>
      </c>
      <c r="G10" s="27"/>
      <c r="H10" s="27"/>
      <c r="I10" s="27"/>
      <c r="J10" s="252">
        <v>3964594</v>
      </c>
      <c r="K10" s="161"/>
      <c r="L10" s="161"/>
      <c r="M10" s="161"/>
      <c r="N10" s="161"/>
      <c r="O10" s="161"/>
    </row>
    <row r="11" spans="1:21" x14ac:dyDescent="0.25">
      <c r="A11" s="27"/>
      <c r="B11" s="27"/>
      <c r="C11" s="27"/>
      <c r="D11" s="27"/>
      <c r="E11" s="27"/>
      <c r="F11" s="27" t="s">
        <v>61</v>
      </c>
      <c r="G11" s="27"/>
      <c r="H11" s="27"/>
      <c r="I11" s="27"/>
      <c r="J11" s="252">
        <v>334923</v>
      </c>
      <c r="K11" s="161"/>
      <c r="L11" s="161"/>
      <c r="M11" s="161"/>
      <c r="N11" s="161"/>
      <c r="O11" s="161"/>
    </row>
    <row r="12" spans="1:21" x14ac:dyDescent="0.25">
      <c r="A12" s="27"/>
      <c r="B12" s="27"/>
      <c r="C12" s="27"/>
      <c r="D12" s="27"/>
      <c r="E12" s="27"/>
      <c r="F12" s="27" t="s">
        <v>62</v>
      </c>
      <c r="G12" s="27"/>
      <c r="H12" s="27"/>
      <c r="I12" s="27"/>
      <c r="J12" s="252"/>
      <c r="K12" s="161"/>
      <c r="L12" s="161"/>
      <c r="M12" s="161"/>
      <c r="N12" s="161"/>
      <c r="O12" s="161"/>
    </row>
    <row r="13" spans="1:21" ht="15.75" thickBot="1" x14ac:dyDescent="0.3">
      <c r="A13" s="27"/>
      <c r="B13" s="27"/>
      <c r="C13" s="27"/>
      <c r="D13" s="27"/>
      <c r="E13" s="27"/>
      <c r="F13" s="27"/>
      <c r="G13" s="27" t="s">
        <v>79</v>
      </c>
      <c r="H13" s="27"/>
      <c r="I13" s="27"/>
      <c r="J13" s="253">
        <v>0</v>
      </c>
      <c r="K13" s="161"/>
      <c r="L13" s="161"/>
      <c r="M13" s="161"/>
      <c r="N13" s="161"/>
      <c r="O13" s="161"/>
    </row>
    <row r="14" spans="1:21" ht="15.75" thickBot="1" x14ac:dyDescent="0.3">
      <c r="A14" s="27"/>
      <c r="B14" s="27"/>
      <c r="C14" s="27"/>
      <c r="D14" s="27"/>
      <c r="E14" s="27"/>
      <c r="F14" s="27" t="s">
        <v>81</v>
      </c>
      <c r="G14" s="27"/>
      <c r="H14" s="27"/>
      <c r="I14" s="27"/>
      <c r="J14" s="254">
        <f>ROUND(SUM(J12:J13),5)</f>
        <v>0</v>
      </c>
      <c r="K14" s="199"/>
      <c r="L14" s="199"/>
      <c r="M14" s="199"/>
      <c r="N14" s="199"/>
      <c r="O14" s="199"/>
    </row>
    <row r="15" spans="1:21" ht="15.75" thickBot="1" x14ac:dyDescent="0.3">
      <c r="A15" s="27"/>
      <c r="B15" s="27"/>
      <c r="C15" s="27"/>
      <c r="D15" s="27"/>
      <c r="E15" s="27" t="s">
        <v>82</v>
      </c>
      <c r="F15" s="27"/>
      <c r="G15" s="27"/>
      <c r="H15" s="27"/>
      <c r="I15" s="27"/>
      <c r="J15" s="255">
        <f>ROUND(SUM(J6:J11)+J14,5)</f>
        <v>11417320.560000001</v>
      </c>
      <c r="K15" s="199"/>
      <c r="L15" s="199"/>
      <c r="M15" s="199"/>
      <c r="N15" s="199"/>
      <c r="O15" s="199"/>
    </row>
    <row r="16" spans="1:21" x14ac:dyDescent="0.25">
      <c r="A16" s="27"/>
      <c r="B16" s="27"/>
      <c r="C16" s="27"/>
      <c r="D16" s="27" t="s">
        <v>88</v>
      </c>
      <c r="E16" s="27"/>
      <c r="F16" s="27"/>
      <c r="G16" s="27"/>
      <c r="H16" s="27"/>
      <c r="I16" s="27"/>
      <c r="J16" s="252">
        <f>ROUND(J5+J15,5)</f>
        <v>11417320.560000001</v>
      </c>
      <c r="K16" s="199"/>
      <c r="L16" s="273"/>
      <c r="M16" s="199"/>
      <c r="N16" s="199"/>
      <c r="O16" s="199"/>
    </row>
    <row r="17" spans="1:15" x14ac:dyDescent="0.25">
      <c r="A17" s="27"/>
      <c r="B17" s="27"/>
      <c r="C17" s="27"/>
      <c r="D17" s="27" t="s">
        <v>89</v>
      </c>
      <c r="E17" s="27"/>
      <c r="F17" s="27"/>
      <c r="G17" s="27"/>
      <c r="H17" s="27"/>
      <c r="I17" s="27"/>
      <c r="J17" s="252"/>
      <c r="K17" s="161"/>
      <c r="L17" s="161"/>
      <c r="M17" s="161"/>
      <c r="N17" s="161"/>
      <c r="O17" s="161"/>
    </row>
    <row r="18" spans="1:15" x14ac:dyDescent="0.25">
      <c r="A18" s="27"/>
      <c r="B18" s="27"/>
      <c r="C18" s="27"/>
      <c r="D18" s="27"/>
      <c r="E18" s="27" t="s">
        <v>90</v>
      </c>
      <c r="F18" s="27"/>
      <c r="G18" s="27"/>
      <c r="H18" s="27"/>
      <c r="I18" s="27"/>
      <c r="J18" s="252"/>
      <c r="K18" s="161"/>
      <c r="L18" s="161"/>
      <c r="M18" s="161"/>
      <c r="N18" s="161"/>
      <c r="O18" s="161"/>
    </row>
    <row r="19" spans="1:15" x14ac:dyDescent="0.25">
      <c r="A19" s="27"/>
      <c r="B19" s="27"/>
      <c r="C19" s="27"/>
      <c r="D19" s="27"/>
      <c r="E19" s="27"/>
      <c r="F19" s="27" t="s">
        <v>99</v>
      </c>
      <c r="G19" s="27"/>
      <c r="H19" s="27"/>
      <c r="I19" s="27"/>
      <c r="J19" s="252"/>
      <c r="K19" s="161"/>
      <c r="L19" s="161"/>
      <c r="M19" s="161"/>
      <c r="N19" s="161"/>
      <c r="O19" s="161"/>
    </row>
    <row r="20" spans="1:15" x14ac:dyDescent="0.25">
      <c r="A20" s="27"/>
      <c r="B20" s="27"/>
      <c r="C20" s="27"/>
      <c r="D20" s="27"/>
      <c r="E20" s="27"/>
      <c r="F20" s="27"/>
      <c r="G20" s="27" t="s">
        <v>100</v>
      </c>
      <c r="H20" s="27"/>
      <c r="I20" s="27"/>
      <c r="J20" s="252">
        <v>2546301.04</v>
      </c>
      <c r="K20" s="161"/>
      <c r="L20" s="161"/>
      <c r="M20" s="161"/>
      <c r="N20" s="161"/>
      <c r="O20" s="161"/>
    </row>
    <row r="21" spans="1:15" x14ac:dyDescent="0.25">
      <c r="A21" s="27"/>
      <c r="B21" s="27"/>
      <c r="C21" s="27"/>
      <c r="D21" s="27"/>
      <c r="E21" s="27"/>
      <c r="F21" s="27"/>
      <c r="G21" s="27" t="s">
        <v>101</v>
      </c>
      <c r="H21" s="27"/>
      <c r="I21" s="27"/>
      <c r="J21" s="252">
        <v>210802.5</v>
      </c>
      <c r="K21" s="161"/>
      <c r="L21" s="161"/>
      <c r="M21" s="161"/>
      <c r="N21" s="161"/>
      <c r="O21" s="161"/>
    </row>
    <row r="22" spans="1:15" x14ac:dyDescent="0.25">
      <c r="A22" s="27"/>
      <c r="B22" s="27"/>
      <c r="C22" s="27"/>
      <c r="D22" s="27"/>
      <c r="E22" s="27"/>
      <c r="F22" s="27"/>
      <c r="G22" s="27" t="s">
        <v>102</v>
      </c>
      <c r="H22" s="27"/>
      <c r="I22" s="27"/>
      <c r="J22" s="252">
        <v>21600</v>
      </c>
      <c r="K22" s="161"/>
      <c r="L22" s="161"/>
      <c r="M22" s="161"/>
      <c r="N22" s="161"/>
      <c r="O22" s="161"/>
    </row>
    <row r="23" spans="1:15" ht="15.75" thickBot="1" x14ac:dyDescent="0.3">
      <c r="A23" s="27"/>
      <c r="B23" s="27"/>
      <c r="C23" s="27"/>
      <c r="D23" s="27"/>
      <c r="E23" s="27"/>
      <c r="F23" s="27"/>
      <c r="G23" s="27" t="s">
        <v>103</v>
      </c>
      <c r="H23" s="27"/>
      <c r="I23" s="27"/>
      <c r="J23" s="256">
        <v>526996.19999999995</v>
      </c>
      <c r="K23" s="161"/>
      <c r="L23" s="161"/>
      <c r="M23" s="161"/>
      <c r="N23" s="161"/>
      <c r="O23" s="161"/>
    </row>
    <row r="24" spans="1:15" x14ac:dyDescent="0.25">
      <c r="A24" s="27"/>
      <c r="B24" s="27"/>
      <c r="C24" s="27"/>
      <c r="D24" s="27"/>
      <c r="E24" s="27"/>
      <c r="F24" s="27" t="s">
        <v>105</v>
      </c>
      <c r="G24" s="27"/>
      <c r="H24" s="27"/>
      <c r="I24" s="27"/>
      <c r="J24" s="252">
        <f>ROUND(SUM(J19:J23),5)</f>
        <v>3305699.74</v>
      </c>
      <c r="K24" s="199"/>
      <c r="L24" s="199"/>
      <c r="M24" s="199"/>
      <c r="N24" s="199"/>
      <c r="O24" s="199"/>
    </row>
    <row r="25" spans="1:15" ht="30" customHeight="1" x14ac:dyDescent="0.25">
      <c r="A25" s="27"/>
      <c r="B25" s="27"/>
      <c r="C25" s="27"/>
      <c r="D25" s="27"/>
      <c r="E25" s="27"/>
      <c r="F25" s="27" t="s">
        <v>106</v>
      </c>
      <c r="G25" s="27"/>
      <c r="H25" s="27"/>
      <c r="I25" s="27"/>
      <c r="J25" s="252"/>
      <c r="K25" s="161"/>
      <c r="L25" s="161"/>
      <c r="M25" s="161"/>
      <c r="N25" s="161"/>
      <c r="O25" s="161"/>
    </row>
    <row r="26" spans="1:15" ht="30" customHeight="1" x14ac:dyDescent="0.25">
      <c r="A26" s="27"/>
      <c r="B26" s="27"/>
      <c r="C26" s="27"/>
      <c r="D26" s="27"/>
      <c r="E26" s="27"/>
      <c r="F26" s="27"/>
      <c r="G26" s="27" t="s">
        <v>480</v>
      </c>
      <c r="H26" s="27"/>
      <c r="I26" s="27"/>
      <c r="J26" s="252">
        <v>174573.44</v>
      </c>
      <c r="K26" s="161"/>
      <c r="L26" s="161"/>
      <c r="M26" s="161"/>
      <c r="N26" s="161"/>
      <c r="O26" s="161"/>
    </row>
    <row r="27" spans="1:15" ht="30" customHeight="1" x14ac:dyDescent="0.25">
      <c r="A27" s="27"/>
      <c r="B27" s="27"/>
      <c r="C27" s="27"/>
      <c r="D27" s="27"/>
      <c r="E27" s="27"/>
      <c r="F27" s="27"/>
      <c r="G27" s="27" t="s">
        <v>108</v>
      </c>
      <c r="H27" s="27"/>
      <c r="I27" s="27"/>
      <c r="J27" s="252">
        <v>133000</v>
      </c>
      <c r="K27" s="161"/>
      <c r="L27" s="161"/>
      <c r="M27" s="161"/>
      <c r="N27" s="161"/>
      <c r="O27" s="161"/>
    </row>
    <row r="28" spans="1:15" x14ac:dyDescent="0.25">
      <c r="A28" s="27"/>
      <c r="B28" s="27"/>
      <c r="C28" s="27"/>
      <c r="D28" s="27"/>
      <c r="E28" s="27"/>
      <c r="F28" s="27"/>
      <c r="G28" s="27" t="s">
        <v>109</v>
      </c>
      <c r="H28" s="27"/>
      <c r="I28" s="27"/>
      <c r="J28" s="252">
        <v>23485</v>
      </c>
      <c r="K28" s="161"/>
      <c r="L28" s="161"/>
      <c r="M28" s="161"/>
      <c r="N28" s="161"/>
      <c r="O28" s="161"/>
    </row>
    <row r="29" spans="1:15" x14ac:dyDescent="0.25">
      <c r="A29" s="27"/>
      <c r="B29" s="27"/>
      <c r="C29" s="27"/>
      <c r="D29" s="27"/>
      <c r="E29" s="27"/>
      <c r="F29" s="27"/>
      <c r="G29" s="27" t="s">
        <v>110</v>
      </c>
      <c r="H29" s="27"/>
      <c r="I29" s="27"/>
      <c r="J29" s="252">
        <v>24560</v>
      </c>
      <c r="K29" s="161"/>
      <c r="L29" s="161"/>
      <c r="M29" s="161"/>
      <c r="N29" s="161"/>
      <c r="O29" s="161"/>
    </row>
    <row r="30" spans="1:15" x14ac:dyDescent="0.25">
      <c r="A30" s="27"/>
      <c r="B30" s="27"/>
      <c r="C30" s="27"/>
      <c r="D30" s="27"/>
      <c r="E30" s="27"/>
      <c r="F30" s="27"/>
      <c r="G30" s="27" t="s">
        <v>111</v>
      </c>
      <c r="H30" s="27"/>
      <c r="I30" s="27"/>
      <c r="J30" s="252">
        <v>49040</v>
      </c>
      <c r="K30" s="161"/>
      <c r="L30" s="161"/>
      <c r="M30" s="161"/>
      <c r="N30" s="161"/>
      <c r="O30" s="161"/>
    </row>
    <row r="31" spans="1:15" x14ac:dyDescent="0.25">
      <c r="A31" s="27"/>
      <c r="B31" s="27"/>
      <c r="C31" s="27"/>
      <c r="D31" s="27"/>
      <c r="E31" s="27"/>
      <c r="F31" s="27"/>
      <c r="G31" s="27" t="s">
        <v>112</v>
      </c>
      <c r="H31" s="27"/>
      <c r="I31" s="27"/>
      <c r="J31" s="252">
        <v>43350</v>
      </c>
      <c r="K31" s="161"/>
      <c r="L31" s="161"/>
      <c r="M31" s="161"/>
      <c r="N31" s="161"/>
      <c r="O31" s="161"/>
    </row>
    <row r="32" spans="1:15" x14ac:dyDescent="0.25">
      <c r="A32" s="27"/>
      <c r="B32" s="27"/>
      <c r="C32" s="27"/>
      <c r="D32" s="27"/>
      <c r="E32" s="27"/>
      <c r="F32" s="27"/>
      <c r="G32" s="27" t="s">
        <v>113</v>
      </c>
      <c r="H32" s="27"/>
      <c r="I32" s="27"/>
      <c r="J32" s="252">
        <v>50</v>
      </c>
      <c r="K32" s="161"/>
      <c r="L32" s="161"/>
      <c r="M32" s="161"/>
      <c r="N32" s="161"/>
      <c r="O32" s="161"/>
    </row>
    <row r="33" spans="1:15" x14ac:dyDescent="0.25">
      <c r="A33" s="27"/>
      <c r="B33" s="27"/>
      <c r="C33" s="27"/>
      <c r="D33" s="27"/>
      <c r="E33" s="27"/>
      <c r="F33" s="27"/>
      <c r="G33" s="27" t="s">
        <v>114</v>
      </c>
      <c r="H33" s="27"/>
      <c r="I33" s="27"/>
      <c r="J33" s="252">
        <v>209000</v>
      </c>
      <c r="K33" s="161"/>
      <c r="L33" s="161"/>
      <c r="M33" s="161"/>
      <c r="N33" s="161"/>
      <c r="O33" s="161"/>
    </row>
    <row r="34" spans="1:15" x14ac:dyDescent="0.25">
      <c r="A34" s="27"/>
      <c r="B34" s="27"/>
      <c r="C34" s="27"/>
      <c r="D34" s="27"/>
      <c r="E34" s="27"/>
      <c r="F34" s="27"/>
      <c r="G34" s="27" t="s">
        <v>115</v>
      </c>
      <c r="H34" s="27"/>
      <c r="I34" s="27"/>
      <c r="J34" s="252">
        <v>34000</v>
      </c>
      <c r="K34" s="161"/>
      <c r="L34" s="161"/>
      <c r="M34" s="161"/>
      <c r="N34" s="161"/>
      <c r="O34" s="161"/>
    </row>
    <row r="35" spans="1:15" ht="15.75" thickBot="1" x14ac:dyDescent="0.3">
      <c r="A35" s="27"/>
      <c r="B35" s="27"/>
      <c r="C35" s="27"/>
      <c r="D35" s="27"/>
      <c r="E35" s="27"/>
      <c r="F35" s="27"/>
      <c r="G35" s="27" t="s">
        <v>119</v>
      </c>
      <c r="H35" s="27"/>
      <c r="I35" s="27"/>
      <c r="J35" s="256">
        <v>104648</v>
      </c>
      <c r="K35" s="199"/>
      <c r="L35" s="199"/>
      <c r="M35" s="199"/>
      <c r="N35" s="199"/>
      <c r="O35" s="199"/>
    </row>
    <row r="36" spans="1:15" x14ac:dyDescent="0.25">
      <c r="A36" s="27"/>
      <c r="B36" s="27"/>
      <c r="C36" s="27"/>
      <c r="D36" s="27"/>
      <c r="E36" s="27"/>
      <c r="F36" s="27" t="s">
        <v>121</v>
      </c>
      <c r="G36" s="27"/>
      <c r="H36" s="27"/>
      <c r="I36" s="27"/>
      <c r="J36" s="252">
        <f>ROUND(SUM(J25:J35),5)</f>
        <v>795706.44</v>
      </c>
      <c r="K36" s="161"/>
      <c r="L36" s="161"/>
      <c r="M36" s="161"/>
      <c r="N36" s="161"/>
      <c r="O36" s="161"/>
    </row>
    <row r="37" spans="1:15" x14ac:dyDescent="0.25">
      <c r="A37" s="27"/>
      <c r="B37" s="27"/>
      <c r="C37" s="27"/>
      <c r="D37" s="27"/>
      <c r="E37" s="27"/>
      <c r="F37" s="27" t="s">
        <v>122</v>
      </c>
      <c r="G37" s="27"/>
      <c r="H37" s="27"/>
      <c r="I37" s="27"/>
      <c r="J37" s="252"/>
      <c r="K37" s="161"/>
      <c r="L37" s="161"/>
      <c r="M37" s="161"/>
      <c r="N37" s="161"/>
      <c r="O37" s="161"/>
    </row>
    <row r="38" spans="1:15" x14ac:dyDescent="0.25">
      <c r="A38" s="27"/>
      <c r="B38" s="27"/>
      <c r="C38" s="27"/>
      <c r="D38" s="27"/>
      <c r="E38" s="27"/>
      <c r="F38" s="27"/>
      <c r="G38" s="27" t="s">
        <v>123</v>
      </c>
      <c r="H38" s="27"/>
      <c r="I38" s="27"/>
      <c r="J38" s="252">
        <v>2679966</v>
      </c>
      <c r="K38" s="161"/>
      <c r="L38" s="161"/>
      <c r="M38" s="161"/>
      <c r="N38" s="161"/>
      <c r="O38" s="161"/>
    </row>
    <row r="39" spans="1:15" x14ac:dyDescent="0.25">
      <c r="A39" s="27"/>
      <c r="B39" s="27"/>
      <c r="C39" s="27"/>
      <c r="D39" s="27"/>
      <c r="E39" s="27"/>
      <c r="F39" s="27"/>
      <c r="G39" s="27" t="s">
        <v>124</v>
      </c>
      <c r="H39" s="27"/>
      <c r="I39" s="27"/>
      <c r="J39" s="252">
        <v>821431.8</v>
      </c>
      <c r="K39" s="161"/>
      <c r="L39" s="161"/>
      <c r="M39" s="161"/>
      <c r="N39" s="161"/>
      <c r="O39" s="161"/>
    </row>
    <row r="40" spans="1:15" x14ac:dyDescent="0.25">
      <c r="A40" s="27"/>
      <c r="B40" s="27"/>
      <c r="C40" s="27"/>
      <c r="D40" s="27"/>
      <c r="E40" s="27"/>
      <c r="F40" s="27"/>
      <c r="G40" s="27" t="s">
        <v>126</v>
      </c>
      <c r="H40" s="27"/>
      <c r="I40" s="27"/>
      <c r="J40" s="252">
        <v>35365</v>
      </c>
      <c r="K40" s="161"/>
      <c r="L40" s="161"/>
      <c r="M40" s="161"/>
      <c r="N40" s="161"/>
      <c r="O40" s="161"/>
    </row>
    <row r="41" spans="1:15" ht="15.75" thickBot="1" x14ac:dyDescent="0.3">
      <c r="A41" s="27"/>
      <c r="B41" s="27"/>
      <c r="C41" s="27"/>
      <c r="D41" s="27"/>
      <c r="E41" s="27"/>
      <c r="F41" s="27"/>
      <c r="G41" s="27" t="s">
        <v>691</v>
      </c>
      <c r="H41" s="27"/>
      <c r="I41" s="27"/>
      <c r="J41" s="256">
        <v>0</v>
      </c>
      <c r="K41" s="199"/>
      <c r="L41" s="199"/>
      <c r="M41" s="199"/>
      <c r="N41" s="199"/>
      <c r="O41" s="199"/>
    </row>
    <row r="42" spans="1:15" x14ac:dyDescent="0.25">
      <c r="A42" s="27"/>
      <c r="B42" s="27"/>
      <c r="C42" s="27"/>
      <c r="D42" s="27"/>
      <c r="E42" s="27"/>
      <c r="F42" s="27" t="s">
        <v>128</v>
      </c>
      <c r="G42" s="27"/>
      <c r="H42" s="27"/>
      <c r="I42" s="27"/>
      <c r="J42" s="252">
        <f>ROUND(SUM(J37:J41),5)</f>
        <v>3536762.8</v>
      </c>
      <c r="K42" s="161"/>
      <c r="L42" s="161"/>
      <c r="M42" s="161"/>
      <c r="N42" s="161"/>
      <c r="O42" s="161"/>
    </row>
    <row r="43" spans="1:15" x14ac:dyDescent="0.25">
      <c r="A43" s="27"/>
      <c r="B43" s="27"/>
      <c r="C43" s="27"/>
      <c r="D43" s="27"/>
      <c r="E43" s="27"/>
      <c r="F43" s="27" t="s">
        <v>129</v>
      </c>
      <c r="G43" s="27"/>
      <c r="H43" s="27"/>
      <c r="I43" s="27"/>
      <c r="J43" s="252"/>
      <c r="K43" s="161"/>
      <c r="L43" s="161"/>
      <c r="M43" s="161"/>
      <c r="N43" s="161"/>
      <c r="O43" s="161"/>
    </row>
    <row r="44" spans="1:15" x14ac:dyDescent="0.25">
      <c r="A44" s="27"/>
      <c r="B44" s="27"/>
      <c r="C44" s="27"/>
      <c r="D44" s="27"/>
      <c r="E44" s="27"/>
      <c r="F44" s="27"/>
      <c r="G44" s="27" t="s">
        <v>130</v>
      </c>
      <c r="H44" s="27"/>
      <c r="I44" s="27"/>
      <c r="J44" s="252">
        <v>749395.34</v>
      </c>
      <c r="K44" s="161"/>
      <c r="L44" s="161"/>
      <c r="M44" s="161"/>
      <c r="N44" s="161"/>
      <c r="O44" s="161"/>
    </row>
    <row r="45" spans="1:15" x14ac:dyDescent="0.25">
      <c r="A45" s="27"/>
      <c r="B45" s="27"/>
      <c r="C45" s="27"/>
      <c r="D45" s="27"/>
      <c r="E45" s="27"/>
      <c r="F45" s="27"/>
      <c r="G45" s="27" t="s">
        <v>131</v>
      </c>
      <c r="H45" s="27"/>
      <c r="I45" s="27"/>
      <c r="J45" s="252">
        <v>96160.04</v>
      </c>
      <c r="K45" s="161"/>
      <c r="L45" s="161"/>
      <c r="M45" s="161"/>
      <c r="N45" s="161"/>
      <c r="O45" s="161"/>
    </row>
    <row r="46" spans="1:15" x14ac:dyDescent="0.25">
      <c r="A46" s="27"/>
      <c r="B46" s="27"/>
      <c r="C46" s="27"/>
      <c r="D46" s="27"/>
      <c r="E46" s="27"/>
      <c r="F46" s="27"/>
      <c r="G46" s="27" t="s">
        <v>132</v>
      </c>
      <c r="H46" s="27"/>
      <c r="I46" s="27"/>
      <c r="J46" s="252">
        <v>24040.01</v>
      </c>
      <c r="K46" s="161"/>
      <c r="L46" s="161"/>
      <c r="M46" s="161"/>
      <c r="N46" s="161"/>
      <c r="O46" s="161"/>
    </row>
    <row r="47" spans="1:15" x14ac:dyDescent="0.25">
      <c r="A47" s="27"/>
      <c r="B47" s="27"/>
      <c r="C47" s="27"/>
      <c r="D47" s="27"/>
      <c r="E47" s="27"/>
      <c r="F47" s="27"/>
      <c r="G47" s="27" t="s">
        <v>133</v>
      </c>
      <c r="H47" s="27"/>
      <c r="I47" s="27"/>
      <c r="J47" s="252">
        <v>89802.5</v>
      </c>
      <c r="K47" s="161"/>
      <c r="L47" s="161"/>
      <c r="M47" s="161"/>
      <c r="N47" s="161"/>
      <c r="O47" s="161"/>
    </row>
    <row r="48" spans="1:15" x14ac:dyDescent="0.25">
      <c r="A48" s="27"/>
      <c r="B48" s="27"/>
      <c r="C48" s="27"/>
      <c r="D48" s="27"/>
      <c r="E48" s="27"/>
      <c r="F48" s="27"/>
      <c r="G48" s="27" t="s">
        <v>134</v>
      </c>
      <c r="H48" s="27"/>
      <c r="I48" s="27"/>
      <c r="J48" s="252">
        <v>70398.73</v>
      </c>
      <c r="K48" s="161"/>
      <c r="L48" s="161"/>
      <c r="M48" s="161"/>
      <c r="N48" s="161"/>
      <c r="O48" s="161"/>
    </row>
    <row r="49" spans="1:21" ht="15.75" thickBot="1" x14ac:dyDescent="0.3">
      <c r="A49" s="27"/>
      <c r="B49" s="27"/>
      <c r="C49" s="27"/>
      <c r="D49" s="27"/>
      <c r="E49" s="27"/>
      <c r="F49" s="27"/>
      <c r="G49" s="27" t="s">
        <v>135</v>
      </c>
      <c r="H49" s="27"/>
      <c r="I49" s="27"/>
      <c r="J49" s="256">
        <v>14005</v>
      </c>
      <c r="K49" s="199"/>
      <c r="L49" s="199"/>
      <c r="M49" s="199"/>
      <c r="N49" s="199"/>
      <c r="O49" s="199"/>
    </row>
    <row r="50" spans="1:21" s="251" customFormat="1" x14ac:dyDescent="0.25">
      <c r="A50" s="27"/>
      <c r="B50" s="27"/>
      <c r="C50" s="27"/>
      <c r="D50" s="27"/>
      <c r="E50" s="27"/>
      <c r="F50" s="27" t="s">
        <v>136</v>
      </c>
      <c r="G50" s="27"/>
      <c r="H50" s="27"/>
      <c r="I50" s="27"/>
      <c r="J50" s="252">
        <f>ROUND(SUM(J43:J49),5)</f>
        <v>1043801.62</v>
      </c>
      <c r="K50" s="199"/>
      <c r="L50" s="199"/>
      <c r="M50" s="199"/>
      <c r="N50" s="199"/>
      <c r="O50" s="199"/>
      <c r="P50" s="23"/>
      <c r="Q50" s="23"/>
      <c r="R50" s="23"/>
      <c r="S50" s="23"/>
      <c r="T50" s="23"/>
      <c r="U50" s="23"/>
    </row>
    <row r="51" spans="1:21" s="251" customFormat="1" x14ac:dyDescent="0.25">
      <c r="A51" s="27"/>
      <c r="B51" s="27"/>
      <c r="C51" s="27"/>
      <c r="D51" s="27"/>
      <c r="E51" s="27"/>
      <c r="F51" s="27" t="s">
        <v>137</v>
      </c>
      <c r="G51" s="27"/>
      <c r="H51" s="27"/>
      <c r="I51" s="27"/>
      <c r="J51" s="252"/>
      <c r="K51" s="199"/>
      <c r="L51" s="199"/>
      <c r="M51" s="199"/>
      <c r="N51" s="199"/>
      <c r="O51" s="199"/>
      <c r="P51" s="23"/>
      <c r="Q51" s="23"/>
      <c r="R51" s="23"/>
      <c r="S51" s="23"/>
      <c r="T51" s="23"/>
      <c r="U51" s="23"/>
    </row>
    <row r="52" spans="1:21" s="251" customFormat="1" ht="15.75" thickBot="1" x14ac:dyDescent="0.3">
      <c r="A52" s="27"/>
      <c r="B52" s="27"/>
      <c r="C52" s="27"/>
      <c r="D52" s="27"/>
      <c r="E52" s="27"/>
      <c r="F52" s="27"/>
      <c r="G52" s="27" t="s">
        <v>141</v>
      </c>
      <c r="H52" s="27"/>
      <c r="I52" s="27"/>
      <c r="J52" s="256">
        <v>600</v>
      </c>
      <c r="K52" s="199"/>
      <c r="L52" s="199"/>
      <c r="M52" s="199"/>
      <c r="N52" s="199"/>
      <c r="O52" s="199"/>
      <c r="P52" s="23"/>
      <c r="Q52" s="23"/>
      <c r="R52" s="23"/>
      <c r="S52" s="23"/>
      <c r="T52" s="23"/>
      <c r="U52" s="23"/>
    </row>
    <row r="53" spans="1:21" s="251" customFormat="1" x14ac:dyDescent="0.25">
      <c r="A53" s="27"/>
      <c r="B53" s="27"/>
      <c r="C53" s="27"/>
      <c r="D53" s="27"/>
      <c r="E53" s="27"/>
      <c r="F53" s="27" t="s">
        <v>144</v>
      </c>
      <c r="G53" s="27"/>
      <c r="H53" s="27"/>
      <c r="I53" s="27"/>
      <c r="J53" s="252">
        <f>ROUND(SUM(J51:J52),5)</f>
        <v>600</v>
      </c>
      <c r="K53" s="161"/>
      <c r="L53" s="161"/>
      <c r="M53" s="161"/>
      <c r="N53" s="161"/>
      <c r="O53" s="161"/>
      <c r="P53" s="23"/>
      <c r="Q53" s="23"/>
      <c r="R53" s="23"/>
      <c r="S53" s="23"/>
      <c r="T53" s="23"/>
      <c r="U53" s="23"/>
    </row>
    <row r="54" spans="1:21" s="251" customFormat="1" ht="15.75" thickBot="1" x14ac:dyDescent="0.3">
      <c r="A54" s="27"/>
      <c r="B54" s="27"/>
      <c r="C54" s="27"/>
      <c r="D54" s="27"/>
      <c r="E54" s="27"/>
      <c r="F54" s="27" t="s">
        <v>722</v>
      </c>
      <c r="G54" s="27"/>
      <c r="H54" s="27"/>
      <c r="I54" s="27"/>
      <c r="J54" s="253">
        <v>300</v>
      </c>
      <c r="K54" s="161"/>
      <c r="L54" s="161"/>
      <c r="M54" s="161"/>
      <c r="N54" s="161"/>
      <c r="O54" s="161"/>
      <c r="P54" s="23"/>
      <c r="Q54" s="23"/>
      <c r="R54" s="23"/>
      <c r="S54" s="23"/>
      <c r="T54" s="23"/>
      <c r="U54" s="23"/>
    </row>
    <row r="55" spans="1:21" s="251" customFormat="1" ht="15.75" thickBot="1" x14ac:dyDescent="0.3">
      <c r="A55" s="27"/>
      <c r="B55" s="27"/>
      <c r="C55" s="27"/>
      <c r="D55" s="27"/>
      <c r="E55" s="27" t="s">
        <v>145</v>
      </c>
      <c r="F55" s="27"/>
      <c r="G55" s="27"/>
      <c r="H55" s="27"/>
      <c r="I55" s="27"/>
      <c r="J55" s="254">
        <f>ROUND(J18+J24+J36+J42+J50+SUM(J53:J54),5)</f>
        <v>8682870.5999999996</v>
      </c>
      <c r="K55" s="161"/>
      <c r="L55" s="161"/>
      <c r="M55" s="161"/>
      <c r="N55" s="161"/>
      <c r="O55" s="161"/>
      <c r="P55" s="23"/>
      <c r="Q55" s="23"/>
      <c r="R55" s="23"/>
      <c r="S55" s="23"/>
      <c r="T55" s="23"/>
      <c r="U55" s="23"/>
    </row>
    <row r="56" spans="1:21" s="251" customFormat="1" ht="30" customHeight="1" thickBot="1" x14ac:dyDescent="0.3">
      <c r="A56" s="27"/>
      <c r="B56" s="27"/>
      <c r="C56" s="27"/>
      <c r="D56" s="27" t="s">
        <v>146</v>
      </c>
      <c r="E56" s="27"/>
      <c r="F56" s="27"/>
      <c r="G56" s="27"/>
      <c r="H56" s="27"/>
      <c r="I56" s="27"/>
      <c r="J56" s="255">
        <f>ROUND(J17+J55,5)</f>
        <v>8682870.5999999996</v>
      </c>
      <c r="K56" s="161"/>
      <c r="L56" s="161"/>
      <c r="M56" s="161"/>
      <c r="N56" s="161"/>
      <c r="O56" s="161"/>
      <c r="P56" s="23"/>
      <c r="Q56" s="23"/>
      <c r="R56" s="23"/>
      <c r="S56" s="23"/>
      <c r="T56" s="23"/>
      <c r="U56" s="23"/>
    </row>
    <row r="57" spans="1:21" s="251" customFormat="1" x14ac:dyDescent="0.25">
      <c r="A57" s="27"/>
      <c r="B57" s="27"/>
      <c r="C57" s="27" t="s">
        <v>147</v>
      </c>
      <c r="D57" s="27"/>
      <c r="E57" s="27"/>
      <c r="F57" s="27"/>
      <c r="G57" s="27"/>
      <c r="H57" s="27"/>
      <c r="I57" s="27"/>
      <c r="J57" s="252">
        <f>ROUND(J16-J56,5)</f>
        <v>2734449.96</v>
      </c>
      <c r="K57" s="161"/>
      <c r="L57" s="161"/>
      <c r="M57" s="161"/>
      <c r="N57" s="161"/>
      <c r="O57" s="161"/>
      <c r="P57" s="23"/>
      <c r="Q57" s="23"/>
      <c r="R57" s="23"/>
      <c r="S57" s="23"/>
      <c r="T57" s="23"/>
      <c r="U57" s="23"/>
    </row>
    <row r="58" spans="1:21" s="251" customFormat="1" x14ac:dyDescent="0.25">
      <c r="A58" s="27"/>
      <c r="B58" s="27"/>
      <c r="C58" s="27"/>
      <c r="D58" s="27" t="s">
        <v>148</v>
      </c>
      <c r="E58" s="27"/>
      <c r="F58" s="27"/>
      <c r="G58" s="27"/>
      <c r="H58" s="27"/>
      <c r="I58" s="27"/>
      <c r="J58" s="252"/>
      <c r="K58" s="161"/>
      <c r="L58" s="161"/>
      <c r="M58" s="161"/>
      <c r="N58" s="161"/>
      <c r="O58" s="161"/>
      <c r="P58" s="23"/>
      <c r="Q58" s="23"/>
      <c r="R58" s="23"/>
      <c r="S58" s="23"/>
      <c r="T58" s="23"/>
      <c r="U58" s="23"/>
    </row>
    <row r="59" spans="1:21" s="251" customFormat="1" x14ac:dyDescent="0.25">
      <c r="A59" s="27"/>
      <c r="B59" s="27"/>
      <c r="C59" s="27"/>
      <c r="D59" s="27"/>
      <c r="E59" s="27" t="s">
        <v>149</v>
      </c>
      <c r="F59" s="27"/>
      <c r="G59" s="27"/>
      <c r="H59" s="27"/>
      <c r="I59" s="27"/>
      <c r="J59" s="252"/>
      <c r="K59" s="161"/>
      <c r="L59" s="161"/>
      <c r="M59" s="161"/>
      <c r="N59" s="161"/>
      <c r="O59" s="161"/>
      <c r="P59" s="23"/>
      <c r="Q59" s="23"/>
      <c r="R59" s="23"/>
      <c r="S59" s="23"/>
      <c r="T59" s="23"/>
      <c r="U59" s="23"/>
    </row>
    <row r="60" spans="1:21" s="251" customFormat="1" x14ac:dyDescent="0.25">
      <c r="A60" s="27"/>
      <c r="B60" s="27"/>
      <c r="C60" s="27"/>
      <c r="D60" s="27"/>
      <c r="E60" s="27"/>
      <c r="F60" s="27" t="s">
        <v>389</v>
      </c>
      <c r="G60" s="27"/>
      <c r="H60" s="27"/>
      <c r="I60" s="27"/>
      <c r="J60" s="252"/>
      <c r="K60" s="161"/>
      <c r="L60" s="161"/>
      <c r="M60" s="161"/>
      <c r="N60" s="161"/>
      <c r="O60" s="161"/>
      <c r="P60" s="23"/>
      <c r="Q60" s="23"/>
      <c r="R60" s="23"/>
      <c r="S60" s="23"/>
      <c r="T60" s="23"/>
      <c r="U60" s="23"/>
    </row>
    <row r="61" spans="1:21" s="251" customFormat="1" x14ac:dyDescent="0.25">
      <c r="A61" s="27"/>
      <c r="B61" s="27"/>
      <c r="C61" s="27"/>
      <c r="D61" s="27"/>
      <c r="E61" s="27"/>
      <c r="F61" s="27"/>
      <c r="G61" s="27" t="s">
        <v>151</v>
      </c>
      <c r="H61" s="27"/>
      <c r="I61" s="27"/>
      <c r="J61" s="252"/>
      <c r="K61" s="161"/>
      <c r="L61" s="161"/>
      <c r="M61" s="161"/>
      <c r="N61" s="161"/>
      <c r="O61" s="161"/>
      <c r="P61" s="23"/>
      <c r="Q61" s="23"/>
      <c r="R61" s="23"/>
      <c r="S61" s="23"/>
      <c r="T61" s="23"/>
      <c r="U61" s="23"/>
    </row>
    <row r="62" spans="1:21" s="251" customFormat="1" x14ac:dyDescent="0.25">
      <c r="A62" s="27"/>
      <c r="B62" s="27"/>
      <c r="C62" s="27"/>
      <c r="D62" s="27"/>
      <c r="E62" s="27"/>
      <c r="F62" s="27"/>
      <c r="G62" s="27"/>
      <c r="H62" s="27" t="s">
        <v>152</v>
      </c>
      <c r="I62" s="27"/>
      <c r="J62" s="252">
        <v>3000</v>
      </c>
      <c r="K62" s="161"/>
      <c r="L62" s="161"/>
      <c r="M62" s="161"/>
      <c r="N62" s="161"/>
      <c r="O62" s="161"/>
      <c r="P62" s="23"/>
      <c r="Q62" s="23"/>
      <c r="R62" s="23"/>
      <c r="S62" s="23"/>
      <c r="T62" s="23"/>
      <c r="U62" s="23"/>
    </row>
    <row r="63" spans="1:21" s="251" customFormat="1" x14ac:dyDescent="0.25">
      <c r="A63" s="27"/>
      <c r="B63" s="27"/>
      <c r="C63" s="27"/>
      <c r="D63" s="27"/>
      <c r="E63" s="27"/>
      <c r="F63" s="27"/>
      <c r="G63" s="27"/>
      <c r="H63" s="27" t="s">
        <v>153</v>
      </c>
      <c r="I63" s="27"/>
      <c r="J63" s="252">
        <v>26561.599999999999</v>
      </c>
      <c r="K63" s="199"/>
      <c r="L63" s="199"/>
      <c r="M63" s="199"/>
      <c r="N63" s="199"/>
      <c r="O63" s="199"/>
      <c r="P63" s="23"/>
      <c r="Q63" s="23"/>
      <c r="R63" s="23"/>
      <c r="S63" s="23"/>
      <c r="T63" s="23"/>
      <c r="U63" s="23"/>
    </row>
    <row r="64" spans="1:21" s="251" customFormat="1" x14ac:dyDescent="0.25">
      <c r="A64" s="27"/>
      <c r="B64" s="27"/>
      <c r="C64" s="27"/>
      <c r="D64" s="27"/>
      <c r="E64" s="27"/>
      <c r="F64" s="27"/>
      <c r="G64" s="27"/>
      <c r="H64" s="27" t="s">
        <v>154</v>
      </c>
      <c r="I64" s="27"/>
      <c r="J64" s="252">
        <v>1500</v>
      </c>
      <c r="K64" s="161"/>
      <c r="L64" s="161"/>
      <c r="M64" s="161"/>
      <c r="N64" s="161"/>
      <c r="O64" s="161"/>
      <c r="P64" s="23"/>
      <c r="Q64" s="23"/>
      <c r="R64" s="23"/>
      <c r="S64" s="23"/>
      <c r="T64" s="23"/>
      <c r="U64" s="23"/>
    </row>
    <row r="65" spans="1:21" s="251" customFormat="1" x14ac:dyDescent="0.25">
      <c r="A65" s="27"/>
      <c r="B65" s="27"/>
      <c r="C65" s="27"/>
      <c r="D65" s="27"/>
      <c r="E65" s="27"/>
      <c r="F65" s="27"/>
      <c r="G65" s="27"/>
      <c r="H65" s="27" t="s">
        <v>157</v>
      </c>
      <c r="I65" s="27"/>
      <c r="J65" s="252"/>
      <c r="K65" s="161"/>
      <c r="L65" s="161"/>
      <c r="M65" s="161"/>
      <c r="N65" s="161"/>
      <c r="O65" s="161"/>
      <c r="P65" s="23"/>
      <c r="Q65" s="23"/>
      <c r="R65" s="23"/>
      <c r="S65" s="23"/>
      <c r="T65" s="23"/>
      <c r="U65" s="23"/>
    </row>
    <row r="66" spans="1:21" s="251" customFormat="1" ht="15.75" thickBot="1" x14ac:dyDescent="0.3">
      <c r="A66" s="27"/>
      <c r="B66" s="27"/>
      <c r="C66" s="27"/>
      <c r="D66" s="27"/>
      <c r="E66" s="27"/>
      <c r="F66" s="27"/>
      <c r="G66" s="27"/>
      <c r="H66" s="27"/>
      <c r="I66" s="27" t="s">
        <v>159</v>
      </c>
      <c r="J66" s="256">
        <v>8419</v>
      </c>
      <c r="K66" s="199"/>
      <c r="L66" s="199"/>
      <c r="M66" s="199"/>
      <c r="N66" s="199"/>
      <c r="O66" s="199"/>
      <c r="P66" s="23"/>
      <c r="Q66" s="23"/>
      <c r="R66" s="23"/>
      <c r="S66" s="23"/>
      <c r="T66" s="23"/>
      <c r="U66" s="23"/>
    </row>
    <row r="67" spans="1:21" s="251" customFormat="1" x14ac:dyDescent="0.25">
      <c r="A67" s="27"/>
      <c r="B67" s="27"/>
      <c r="C67" s="27"/>
      <c r="D67" s="27"/>
      <c r="E67" s="27"/>
      <c r="F67" s="27"/>
      <c r="G67" s="27"/>
      <c r="H67" s="27" t="s">
        <v>160</v>
      </c>
      <c r="I67" s="27"/>
      <c r="J67" s="252">
        <f>ROUND(SUM(J65:J66),5)</f>
        <v>8419</v>
      </c>
      <c r="K67" s="161"/>
      <c r="L67" s="161"/>
      <c r="M67" s="161"/>
      <c r="N67" s="161"/>
      <c r="O67" s="161"/>
      <c r="P67" s="23"/>
      <c r="Q67" s="23"/>
      <c r="R67" s="23"/>
      <c r="S67" s="23"/>
      <c r="T67" s="23"/>
      <c r="U67" s="23"/>
    </row>
    <row r="68" spans="1:21" s="251" customFormat="1" x14ac:dyDescent="0.25">
      <c r="A68" s="27"/>
      <c r="B68" s="27"/>
      <c r="C68" s="27"/>
      <c r="D68" s="27"/>
      <c r="E68" s="27"/>
      <c r="F68" s="27"/>
      <c r="G68" s="27"/>
      <c r="H68" s="27" t="s">
        <v>390</v>
      </c>
      <c r="I68" s="27"/>
      <c r="J68" s="252">
        <v>72343</v>
      </c>
      <c r="K68" s="161"/>
      <c r="L68" s="161"/>
      <c r="M68" s="161"/>
      <c r="N68" s="161"/>
      <c r="O68" s="161"/>
      <c r="P68" s="23"/>
      <c r="Q68" s="23"/>
      <c r="R68" s="23"/>
      <c r="S68" s="23"/>
      <c r="T68" s="23"/>
      <c r="U68" s="23"/>
    </row>
    <row r="69" spans="1:21" s="251" customFormat="1" ht="15.75" thickBot="1" x14ac:dyDescent="0.3">
      <c r="A69" s="27"/>
      <c r="B69" s="27"/>
      <c r="C69" s="27"/>
      <c r="D69" s="27"/>
      <c r="E69" s="27"/>
      <c r="F69" s="27"/>
      <c r="G69" s="27"/>
      <c r="H69" s="27" t="s">
        <v>162</v>
      </c>
      <c r="I69" s="27"/>
      <c r="J69" s="256">
        <v>925</v>
      </c>
      <c r="K69" s="161"/>
      <c r="L69" s="161"/>
      <c r="M69" s="161"/>
      <c r="N69" s="161"/>
      <c r="O69" s="161"/>
      <c r="P69" s="23"/>
      <c r="Q69" s="23"/>
      <c r="R69" s="23"/>
      <c r="S69" s="23"/>
      <c r="T69" s="23"/>
      <c r="U69" s="23"/>
    </row>
    <row r="70" spans="1:21" s="251" customFormat="1" x14ac:dyDescent="0.25">
      <c r="A70" s="27"/>
      <c r="B70" s="27"/>
      <c r="C70" s="27"/>
      <c r="D70" s="27"/>
      <c r="E70" s="27"/>
      <c r="F70" s="27"/>
      <c r="G70" s="27" t="s">
        <v>168</v>
      </c>
      <c r="H70" s="27"/>
      <c r="I70" s="27"/>
      <c r="J70" s="252">
        <f>ROUND(SUM(J61:J64)+SUM(J67:J69),5)</f>
        <v>112748.6</v>
      </c>
      <c r="K70" s="161"/>
      <c r="L70" s="161"/>
      <c r="M70" s="161"/>
      <c r="N70" s="161"/>
      <c r="O70" s="161"/>
      <c r="P70" s="23"/>
      <c r="Q70" s="23"/>
      <c r="R70" s="23"/>
      <c r="S70" s="23"/>
      <c r="T70" s="23"/>
      <c r="U70" s="23"/>
    </row>
    <row r="71" spans="1:21" s="251" customFormat="1" x14ac:dyDescent="0.25">
      <c r="A71" s="27"/>
      <c r="B71" s="27"/>
      <c r="C71" s="27"/>
      <c r="D71" s="27"/>
      <c r="E71" s="27"/>
      <c r="F71" s="27"/>
      <c r="G71" s="27" t="s">
        <v>169</v>
      </c>
      <c r="H71" s="27"/>
      <c r="I71" s="27"/>
      <c r="J71" s="252"/>
      <c r="K71" s="161"/>
      <c r="L71" s="161"/>
      <c r="M71" s="161"/>
      <c r="N71" s="161"/>
      <c r="O71" s="161"/>
      <c r="P71" s="23"/>
      <c r="Q71" s="23"/>
      <c r="R71" s="23"/>
      <c r="S71" s="23"/>
      <c r="T71" s="23"/>
      <c r="U71" s="23"/>
    </row>
    <row r="72" spans="1:21" s="251" customFormat="1" x14ac:dyDescent="0.25">
      <c r="A72" s="27"/>
      <c r="B72" s="27"/>
      <c r="C72" s="27"/>
      <c r="D72" s="27"/>
      <c r="E72" s="27"/>
      <c r="F72" s="27"/>
      <c r="G72" s="27"/>
      <c r="H72" s="27" t="s">
        <v>170</v>
      </c>
      <c r="I72" s="27"/>
      <c r="J72" s="252">
        <v>334755</v>
      </c>
      <c r="K72" s="161"/>
      <c r="L72" s="161"/>
      <c r="M72" s="161"/>
      <c r="N72" s="161"/>
      <c r="O72" s="161"/>
      <c r="P72" s="23"/>
      <c r="Q72" s="23"/>
      <c r="R72" s="23"/>
      <c r="S72" s="23"/>
      <c r="T72" s="23"/>
      <c r="U72" s="23"/>
    </row>
    <row r="73" spans="1:21" s="251" customFormat="1" x14ac:dyDescent="0.25">
      <c r="A73" s="27"/>
      <c r="B73" s="27"/>
      <c r="C73" s="27"/>
      <c r="D73" s="27"/>
      <c r="E73" s="27"/>
      <c r="F73" s="27"/>
      <c r="G73" s="27"/>
      <c r="H73" s="27" t="s">
        <v>171</v>
      </c>
      <c r="I73" s="27"/>
      <c r="J73" s="252">
        <v>33938</v>
      </c>
      <c r="K73" s="161"/>
      <c r="L73" s="161"/>
      <c r="M73" s="161"/>
      <c r="N73" s="161"/>
      <c r="O73" s="161"/>
      <c r="P73" s="23"/>
      <c r="Q73" s="23"/>
      <c r="R73" s="23"/>
      <c r="S73" s="23"/>
      <c r="T73" s="23"/>
      <c r="U73" s="23"/>
    </row>
    <row r="74" spans="1:21" s="251" customFormat="1" x14ac:dyDescent="0.25">
      <c r="A74" s="27"/>
      <c r="B74" s="27"/>
      <c r="C74" s="27"/>
      <c r="D74" s="27"/>
      <c r="E74" s="27"/>
      <c r="F74" s="27"/>
      <c r="G74" s="27"/>
      <c r="H74" s="27" t="s">
        <v>172</v>
      </c>
      <c r="I74" s="27"/>
      <c r="J74" s="252">
        <v>8484.5</v>
      </c>
      <c r="K74" s="199"/>
      <c r="L74" s="199"/>
      <c r="M74" s="199"/>
      <c r="N74" s="199"/>
      <c r="O74" s="199"/>
      <c r="P74" s="23"/>
      <c r="Q74" s="23"/>
      <c r="R74" s="23"/>
      <c r="S74" s="23"/>
      <c r="T74" s="23"/>
      <c r="U74" s="23"/>
    </row>
    <row r="75" spans="1:21" s="251" customFormat="1" x14ac:dyDescent="0.25">
      <c r="A75" s="27"/>
      <c r="B75" s="27"/>
      <c r="C75" s="27"/>
      <c r="D75" s="27"/>
      <c r="E75" s="27"/>
      <c r="F75" s="27"/>
      <c r="G75" s="27"/>
      <c r="H75" s="27" t="s">
        <v>174</v>
      </c>
      <c r="I75" s="27"/>
      <c r="J75" s="252">
        <v>37925</v>
      </c>
      <c r="K75" s="161"/>
      <c r="L75" s="161"/>
      <c r="M75" s="161"/>
      <c r="N75" s="161"/>
      <c r="O75" s="161"/>
      <c r="P75" s="23"/>
      <c r="Q75" s="23"/>
      <c r="R75" s="23"/>
      <c r="S75" s="23"/>
      <c r="T75" s="23"/>
      <c r="U75" s="23"/>
    </row>
    <row r="76" spans="1:21" s="251" customFormat="1" x14ac:dyDescent="0.25">
      <c r="A76" s="27"/>
      <c r="B76" s="27"/>
      <c r="C76" s="27"/>
      <c r="D76" s="27"/>
      <c r="E76" s="27"/>
      <c r="F76" s="27"/>
      <c r="G76" s="27"/>
      <c r="H76" s="27" t="s">
        <v>175</v>
      </c>
      <c r="I76" s="27"/>
      <c r="J76" s="252">
        <v>10000</v>
      </c>
      <c r="K76" s="161"/>
      <c r="L76" s="161"/>
      <c r="M76" s="161"/>
      <c r="N76" s="161"/>
      <c r="O76" s="161"/>
      <c r="P76" s="23"/>
      <c r="Q76" s="23"/>
      <c r="R76" s="23"/>
      <c r="S76" s="23"/>
      <c r="T76" s="23"/>
      <c r="U76" s="23"/>
    </row>
    <row r="77" spans="1:21" s="251" customFormat="1" ht="15.75" thickBot="1" x14ac:dyDescent="0.3">
      <c r="A77" s="27"/>
      <c r="B77" s="27"/>
      <c r="C77" s="27"/>
      <c r="D77" s="27"/>
      <c r="E77" s="27"/>
      <c r="F77" s="27"/>
      <c r="G77" s="27"/>
      <c r="H77" s="27" t="s">
        <v>177</v>
      </c>
      <c r="I77" s="27"/>
      <c r="J77" s="256">
        <v>0</v>
      </c>
      <c r="K77" s="161"/>
      <c r="L77" s="161"/>
      <c r="M77" s="161"/>
      <c r="N77" s="161"/>
      <c r="O77" s="161"/>
      <c r="P77" s="23"/>
      <c r="Q77" s="23"/>
      <c r="R77" s="23"/>
      <c r="S77" s="23"/>
      <c r="T77" s="23"/>
      <c r="U77" s="23"/>
    </row>
    <row r="78" spans="1:21" s="251" customFormat="1" x14ac:dyDescent="0.25">
      <c r="A78" s="27"/>
      <c r="B78" s="27"/>
      <c r="C78" s="27"/>
      <c r="D78" s="27"/>
      <c r="E78" s="27"/>
      <c r="F78" s="27"/>
      <c r="G78" s="27" t="s">
        <v>178</v>
      </c>
      <c r="H78" s="27"/>
      <c r="I78" s="27"/>
      <c r="J78" s="252">
        <f>ROUND(SUM(J71:J77),5)</f>
        <v>425102.5</v>
      </c>
      <c r="K78" s="161"/>
      <c r="L78" s="161"/>
      <c r="M78" s="161"/>
      <c r="N78" s="161"/>
      <c r="O78" s="161"/>
      <c r="P78" s="23"/>
      <c r="Q78" s="23"/>
      <c r="R78" s="23"/>
      <c r="S78" s="23"/>
      <c r="T78" s="23"/>
      <c r="U78" s="23"/>
    </row>
    <row r="79" spans="1:21" s="251" customFormat="1" x14ac:dyDescent="0.25">
      <c r="A79" s="27"/>
      <c r="B79" s="27"/>
      <c r="C79" s="27"/>
      <c r="D79" s="27"/>
      <c r="E79" s="27"/>
      <c r="F79" s="27"/>
      <c r="G79" s="27" t="s">
        <v>179</v>
      </c>
      <c r="H79" s="27"/>
      <c r="I79" s="27"/>
      <c r="J79" s="252"/>
      <c r="K79" s="161"/>
      <c r="L79" s="161"/>
      <c r="M79" s="161"/>
      <c r="N79" s="161"/>
      <c r="O79" s="161"/>
      <c r="P79" s="23"/>
      <c r="Q79" s="23"/>
      <c r="R79" s="23"/>
      <c r="S79" s="23"/>
      <c r="T79" s="23"/>
      <c r="U79" s="23"/>
    </row>
    <row r="80" spans="1:21" s="251" customFormat="1" x14ac:dyDescent="0.25">
      <c r="A80" s="27"/>
      <c r="B80" s="27"/>
      <c r="C80" s="27"/>
      <c r="D80" s="27"/>
      <c r="E80" s="27"/>
      <c r="F80" s="27"/>
      <c r="G80" s="27"/>
      <c r="H80" s="27" t="s">
        <v>180</v>
      </c>
      <c r="I80" s="27"/>
      <c r="J80" s="252">
        <v>2920.69</v>
      </c>
      <c r="K80" s="199"/>
      <c r="L80" s="199"/>
      <c r="M80" s="199"/>
      <c r="N80" s="199"/>
      <c r="O80" s="199"/>
      <c r="P80" s="23"/>
      <c r="Q80" s="23"/>
      <c r="R80" s="23"/>
      <c r="S80" s="23"/>
      <c r="T80" s="23"/>
      <c r="U80" s="23"/>
    </row>
    <row r="81" spans="1:21" s="251" customFormat="1" x14ac:dyDescent="0.25">
      <c r="A81" s="27"/>
      <c r="B81" s="27"/>
      <c r="C81" s="27"/>
      <c r="D81" s="27"/>
      <c r="E81" s="27"/>
      <c r="F81" s="27"/>
      <c r="G81" s="27"/>
      <c r="H81" s="27" t="s">
        <v>181</v>
      </c>
      <c r="I81" s="27"/>
      <c r="J81" s="252">
        <v>12334.26</v>
      </c>
      <c r="K81" s="161"/>
      <c r="L81" s="161"/>
      <c r="M81" s="161"/>
      <c r="N81" s="161"/>
      <c r="O81" s="161"/>
      <c r="P81" s="23"/>
      <c r="Q81" s="23"/>
      <c r="R81" s="23"/>
      <c r="S81" s="23"/>
      <c r="T81" s="23"/>
      <c r="U81" s="23"/>
    </row>
    <row r="82" spans="1:21" s="251" customFormat="1" x14ac:dyDescent="0.25">
      <c r="A82" s="27"/>
      <c r="B82" s="27"/>
      <c r="C82" s="27"/>
      <c r="D82" s="27"/>
      <c r="E82" s="27"/>
      <c r="F82" s="27"/>
      <c r="G82" s="27"/>
      <c r="H82" s="27" t="s">
        <v>182</v>
      </c>
      <c r="I82" s="27"/>
      <c r="J82" s="252">
        <v>6554.21</v>
      </c>
      <c r="K82" s="161"/>
      <c r="L82" s="161"/>
      <c r="M82" s="161"/>
      <c r="N82" s="161"/>
      <c r="O82" s="161"/>
      <c r="P82" s="23"/>
      <c r="Q82" s="23"/>
      <c r="R82" s="23"/>
      <c r="S82" s="23"/>
      <c r="T82" s="23"/>
      <c r="U82" s="23"/>
    </row>
    <row r="83" spans="1:21" s="251" customFormat="1" ht="15.75" thickBot="1" x14ac:dyDescent="0.3">
      <c r="A83" s="27"/>
      <c r="B83" s="27"/>
      <c r="C83" s="27"/>
      <c r="D83" s="27"/>
      <c r="E83" s="27"/>
      <c r="F83" s="27"/>
      <c r="G83" s="27"/>
      <c r="H83" s="27" t="s">
        <v>183</v>
      </c>
      <c r="I83" s="27"/>
      <c r="J83" s="256">
        <v>4951.34</v>
      </c>
      <c r="K83" s="161"/>
      <c r="L83" s="161"/>
      <c r="M83" s="161"/>
      <c r="N83" s="161"/>
      <c r="O83" s="161"/>
      <c r="P83" s="23"/>
      <c r="Q83" s="23"/>
      <c r="R83" s="23"/>
      <c r="S83" s="23"/>
      <c r="T83" s="23"/>
      <c r="U83" s="23"/>
    </row>
    <row r="84" spans="1:21" s="251" customFormat="1" x14ac:dyDescent="0.25">
      <c r="A84" s="27"/>
      <c r="B84" s="27"/>
      <c r="C84" s="27"/>
      <c r="D84" s="27"/>
      <c r="E84" s="27"/>
      <c r="F84" s="27"/>
      <c r="G84" s="27" t="s">
        <v>185</v>
      </c>
      <c r="H84" s="27"/>
      <c r="I84" s="27"/>
      <c r="J84" s="252">
        <f>ROUND(SUM(J79:J83),5)</f>
        <v>26760.5</v>
      </c>
      <c r="K84" s="161"/>
      <c r="L84" s="161"/>
      <c r="M84" s="161"/>
      <c r="N84" s="161"/>
      <c r="O84" s="161"/>
      <c r="P84" s="23"/>
      <c r="Q84" s="23"/>
      <c r="R84" s="23"/>
      <c r="S84" s="23"/>
      <c r="T84" s="23"/>
      <c r="U84" s="23"/>
    </row>
    <row r="85" spans="1:21" s="251" customFormat="1" ht="30" customHeight="1" x14ac:dyDescent="0.25">
      <c r="A85" s="27"/>
      <c r="B85" s="27"/>
      <c r="C85" s="27"/>
      <c r="D85" s="27"/>
      <c r="E85" s="27"/>
      <c r="F85" s="27"/>
      <c r="G85" s="27" t="s">
        <v>186</v>
      </c>
      <c r="H85" s="27"/>
      <c r="I85" s="27"/>
      <c r="J85" s="252"/>
      <c r="K85" s="161"/>
      <c r="L85" s="161"/>
      <c r="M85" s="161"/>
      <c r="N85" s="161"/>
      <c r="O85" s="161"/>
      <c r="P85" s="23"/>
      <c r="Q85" s="23"/>
      <c r="R85" s="23"/>
      <c r="S85" s="23"/>
      <c r="T85" s="23"/>
      <c r="U85" s="23"/>
    </row>
    <row r="86" spans="1:21" s="251" customFormat="1" x14ac:dyDescent="0.25">
      <c r="A86" s="27"/>
      <c r="B86" s="27"/>
      <c r="C86" s="27"/>
      <c r="D86" s="27"/>
      <c r="E86" s="27"/>
      <c r="F86" s="27"/>
      <c r="G86" s="27"/>
      <c r="H86" s="27" t="s">
        <v>187</v>
      </c>
      <c r="I86" s="27"/>
      <c r="J86" s="252">
        <v>200</v>
      </c>
      <c r="K86" s="199"/>
      <c r="L86" s="199"/>
      <c r="M86" s="199"/>
      <c r="N86" s="199"/>
      <c r="O86" s="199"/>
      <c r="P86" s="23"/>
      <c r="Q86" s="23"/>
      <c r="R86" s="23"/>
      <c r="S86" s="23"/>
      <c r="T86" s="23"/>
      <c r="U86" s="23"/>
    </row>
    <row r="87" spans="1:21" s="251" customFormat="1" x14ac:dyDescent="0.25">
      <c r="A87" s="27"/>
      <c r="B87" s="27"/>
      <c r="C87" s="27"/>
      <c r="D87" s="27"/>
      <c r="E87" s="27"/>
      <c r="F87" s="27"/>
      <c r="G87" s="27"/>
      <c r="H87" s="27" t="s">
        <v>188</v>
      </c>
      <c r="I87" s="27"/>
      <c r="J87" s="252">
        <v>1110</v>
      </c>
      <c r="K87" s="161"/>
      <c r="L87" s="161"/>
      <c r="M87" s="161"/>
      <c r="N87" s="161"/>
      <c r="O87" s="161"/>
      <c r="P87" s="23"/>
      <c r="Q87" s="23"/>
      <c r="R87" s="23"/>
      <c r="S87" s="23"/>
      <c r="T87" s="23"/>
      <c r="U87" s="23"/>
    </row>
    <row r="88" spans="1:21" s="251" customFormat="1" x14ac:dyDescent="0.25">
      <c r="A88" s="27"/>
      <c r="B88" s="27"/>
      <c r="C88" s="27"/>
      <c r="D88" s="27"/>
      <c r="E88" s="27"/>
      <c r="F88" s="27"/>
      <c r="G88" s="27"/>
      <c r="H88" s="27" t="s">
        <v>190</v>
      </c>
      <c r="I88" s="27"/>
      <c r="J88" s="252">
        <v>19165</v>
      </c>
      <c r="K88" s="199"/>
      <c r="L88" s="199"/>
      <c r="M88" s="199"/>
      <c r="N88" s="199"/>
      <c r="O88" s="199"/>
      <c r="P88" s="23"/>
      <c r="Q88" s="23"/>
      <c r="R88" s="23"/>
      <c r="S88" s="23"/>
      <c r="T88" s="23"/>
      <c r="U88" s="23"/>
    </row>
    <row r="89" spans="1:21" s="251" customFormat="1" x14ac:dyDescent="0.25">
      <c r="A89" s="27"/>
      <c r="B89" s="27"/>
      <c r="C89" s="27"/>
      <c r="D89" s="27"/>
      <c r="E89" s="27"/>
      <c r="F89" s="27"/>
      <c r="G89" s="27"/>
      <c r="H89" s="27" t="s">
        <v>191</v>
      </c>
      <c r="I89" s="27"/>
      <c r="J89" s="252">
        <v>1000</v>
      </c>
      <c r="K89" s="161"/>
      <c r="L89" s="161"/>
      <c r="M89" s="161"/>
      <c r="N89" s="161"/>
      <c r="O89" s="161"/>
      <c r="P89" s="23"/>
      <c r="Q89" s="23"/>
      <c r="R89" s="23"/>
      <c r="S89" s="23"/>
      <c r="T89" s="23"/>
      <c r="U89" s="23"/>
    </row>
    <row r="90" spans="1:21" s="251" customFormat="1" x14ac:dyDescent="0.25">
      <c r="A90" s="27"/>
      <c r="B90" s="27"/>
      <c r="C90" s="27"/>
      <c r="D90" s="27"/>
      <c r="E90" s="27"/>
      <c r="F90" s="27"/>
      <c r="G90" s="27"/>
      <c r="H90" s="27" t="s">
        <v>193</v>
      </c>
      <c r="I90" s="27"/>
      <c r="J90" s="252">
        <v>34375</v>
      </c>
      <c r="K90" s="161"/>
      <c r="L90" s="161"/>
      <c r="M90" s="161"/>
      <c r="N90" s="161"/>
      <c r="O90" s="161"/>
      <c r="P90" s="23"/>
      <c r="Q90" s="23"/>
      <c r="R90" s="23"/>
      <c r="S90" s="23"/>
      <c r="T90" s="23"/>
      <c r="U90" s="23"/>
    </row>
    <row r="91" spans="1:21" s="251" customFormat="1" ht="15.75" thickBot="1" x14ac:dyDescent="0.3">
      <c r="A91" s="27"/>
      <c r="B91" s="27"/>
      <c r="C91" s="27"/>
      <c r="D91" s="27"/>
      <c r="E91" s="27"/>
      <c r="F91" s="27"/>
      <c r="G91" s="27"/>
      <c r="H91" s="27" t="s">
        <v>692</v>
      </c>
      <c r="I91" s="27"/>
      <c r="J91" s="256">
        <v>7000</v>
      </c>
      <c r="K91" s="161"/>
      <c r="L91" s="161"/>
      <c r="M91" s="161"/>
      <c r="N91" s="161"/>
      <c r="O91" s="161"/>
      <c r="P91" s="23"/>
      <c r="Q91" s="23"/>
      <c r="R91" s="23"/>
      <c r="S91" s="23"/>
      <c r="T91" s="23"/>
      <c r="U91" s="23"/>
    </row>
    <row r="92" spans="1:21" s="251" customFormat="1" x14ac:dyDescent="0.25">
      <c r="A92" s="27"/>
      <c r="B92" s="27"/>
      <c r="C92" s="27"/>
      <c r="D92" s="27"/>
      <c r="E92" s="27"/>
      <c r="F92" s="27"/>
      <c r="G92" s="27" t="s">
        <v>195</v>
      </c>
      <c r="H92" s="27"/>
      <c r="I92" s="27"/>
      <c r="J92" s="252">
        <f>ROUND(SUM(J85:J91),5)</f>
        <v>62850</v>
      </c>
      <c r="K92" s="161"/>
      <c r="L92" s="161"/>
      <c r="M92" s="161"/>
      <c r="N92" s="161"/>
      <c r="O92" s="161"/>
      <c r="P92" s="23"/>
      <c r="Q92" s="23"/>
      <c r="R92" s="23"/>
      <c r="S92" s="23"/>
      <c r="T92" s="23"/>
      <c r="U92" s="23"/>
    </row>
    <row r="93" spans="1:21" s="251" customFormat="1" x14ac:dyDescent="0.25">
      <c r="A93" s="27"/>
      <c r="B93" s="27"/>
      <c r="C93" s="27"/>
      <c r="D93" s="27"/>
      <c r="E93" s="27"/>
      <c r="F93" s="27"/>
      <c r="G93" s="27" t="s">
        <v>196</v>
      </c>
      <c r="H93" s="27"/>
      <c r="I93" s="27"/>
      <c r="J93" s="252"/>
      <c r="K93" s="161"/>
      <c r="L93" s="161"/>
      <c r="M93" s="161"/>
      <c r="N93" s="161"/>
      <c r="O93" s="161"/>
      <c r="P93" s="23"/>
      <c r="Q93" s="23"/>
      <c r="R93" s="23"/>
      <c r="S93" s="23"/>
      <c r="T93" s="23"/>
      <c r="U93" s="23"/>
    </row>
    <row r="94" spans="1:21" s="251" customFormat="1" x14ac:dyDescent="0.25">
      <c r="A94" s="27"/>
      <c r="B94" s="27"/>
      <c r="C94" s="27"/>
      <c r="D94" s="27"/>
      <c r="E94" s="27"/>
      <c r="F94" s="27"/>
      <c r="G94" s="27"/>
      <c r="H94" s="27" t="s">
        <v>197</v>
      </c>
      <c r="I94" s="27"/>
      <c r="J94" s="252">
        <v>59208</v>
      </c>
      <c r="K94" s="161"/>
      <c r="L94" s="161"/>
      <c r="M94" s="161"/>
      <c r="N94" s="161"/>
      <c r="O94" s="161"/>
      <c r="P94" s="23"/>
      <c r="Q94" s="23"/>
      <c r="R94" s="23"/>
      <c r="S94" s="23"/>
      <c r="T94" s="23"/>
      <c r="U94" s="23"/>
    </row>
    <row r="95" spans="1:21" s="251" customFormat="1" x14ac:dyDescent="0.25">
      <c r="A95" s="27"/>
      <c r="B95" s="27"/>
      <c r="C95" s="27"/>
      <c r="D95" s="27"/>
      <c r="E95" s="27"/>
      <c r="F95" s="27"/>
      <c r="G95" s="27"/>
      <c r="H95" s="27" t="s">
        <v>200</v>
      </c>
      <c r="I95" s="27"/>
      <c r="J95" s="252">
        <v>14830</v>
      </c>
      <c r="K95" s="199"/>
      <c r="L95" s="199"/>
      <c r="M95" s="199"/>
      <c r="N95" s="199"/>
      <c r="O95" s="199"/>
      <c r="P95" s="23"/>
      <c r="Q95" s="23"/>
      <c r="R95" s="23"/>
      <c r="S95" s="23"/>
      <c r="T95" s="23"/>
      <c r="U95" s="23"/>
    </row>
    <row r="96" spans="1:21" s="251" customFormat="1" x14ac:dyDescent="0.25">
      <c r="A96" s="27"/>
      <c r="B96" s="27"/>
      <c r="C96" s="27"/>
      <c r="D96" s="27"/>
      <c r="E96" s="27"/>
      <c r="F96" s="27"/>
      <c r="G96" s="27"/>
      <c r="H96" s="27" t="s">
        <v>201</v>
      </c>
      <c r="I96" s="27"/>
      <c r="J96" s="252">
        <v>10295</v>
      </c>
      <c r="K96" s="161"/>
      <c r="L96" s="161"/>
      <c r="M96" s="161"/>
      <c r="N96" s="161"/>
      <c r="O96" s="161"/>
      <c r="P96" s="23"/>
      <c r="Q96" s="23"/>
      <c r="R96" s="23"/>
      <c r="S96" s="23"/>
      <c r="T96" s="23"/>
      <c r="U96" s="23"/>
    </row>
    <row r="97" spans="1:21" s="251" customFormat="1" x14ac:dyDescent="0.25">
      <c r="A97" s="27"/>
      <c r="B97" s="27"/>
      <c r="C97" s="27"/>
      <c r="D97" s="27"/>
      <c r="E97" s="27"/>
      <c r="F97" s="27"/>
      <c r="G97" s="27"/>
      <c r="H97" s="27" t="s">
        <v>203</v>
      </c>
      <c r="I97" s="27"/>
      <c r="J97" s="252">
        <v>860</v>
      </c>
      <c r="K97" s="161"/>
      <c r="L97" s="161"/>
      <c r="M97" s="161"/>
      <c r="N97" s="161"/>
      <c r="O97" s="161"/>
      <c r="P97" s="23"/>
      <c r="Q97" s="23"/>
      <c r="R97" s="23"/>
      <c r="S97" s="23"/>
      <c r="T97" s="23"/>
      <c r="U97" s="23"/>
    </row>
    <row r="98" spans="1:21" x14ac:dyDescent="0.25">
      <c r="A98" s="27"/>
      <c r="B98" s="27"/>
      <c r="C98" s="27"/>
      <c r="D98" s="27"/>
      <c r="E98" s="27"/>
      <c r="F98" s="27"/>
      <c r="G98" s="27"/>
      <c r="H98" s="27" t="s">
        <v>204</v>
      </c>
      <c r="I98" s="27"/>
      <c r="J98" s="266">
        <v>144808</v>
      </c>
      <c r="K98" s="23"/>
      <c r="L98" s="23"/>
      <c r="M98" s="23"/>
      <c r="N98" s="23"/>
      <c r="O98" s="23"/>
    </row>
    <row r="99" spans="1:21" x14ac:dyDescent="0.25">
      <c r="A99" s="27"/>
      <c r="B99" s="27"/>
      <c r="C99" s="27"/>
      <c r="D99" s="27"/>
      <c r="E99" s="27"/>
      <c r="F99" s="27"/>
      <c r="G99" s="27"/>
      <c r="H99" s="27" t="s">
        <v>205</v>
      </c>
      <c r="I99" s="27"/>
      <c r="J99" s="266">
        <v>100000.66</v>
      </c>
      <c r="K99" s="23"/>
      <c r="L99" s="23"/>
      <c r="M99" s="23"/>
      <c r="N99" s="23"/>
      <c r="O99" s="23"/>
    </row>
    <row r="100" spans="1:21" ht="15.75" thickBot="1" x14ac:dyDescent="0.3">
      <c r="A100" s="27"/>
      <c r="B100" s="27"/>
      <c r="C100" s="27"/>
      <c r="D100" s="27"/>
      <c r="E100" s="27"/>
      <c r="F100" s="27"/>
      <c r="G100" s="27"/>
      <c r="H100" s="27" t="s">
        <v>206</v>
      </c>
      <c r="I100" s="27"/>
      <c r="J100" s="264">
        <v>125300.53</v>
      </c>
      <c r="K100" s="23"/>
      <c r="L100" s="23"/>
      <c r="M100" s="23"/>
      <c r="N100" s="23"/>
      <c r="O100" s="23"/>
    </row>
    <row r="101" spans="1:21" x14ac:dyDescent="0.25">
      <c r="A101" s="27"/>
      <c r="B101" s="27"/>
      <c r="C101" s="27"/>
      <c r="D101" s="27"/>
      <c r="E101" s="27"/>
      <c r="F101" s="27"/>
      <c r="G101" s="27" t="s">
        <v>208</v>
      </c>
      <c r="H101" s="27"/>
      <c r="I101" s="27"/>
      <c r="J101" s="252">
        <f>SUM(J94:J100)</f>
        <v>455302.19000000006</v>
      </c>
      <c r="K101" s="199"/>
      <c r="L101" s="199"/>
      <c r="M101" s="199"/>
      <c r="N101" s="199"/>
      <c r="O101" s="199"/>
    </row>
    <row r="102" spans="1:21" x14ac:dyDescent="0.25">
      <c r="A102" s="27"/>
      <c r="B102" s="27"/>
      <c r="C102" s="27"/>
      <c r="D102" s="27"/>
      <c r="E102" s="27"/>
      <c r="F102" s="27"/>
      <c r="G102" s="27" t="s">
        <v>209</v>
      </c>
      <c r="H102" s="27"/>
      <c r="I102" s="27"/>
      <c r="J102" s="252"/>
      <c r="K102" s="161"/>
      <c r="L102" s="161"/>
      <c r="M102" s="161"/>
      <c r="N102" s="161"/>
      <c r="O102" s="161"/>
    </row>
    <row r="103" spans="1:21" x14ac:dyDescent="0.25">
      <c r="A103" s="27"/>
      <c r="B103" s="27"/>
      <c r="C103" s="27"/>
      <c r="D103" s="27"/>
      <c r="E103" s="27"/>
      <c r="F103" s="27"/>
      <c r="G103" s="27"/>
      <c r="H103" s="27" t="s">
        <v>210</v>
      </c>
      <c r="I103" s="27"/>
      <c r="J103" s="252">
        <v>101484.46</v>
      </c>
      <c r="K103" s="161"/>
      <c r="L103" s="161"/>
      <c r="M103" s="161"/>
      <c r="N103" s="161"/>
      <c r="O103" s="161"/>
    </row>
    <row r="104" spans="1:21" ht="15.75" thickBot="1" x14ac:dyDescent="0.3">
      <c r="A104" s="27"/>
      <c r="B104" s="27"/>
      <c r="C104" s="27"/>
      <c r="D104" s="27"/>
      <c r="E104" s="27"/>
      <c r="F104" s="27"/>
      <c r="G104" s="27"/>
      <c r="H104" s="27" t="s">
        <v>211</v>
      </c>
      <c r="I104" s="27"/>
      <c r="J104" s="253">
        <v>9430.51</v>
      </c>
      <c r="K104" s="161"/>
      <c r="L104" s="161"/>
      <c r="M104" s="161"/>
      <c r="N104" s="161"/>
      <c r="O104" s="161"/>
    </row>
    <row r="105" spans="1:21" ht="15.75" thickBot="1" x14ac:dyDescent="0.3">
      <c r="A105" s="27"/>
      <c r="B105" s="27"/>
      <c r="C105" s="27"/>
      <c r="D105" s="27"/>
      <c r="E105" s="27"/>
      <c r="F105" s="27"/>
      <c r="G105" s="27" t="s">
        <v>217</v>
      </c>
      <c r="H105" s="27"/>
      <c r="I105" s="27"/>
      <c r="J105" s="255">
        <f>ROUND(SUM(J102:J104),5)</f>
        <v>110914.97</v>
      </c>
      <c r="K105" s="199"/>
      <c r="L105" s="199"/>
      <c r="M105" s="199"/>
      <c r="N105" s="199"/>
      <c r="O105" s="199"/>
    </row>
    <row r="106" spans="1:21" x14ac:dyDescent="0.25">
      <c r="A106" s="27"/>
      <c r="B106" s="27"/>
      <c r="C106" s="27"/>
      <c r="D106" s="27"/>
      <c r="E106" s="27"/>
      <c r="F106" s="27" t="s">
        <v>391</v>
      </c>
      <c r="G106" s="27"/>
      <c r="H106" s="27"/>
      <c r="I106" s="27"/>
      <c r="J106" s="252">
        <f>ROUND(J60+J70+J78+J84+J92+J101+J105,5)</f>
        <v>1193678.76</v>
      </c>
      <c r="K106" s="161"/>
      <c r="L106" s="161"/>
      <c r="M106" s="161"/>
      <c r="N106" s="161"/>
      <c r="O106" s="161"/>
    </row>
    <row r="107" spans="1:21" x14ac:dyDescent="0.25">
      <c r="A107" s="27"/>
      <c r="B107" s="27"/>
      <c r="C107" s="27"/>
      <c r="D107" s="27"/>
      <c r="E107" s="27"/>
      <c r="F107" s="27" t="s">
        <v>218</v>
      </c>
      <c r="G107" s="27"/>
      <c r="H107" s="27"/>
      <c r="I107" s="27"/>
      <c r="J107" s="252"/>
      <c r="K107" s="161"/>
      <c r="L107" s="161"/>
      <c r="M107" s="161"/>
      <c r="N107" s="161"/>
      <c r="O107" s="161"/>
    </row>
    <row r="108" spans="1:21" x14ac:dyDescent="0.25">
      <c r="A108" s="27"/>
      <c r="B108" s="27"/>
      <c r="C108" s="27"/>
      <c r="D108" s="27"/>
      <c r="E108" s="27"/>
      <c r="F108" s="27"/>
      <c r="G108" s="27" t="s">
        <v>219</v>
      </c>
      <c r="H108" s="27"/>
      <c r="I108" s="27"/>
      <c r="J108" s="252"/>
      <c r="K108" s="161"/>
      <c r="L108" s="161"/>
      <c r="M108" s="161"/>
      <c r="N108" s="161"/>
      <c r="O108" s="161"/>
    </row>
    <row r="109" spans="1:21" x14ac:dyDescent="0.25">
      <c r="A109" s="27"/>
      <c r="B109" s="27"/>
      <c r="C109" s="27"/>
      <c r="D109" s="27"/>
      <c r="E109" s="27"/>
      <c r="F109" s="27"/>
      <c r="G109" s="27"/>
      <c r="H109" s="27" t="s">
        <v>221</v>
      </c>
      <c r="I109" s="27"/>
      <c r="J109" s="252">
        <v>1150</v>
      </c>
      <c r="K109" s="199"/>
      <c r="L109" s="199"/>
      <c r="M109" s="199"/>
      <c r="N109" s="199"/>
      <c r="O109" s="199"/>
    </row>
    <row r="110" spans="1:21" x14ac:dyDescent="0.25">
      <c r="A110" s="27"/>
      <c r="B110" s="27"/>
      <c r="C110" s="27"/>
      <c r="D110" s="27"/>
      <c r="E110" s="27"/>
      <c r="F110" s="27"/>
      <c r="G110" s="27"/>
      <c r="H110" s="27" t="s">
        <v>222</v>
      </c>
      <c r="I110" s="27"/>
      <c r="J110" s="252">
        <v>870</v>
      </c>
      <c r="K110" s="161"/>
      <c r="L110" s="161"/>
      <c r="M110" s="161"/>
      <c r="N110" s="161"/>
      <c r="O110" s="161"/>
    </row>
    <row r="111" spans="1:21" x14ac:dyDescent="0.25">
      <c r="A111" s="27"/>
      <c r="B111" s="27"/>
      <c r="C111" s="27"/>
      <c r="D111" s="27"/>
      <c r="E111" s="27"/>
      <c r="F111" s="27"/>
      <c r="G111" s="27"/>
      <c r="H111" s="27" t="s">
        <v>224</v>
      </c>
      <c r="I111" s="27"/>
      <c r="J111" s="252">
        <v>67475</v>
      </c>
      <c r="K111" s="161"/>
      <c r="L111" s="161"/>
      <c r="M111" s="161"/>
      <c r="N111" s="161"/>
      <c r="O111" s="161"/>
    </row>
    <row r="112" spans="1:21" x14ac:dyDescent="0.25">
      <c r="A112" s="27"/>
      <c r="B112" s="27"/>
      <c r="C112" s="27"/>
      <c r="D112" s="27"/>
      <c r="E112" s="27"/>
      <c r="F112" s="27"/>
      <c r="G112" s="27"/>
      <c r="H112" s="27" t="s">
        <v>225</v>
      </c>
      <c r="I112" s="27"/>
      <c r="J112" s="252">
        <v>200</v>
      </c>
      <c r="K112" s="199"/>
      <c r="L112" s="199"/>
      <c r="M112" s="199"/>
      <c r="N112" s="199"/>
      <c r="O112" s="199"/>
    </row>
    <row r="113" spans="1:21" x14ac:dyDescent="0.25">
      <c r="A113" s="27"/>
      <c r="B113" s="27"/>
      <c r="C113" s="27"/>
      <c r="D113" s="27"/>
      <c r="E113" s="27"/>
      <c r="F113" s="27"/>
      <c r="G113" s="27"/>
      <c r="H113" s="27" t="s">
        <v>229</v>
      </c>
      <c r="I113" s="27"/>
      <c r="J113" s="252">
        <v>41100</v>
      </c>
      <c r="K113" s="199"/>
      <c r="L113" s="199"/>
      <c r="M113" s="199"/>
      <c r="N113" s="199"/>
      <c r="O113" s="199"/>
    </row>
    <row r="114" spans="1:21" s="251" customFormat="1" ht="15.75" thickBot="1" x14ac:dyDescent="0.3">
      <c r="A114" s="27"/>
      <c r="B114" s="27"/>
      <c r="C114" s="27"/>
      <c r="D114" s="27"/>
      <c r="E114" s="27"/>
      <c r="F114" s="27"/>
      <c r="G114" s="27"/>
      <c r="H114" s="27" t="s">
        <v>731</v>
      </c>
      <c r="I114" s="27"/>
      <c r="J114" s="256">
        <v>162150</v>
      </c>
      <c r="K114" s="161"/>
      <c r="L114" s="161"/>
      <c r="M114" s="161"/>
      <c r="N114" s="161"/>
      <c r="O114" s="161"/>
      <c r="P114" s="23"/>
      <c r="Q114" s="23"/>
      <c r="R114" s="23"/>
      <c r="S114" s="23"/>
      <c r="T114" s="23"/>
      <c r="U114" s="23"/>
    </row>
    <row r="115" spans="1:21" s="251" customFormat="1" x14ac:dyDescent="0.25">
      <c r="A115" s="27"/>
      <c r="B115" s="27"/>
      <c r="C115" s="27"/>
      <c r="D115" s="27"/>
      <c r="E115" s="27"/>
      <c r="F115" s="27"/>
      <c r="G115" s="27" t="s">
        <v>230</v>
      </c>
      <c r="H115" s="27"/>
      <c r="I115" s="27"/>
      <c r="J115" s="252">
        <f>ROUND(SUM(J108:J114),5)</f>
        <v>272945</v>
      </c>
      <c r="K115" s="161"/>
      <c r="L115" s="161"/>
      <c r="M115" s="161"/>
      <c r="N115" s="161"/>
      <c r="O115" s="161"/>
      <c r="P115" s="23"/>
      <c r="Q115" s="23"/>
      <c r="R115" s="23"/>
      <c r="S115" s="23"/>
      <c r="T115" s="23"/>
      <c r="U115" s="23"/>
    </row>
    <row r="116" spans="1:21" s="251" customFormat="1" x14ac:dyDescent="0.25">
      <c r="A116" s="27"/>
      <c r="B116" s="27"/>
      <c r="C116" s="27"/>
      <c r="D116" s="27"/>
      <c r="E116" s="27"/>
      <c r="F116" s="27"/>
      <c r="G116" s="27" t="s">
        <v>231</v>
      </c>
      <c r="H116" s="27"/>
      <c r="I116" s="27"/>
      <c r="J116" s="252"/>
      <c r="K116" s="161"/>
      <c r="L116" s="161"/>
      <c r="M116" s="161"/>
      <c r="N116" s="161"/>
      <c r="O116" s="161"/>
      <c r="P116" s="23"/>
      <c r="Q116" s="23"/>
      <c r="R116" s="23"/>
      <c r="S116" s="23"/>
      <c r="T116" s="23"/>
      <c r="U116" s="23"/>
    </row>
    <row r="117" spans="1:21" s="251" customFormat="1" x14ac:dyDescent="0.25">
      <c r="A117" s="27"/>
      <c r="B117" s="27"/>
      <c r="C117" s="27"/>
      <c r="D117" s="27"/>
      <c r="E117" s="27"/>
      <c r="F117" s="27"/>
      <c r="G117" s="27"/>
      <c r="H117" s="27" t="s">
        <v>232</v>
      </c>
      <c r="I117" s="27"/>
      <c r="J117" s="252">
        <v>105000</v>
      </c>
      <c r="K117" s="199"/>
      <c r="L117" s="199"/>
      <c r="M117" s="199"/>
      <c r="N117" s="199"/>
      <c r="O117" s="199"/>
      <c r="P117" s="23"/>
      <c r="Q117" s="23"/>
      <c r="R117" s="23"/>
      <c r="S117" s="23"/>
      <c r="T117" s="23"/>
      <c r="U117" s="23"/>
    </row>
    <row r="118" spans="1:21" s="251" customFormat="1" x14ac:dyDescent="0.25">
      <c r="A118" s="27"/>
      <c r="B118" s="27"/>
      <c r="C118" s="27"/>
      <c r="D118" s="27"/>
      <c r="E118" s="27"/>
      <c r="F118" s="27"/>
      <c r="G118" s="27"/>
      <c r="H118" s="27" t="s">
        <v>233</v>
      </c>
      <c r="I118" s="27"/>
      <c r="J118" s="252">
        <v>12600</v>
      </c>
      <c r="K118" s="199"/>
      <c r="L118" s="199"/>
      <c r="M118" s="199"/>
      <c r="N118" s="199"/>
      <c r="O118" s="199"/>
      <c r="P118" s="23"/>
      <c r="Q118" s="23"/>
      <c r="R118" s="23"/>
      <c r="S118" s="23"/>
      <c r="T118" s="23"/>
      <c r="U118" s="23"/>
    </row>
    <row r="119" spans="1:21" s="251" customFormat="1" x14ac:dyDescent="0.25">
      <c r="A119" s="27"/>
      <c r="B119" s="27"/>
      <c r="C119" s="27"/>
      <c r="D119" s="27"/>
      <c r="E119" s="27"/>
      <c r="F119" s="27"/>
      <c r="G119" s="27"/>
      <c r="H119" s="27" t="s">
        <v>234</v>
      </c>
      <c r="I119" s="27"/>
      <c r="J119" s="252">
        <v>3150</v>
      </c>
      <c r="K119" s="161"/>
      <c r="L119" s="161"/>
      <c r="M119" s="161"/>
      <c r="N119" s="161"/>
      <c r="O119" s="161"/>
      <c r="P119" s="23"/>
      <c r="Q119" s="23"/>
      <c r="R119" s="23"/>
      <c r="S119" s="23"/>
      <c r="T119" s="23"/>
      <c r="U119" s="23"/>
    </row>
    <row r="120" spans="1:21" s="251" customFormat="1" ht="15.75" thickBot="1" x14ac:dyDescent="0.3">
      <c r="A120" s="27"/>
      <c r="B120" s="27"/>
      <c r="C120" s="27"/>
      <c r="D120" s="27"/>
      <c r="E120" s="27"/>
      <c r="F120" s="27"/>
      <c r="G120" s="27"/>
      <c r="H120" s="27" t="s">
        <v>235</v>
      </c>
      <c r="I120" s="27"/>
      <c r="J120" s="256">
        <v>30000</v>
      </c>
      <c r="K120" s="161"/>
      <c r="L120" s="161"/>
      <c r="M120" s="161"/>
      <c r="N120" s="161"/>
      <c r="O120" s="161"/>
      <c r="P120" s="23"/>
      <c r="Q120" s="23"/>
      <c r="R120" s="23"/>
      <c r="S120" s="23"/>
      <c r="T120" s="23"/>
      <c r="U120" s="23"/>
    </row>
    <row r="121" spans="1:21" s="251" customFormat="1" x14ac:dyDescent="0.25">
      <c r="A121" s="27"/>
      <c r="B121" s="27"/>
      <c r="C121" s="27"/>
      <c r="D121" s="27"/>
      <c r="E121" s="27"/>
      <c r="F121" s="27"/>
      <c r="G121" s="27" t="s">
        <v>237</v>
      </c>
      <c r="H121" s="27"/>
      <c r="I121" s="27"/>
      <c r="J121" s="252">
        <f>ROUND(SUM(J116:J120),5)</f>
        <v>150750</v>
      </c>
      <c r="K121" s="161"/>
      <c r="L121" s="161"/>
      <c r="M121" s="161"/>
      <c r="N121" s="161"/>
      <c r="O121" s="161"/>
      <c r="P121" s="23"/>
      <c r="Q121" s="23"/>
      <c r="R121" s="23"/>
      <c r="S121" s="23"/>
      <c r="T121" s="23"/>
      <c r="U121" s="23"/>
    </row>
    <row r="122" spans="1:21" s="251" customFormat="1" x14ac:dyDescent="0.25">
      <c r="A122" s="27"/>
      <c r="B122" s="27"/>
      <c r="C122" s="27"/>
      <c r="D122" s="27"/>
      <c r="E122" s="27"/>
      <c r="F122" s="27"/>
      <c r="G122" s="27" t="s">
        <v>238</v>
      </c>
      <c r="H122" s="27"/>
      <c r="I122" s="27"/>
      <c r="J122" s="252"/>
      <c r="K122" s="161"/>
      <c r="L122" s="161"/>
      <c r="M122" s="161"/>
      <c r="N122" s="161"/>
      <c r="O122" s="161"/>
      <c r="P122" s="23"/>
      <c r="Q122" s="23"/>
      <c r="R122" s="23"/>
      <c r="S122" s="23"/>
      <c r="T122" s="23"/>
      <c r="U122" s="23"/>
    </row>
    <row r="123" spans="1:21" s="251" customFormat="1" x14ac:dyDescent="0.25">
      <c r="A123" s="27"/>
      <c r="B123" s="27"/>
      <c r="C123" s="27"/>
      <c r="D123" s="27"/>
      <c r="E123" s="27"/>
      <c r="F123" s="27"/>
      <c r="G123" s="27"/>
      <c r="H123" s="27" t="s">
        <v>239</v>
      </c>
      <c r="I123" s="27"/>
      <c r="J123" s="252">
        <v>6062.54</v>
      </c>
      <c r="K123" s="161"/>
      <c r="L123" s="161"/>
      <c r="M123" s="161"/>
      <c r="N123" s="161"/>
      <c r="O123" s="161"/>
      <c r="P123" s="23"/>
      <c r="Q123" s="23"/>
      <c r="R123" s="23"/>
      <c r="S123" s="23"/>
      <c r="T123" s="23"/>
      <c r="U123" s="23"/>
    </row>
    <row r="124" spans="1:21" s="251" customFormat="1" x14ac:dyDescent="0.25">
      <c r="A124" s="27"/>
      <c r="B124" s="27"/>
      <c r="C124" s="27"/>
      <c r="D124" s="27"/>
      <c r="E124" s="27"/>
      <c r="F124" s="27"/>
      <c r="G124" s="27"/>
      <c r="H124" s="27" t="s">
        <v>240</v>
      </c>
      <c r="I124" s="27"/>
      <c r="J124" s="253">
        <v>4526.41</v>
      </c>
      <c r="K124" s="199"/>
      <c r="L124" s="199"/>
      <c r="M124" s="199"/>
      <c r="N124" s="199"/>
      <c r="O124" s="199"/>
      <c r="P124" s="23"/>
      <c r="Q124" s="23"/>
      <c r="R124" s="23"/>
      <c r="S124" s="23"/>
      <c r="T124" s="23"/>
      <c r="U124" s="23"/>
    </row>
    <row r="125" spans="1:21" s="251" customFormat="1" x14ac:dyDescent="0.25">
      <c r="A125" s="27"/>
      <c r="B125" s="27"/>
      <c r="C125" s="27"/>
      <c r="D125" s="27"/>
      <c r="E125" s="27"/>
      <c r="F125" s="27"/>
      <c r="G125" s="27"/>
      <c r="H125" s="27" t="s">
        <v>241</v>
      </c>
      <c r="I125" s="27"/>
      <c r="J125" s="252">
        <v>1134.69</v>
      </c>
      <c r="K125" s="161"/>
      <c r="L125" s="161"/>
      <c r="M125" s="161"/>
      <c r="N125" s="161"/>
      <c r="O125" s="161"/>
      <c r="P125" s="23"/>
      <c r="Q125" s="23"/>
      <c r="R125" s="23"/>
      <c r="S125" s="23"/>
      <c r="T125" s="23"/>
      <c r="U125" s="23"/>
    </row>
    <row r="126" spans="1:21" s="251" customFormat="1" ht="15.75" thickBot="1" x14ac:dyDescent="0.3">
      <c r="A126" s="27"/>
      <c r="B126" s="27"/>
      <c r="C126" s="27"/>
      <c r="D126" s="27"/>
      <c r="E126" s="27"/>
      <c r="F126" s="27"/>
      <c r="G126" s="27"/>
      <c r="H126" s="27" t="s">
        <v>678</v>
      </c>
      <c r="I126" s="27"/>
      <c r="J126" s="256">
        <v>4377.5600000000004</v>
      </c>
      <c r="K126" s="199"/>
      <c r="L126" s="199"/>
      <c r="M126" s="199"/>
      <c r="N126" s="199"/>
      <c r="O126" s="199"/>
      <c r="P126" s="23"/>
      <c r="Q126" s="23"/>
      <c r="R126" s="23"/>
      <c r="S126" s="23"/>
      <c r="T126" s="23"/>
      <c r="U126" s="23"/>
    </row>
    <row r="127" spans="1:21" s="251" customFormat="1" x14ac:dyDescent="0.25">
      <c r="A127" s="27"/>
      <c r="B127" s="27"/>
      <c r="C127" s="27"/>
      <c r="D127" s="27"/>
      <c r="E127" s="27"/>
      <c r="F127" s="27"/>
      <c r="G127" s="27" t="s">
        <v>242</v>
      </c>
      <c r="H127" s="27"/>
      <c r="I127" s="27"/>
      <c r="J127" s="252">
        <f>SUM(J123:J126)</f>
        <v>16101.2</v>
      </c>
      <c r="K127" s="161"/>
      <c r="L127" s="161"/>
      <c r="M127" s="161"/>
      <c r="N127" s="161"/>
      <c r="O127" s="161"/>
      <c r="P127" s="23"/>
      <c r="Q127" s="23"/>
      <c r="R127" s="23"/>
      <c r="S127" s="23"/>
      <c r="T127" s="23"/>
      <c r="U127" s="23"/>
    </row>
    <row r="128" spans="1:21" s="251" customFormat="1" x14ac:dyDescent="0.25">
      <c r="A128" s="27"/>
      <c r="B128" s="27"/>
      <c r="C128" s="27"/>
      <c r="D128" s="27"/>
      <c r="E128" s="27"/>
      <c r="F128" s="27"/>
      <c r="G128" s="27" t="s">
        <v>243</v>
      </c>
      <c r="H128" s="27"/>
      <c r="I128" s="27"/>
      <c r="J128" s="252"/>
      <c r="K128" s="161"/>
      <c r="L128" s="161"/>
      <c r="M128" s="161"/>
      <c r="N128" s="161"/>
      <c r="O128" s="161"/>
      <c r="P128" s="23"/>
      <c r="Q128" s="23"/>
      <c r="R128" s="23"/>
      <c r="S128" s="23"/>
      <c r="T128" s="23"/>
      <c r="U128" s="23"/>
    </row>
    <row r="129" spans="1:21" s="251" customFormat="1" x14ac:dyDescent="0.25">
      <c r="A129" s="27"/>
      <c r="B129" s="27"/>
      <c r="C129" s="27"/>
      <c r="D129" s="27"/>
      <c r="E129" s="27"/>
      <c r="F129" s="27"/>
      <c r="G129" s="27"/>
      <c r="H129" s="27" t="s">
        <v>244</v>
      </c>
      <c r="I129" s="27"/>
      <c r="J129" s="252">
        <v>3400</v>
      </c>
      <c r="K129" s="161"/>
      <c r="L129" s="161"/>
      <c r="M129" s="161"/>
      <c r="N129" s="161"/>
      <c r="O129" s="161"/>
      <c r="P129" s="23"/>
      <c r="Q129" s="23"/>
      <c r="R129" s="23"/>
      <c r="S129" s="23"/>
      <c r="T129" s="23"/>
      <c r="U129" s="23"/>
    </row>
    <row r="130" spans="1:21" s="251" customFormat="1" ht="15.75" thickBot="1" x14ac:dyDescent="0.3">
      <c r="A130" s="27"/>
      <c r="B130" s="27"/>
      <c r="C130" s="27"/>
      <c r="D130" s="27"/>
      <c r="E130" s="27"/>
      <c r="F130" s="27"/>
      <c r="G130" s="27"/>
      <c r="H130" s="27" t="s">
        <v>248</v>
      </c>
      <c r="I130" s="27"/>
      <c r="J130" s="256">
        <v>70300</v>
      </c>
      <c r="K130" s="161"/>
      <c r="L130" s="161"/>
      <c r="M130" s="161"/>
      <c r="N130" s="161"/>
      <c r="O130" s="161"/>
      <c r="P130" s="23"/>
      <c r="Q130" s="23"/>
      <c r="R130" s="23"/>
      <c r="S130" s="23"/>
      <c r="T130" s="23"/>
      <c r="U130" s="23"/>
    </row>
    <row r="131" spans="1:21" s="251" customFormat="1" x14ac:dyDescent="0.25">
      <c r="A131" s="27"/>
      <c r="B131" s="27"/>
      <c r="C131" s="27"/>
      <c r="D131" s="27"/>
      <c r="E131" s="27"/>
      <c r="F131" s="27"/>
      <c r="G131" s="27" t="s">
        <v>249</v>
      </c>
      <c r="H131" s="27"/>
      <c r="I131" s="27"/>
      <c r="J131" s="252">
        <f>ROUND(SUM(J128:J130),5)</f>
        <v>73700</v>
      </c>
      <c r="K131" s="161"/>
      <c r="L131" s="161"/>
      <c r="M131" s="161"/>
      <c r="N131" s="161"/>
      <c r="O131" s="161"/>
      <c r="P131" s="23"/>
      <c r="Q131" s="23"/>
      <c r="R131" s="23"/>
      <c r="S131" s="23"/>
      <c r="T131" s="23"/>
      <c r="U131" s="23"/>
    </row>
    <row r="132" spans="1:21" s="251" customFormat="1" x14ac:dyDescent="0.25">
      <c r="A132" s="27"/>
      <c r="B132" s="27"/>
      <c r="C132" s="27"/>
      <c r="D132" s="27"/>
      <c r="E132" s="27"/>
      <c r="F132" s="27"/>
      <c r="G132" s="27" t="s">
        <v>250</v>
      </c>
      <c r="H132" s="27"/>
      <c r="I132" s="27"/>
      <c r="J132" s="252"/>
      <c r="K132" s="199"/>
      <c r="L132" s="199"/>
      <c r="M132" s="199"/>
      <c r="N132" s="199"/>
      <c r="O132" s="199"/>
      <c r="P132" s="23"/>
      <c r="Q132" s="23"/>
      <c r="R132" s="23"/>
      <c r="S132" s="23"/>
      <c r="T132" s="23"/>
      <c r="U132" s="23"/>
    </row>
    <row r="133" spans="1:21" s="251" customFormat="1" x14ac:dyDescent="0.25">
      <c r="A133" s="27"/>
      <c r="B133" s="27"/>
      <c r="C133" s="27"/>
      <c r="D133" s="27"/>
      <c r="E133" s="27"/>
      <c r="F133" s="27"/>
      <c r="G133" s="27"/>
      <c r="H133" s="27" t="s">
        <v>251</v>
      </c>
      <c r="I133" s="27"/>
      <c r="J133" s="252">
        <v>4615</v>
      </c>
      <c r="K133" s="161"/>
      <c r="L133" s="161"/>
      <c r="M133" s="161"/>
      <c r="N133" s="161"/>
      <c r="O133" s="161"/>
      <c r="P133" s="23"/>
      <c r="Q133" s="23"/>
      <c r="R133" s="23"/>
      <c r="S133" s="23"/>
      <c r="T133" s="23"/>
      <c r="U133" s="23"/>
    </row>
    <row r="134" spans="1:21" s="251" customFormat="1" x14ac:dyDescent="0.25">
      <c r="A134" s="27"/>
      <c r="B134" s="27"/>
      <c r="C134" s="27"/>
      <c r="D134" s="27"/>
      <c r="E134" s="27"/>
      <c r="F134" s="27"/>
      <c r="G134" s="27"/>
      <c r="H134" s="27" t="s">
        <v>252</v>
      </c>
      <c r="I134" s="27"/>
      <c r="J134" s="252">
        <v>22410</v>
      </c>
      <c r="K134" s="161"/>
      <c r="L134" s="161"/>
      <c r="M134" s="161"/>
      <c r="N134" s="161"/>
      <c r="O134" s="161"/>
      <c r="P134" s="23"/>
      <c r="Q134" s="23"/>
      <c r="R134" s="23"/>
      <c r="S134" s="23"/>
      <c r="T134" s="23"/>
      <c r="U134" s="23"/>
    </row>
    <row r="135" spans="1:21" s="251" customFormat="1" x14ac:dyDescent="0.25">
      <c r="A135" s="27"/>
      <c r="B135" s="27"/>
      <c r="C135" s="27"/>
      <c r="D135" s="27"/>
      <c r="E135" s="27"/>
      <c r="F135" s="27"/>
      <c r="G135" s="27"/>
      <c r="H135" s="27" t="s">
        <v>253</v>
      </c>
      <c r="I135" s="27"/>
      <c r="J135" s="252">
        <v>10155</v>
      </c>
      <c r="K135" s="199"/>
      <c r="L135" s="199"/>
      <c r="M135" s="199"/>
      <c r="N135" s="199"/>
      <c r="O135" s="199"/>
      <c r="P135" s="23"/>
      <c r="Q135" s="23"/>
      <c r="R135" s="23"/>
      <c r="S135" s="23"/>
      <c r="T135" s="23"/>
      <c r="U135" s="23"/>
    </row>
    <row r="136" spans="1:21" s="251" customFormat="1" ht="15.75" thickBot="1" x14ac:dyDescent="0.3">
      <c r="A136" s="27"/>
      <c r="B136" s="27"/>
      <c r="C136" s="27"/>
      <c r="D136" s="27"/>
      <c r="E136" s="27"/>
      <c r="F136" s="27"/>
      <c r="G136" s="27"/>
      <c r="H136" s="27" t="s">
        <v>255</v>
      </c>
      <c r="I136" s="27"/>
      <c r="J136" s="256">
        <v>4000</v>
      </c>
      <c r="K136" s="161"/>
      <c r="L136" s="161"/>
      <c r="M136" s="161"/>
      <c r="N136" s="161"/>
      <c r="O136" s="161"/>
      <c r="P136" s="23"/>
      <c r="Q136" s="23"/>
      <c r="R136" s="23"/>
      <c r="S136" s="23"/>
      <c r="T136" s="23"/>
      <c r="U136" s="23"/>
    </row>
    <row r="137" spans="1:21" s="251" customFormat="1" x14ac:dyDescent="0.25">
      <c r="A137" s="27"/>
      <c r="B137" s="27"/>
      <c r="C137" s="27"/>
      <c r="D137" s="27"/>
      <c r="E137" s="27"/>
      <c r="F137" s="27"/>
      <c r="G137" s="27" t="s">
        <v>258</v>
      </c>
      <c r="H137" s="27"/>
      <c r="I137" s="27"/>
      <c r="J137" s="252">
        <f>SUM(J133:J136)</f>
        <v>41180</v>
      </c>
      <c r="K137" s="161"/>
      <c r="L137" s="161"/>
      <c r="M137" s="161"/>
      <c r="N137" s="161"/>
      <c r="O137" s="161"/>
      <c r="P137" s="23"/>
      <c r="Q137" s="23"/>
      <c r="R137" s="23"/>
      <c r="S137" s="23"/>
      <c r="T137" s="23"/>
      <c r="U137" s="23"/>
    </row>
    <row r="138" spans="1:21" s="251" customFormat="1" x14ac:dyDescent="0.25">
      <c r="A138" s="27"/>
      <c r="B138" s="27"/>
      <c r="C138" s="27"/>
      <c r="D138" s="27"/>
      <c r="E138" s="27"/>
      <c r="F138" s="27"/>
      <c r="G138" s="27" t="s">
        <v>259</v>
      </c>
      <c r="H138" s="27"/>
      <c r="I138" s="27"/>
      <c r="J138" s="252"/>
      <c r="K138" s="161"/>
      <c r="L138" s="161"/>
      <c r="M138" s="161"/>
      <c r="N138" s="161"/>
      <c r="O138" s="161"/>
      <c r="P138" s="23"/>
      <c r="Q138" s="23"/>
      <c r="R138" s="23"/>
      <c r="S138" s="23"/>
      <c r="T138" s="23"/>
      <c r="U138" s="23"/>
    </row>
    <row r="139" spans="1:21" s="251" customFormat="1" ht="15.75" thickBot="1" x14ac:dyDescent="0.3">
      <c r="A139" s="27"/>
      <c r="B139" s="27"/>
      <c r="C139" s="27"/>
      <c r="D139" s="27"/>
      <c r="E139" s="27"/>
      <c r="F139" s="27"/>
      <c r="G139" s="27"/>
      <c r="H139" s="27" t="s">
        <v>260</v>
      </c>
      <c r="I139" s="27"/>
      <c r="J139" s="253">
        <v>13681</v>
      </c>
      <c r="K139" s="161"/>
      <c r="L139" s="161"/>
      <c r="M139" s="161"/>
      <c r="N139" s="161"/>
      <c r="O139" s="161"/>
      <c r="P139" s="23"/>
      <c r="Q139" s="23"/>
      <c r="R139" s="23"/>
      <c r="S139" s="23"/>
      <c r="T139" s="23"/>
      <c r="U139" s="23"/>
    </row>
    <row r="140" spans="1:21" s="251" customFormat="1" ht="30" customHeight="1" thickBot="1" x14ac:dyDescent="0.3">
      <c r="A140" s="27"/>
      <c r="B140" s="27"/>
      <c r="C140" s="27"/>
      <c r="D140" s="27"/>
      <c r="E140" s="27"/>
      <c r="F140" s="27"/>
      <c r="G140" s="27" t="s">
        <v>263</v>
      </c>
      <c r="H140" s="27"/>
      <c r="I140" s="27"/>
      <c r="J140" s="255">
        <f>ROUND(SUM(J138:J139),5)</f>
        <v>13681</v>
      </c>
      <c r="K140" s="161"/>
      <c r="L140" s="161"/>
      <c r="M140" s="161"/>
      <c r="N140" s="161"/>
      <c r="O140" s="161"/>
      <c r="P140" s="23"/>
      <c r="Q140" s="23"/>
      <c r="R140" s="23"/>
      <c r="S140" s="23"/>
      <c r="T140" s="23"/>
      <c r="U140" s="23"/>
    </row>
    <row r="141" spans="1:21" s="251" customFormat="1" x14ac:dyDescent="0.25">
      <c r="A141" s="27"/>
      <c r="B141" s="27"/>
      <c r="C141" s="27"/>
      <c r="D141" s="27"/>
      <c r="E141" s="27"/>
      <c r="F141" s="27" t="s">
        <v>264</v>
      </c>
      <c r="G141" s="27"/>
      <c r="H141" s="27"/>
      <c r="I141" s="27"/>
      <c r="J141" s="252">
        <f>ROUND(J107+J115+J121+J127+J131+J137+J140,5)</f>
        <v>568357.19999999995</v>
      </c>
      <c r="K141" s="199"/>
      <c r="L141" s="199"/>
      <c r="M141" s="199"/>
      <c r="N141" s="199"/>
      <c r="O141" s="199"/>
      <c r="P141" s="23"/>
      <c r="Q141" s="23"/>
      <c r="R141" s="23"/>
      <c r="S141" s="23"/>
      <c r="T141" s="23"/>
      <c r="U141" s="23"/>
    </row>
    <row r="142" spans="1:21" s="251" customFormat="1" x14ac:dyDescent="0.25">
      <c r="A142" s="27"/>
      <c r="B142" s="27"/>
      <c r="C142" s="27"/>
      <c r="D142" s="27"/>
      <c r="E142" s="27"/>
      <c r="F142" s="27" t="s">
        <v>265</v>
      </c>
      <c r="G142" s="27"/>
      <c r="H142" s="27"/>
      <c r="I142" s="27"/>
      <c r="J142" s="252"/>
      <c r="K142" s="199"/>
      <c r="L142" s="199"/>
      <c r="M142" s="199"/>
      <c r="N142" s="199"/>
      <c r="O142" s="199"/>
      <c r="P142" s="23"/>
      <c r="Q142" s="23"/>
      <c r="R142" s="23"/>
      <c r="S142" s="23"/>
      <c r="T142" s="23"/>
      <c r="U142" s="23"/>
    </row>
    <row r="143" spans="1:21" s="251" customFormat="1" x14ac:dyDescent="0.25">
      <c r="A143" s="27"/>
      <c r="B143" s="27"/>
      <c r="C143" s="27"/>
      <c r="D143" s="27"/>
      <c r="E143" s="27"/>
      <c r="F143" s="27"/>
      <c r="G143" s="27" t="s">
        <v>392</v>
      </c>
      <c r="H143" s="27"/>
      <c r="I143" s="27"/>
      <c r="J143" s="252"/>
      <c r="K143" s="161"/>
      <c r="L143" s="161"/>
      <c r="M143" s="161"/>
      <c r="N143" s="161"/>
      <c r="O143" s="161"/>
      <c r="P143" s="23"/>
      <c r="Q143" s="23"/>
      <c r="R143" s="23"/>
      <c r="S143" s="23"/>
      <c r="T143" s="23"/>
      <c r="U143" s="23"/>
    </row>
    <row r="144" spans="1:21" s="251" customFormat="1" x14ac:dyDescent="0.25">
      <c r="A144" s="27"/>
      <c r="B144" s="27"/>
      <c r="C144" s="27"/>
      <c r="D144" s="27"/>
      <c r="E144" s="27"/>
      <c r="F144" s="27"/>
      <c r="G144" s="27"/>
      <c r="H144" s="27" t="s">
        <v>732</v>
      </c>
      <c r="I144" s="27"/>
      <c r="J144" s="252">
        <v>1515</v>
      </c>
      <c r="K144" s="161"/>
      <c r="L144" s="161"/>
      <c r="M144" s="161"/>
      <c r="N144" s="161"/>
      <c r="O144" s="161"/>
      <c r="P144" s="23"/>
      <c r="Q144" s="23"/>
      <c r="R144" s="23"/>
      <c r="S144" s="23"/>
      <c r="T144" s="23"/>
      <c r="U144" s="23"/>
    </row>
    <row r="145" spans="1:21" s="251" customFormat="1" ht="15.75" thickBot="1" x14ac:dyDescent="0.3">
      <c r="A145" s="27"/>
      <c r="B145" s="27"/>
      <c r="C145" s="27"/>
      <c r="D145" s="27"/>
      <c r="E145" s="27"/>
      <c r="F145" s="27"/>
      <c r="G145" s="27"/>
      <c r="H145" s="27" t="s">
        <v>394</v>
      </c>
      <c r="I145" s="27"/>
      <c r="J145" s="256">
        <v>789.77</v>
      </c>
      <c r="K145" s="161"/>
      <c r="L145" s="161"/>
      <c r="M145" s="161"/>
      <c r="N145" s="161"/>
      <c r="O145" s="161"/>
      <c r="P145" s="23"/>
      <c r="Q145" s="23"/>
      <c r="R145" s="23"/>
      <c r="S145" s="23"/>
      <c r="T145" s="23"/>
      <c r="U145" s="23"/>
    </row>
    <row r="146" spans="1:21" s="251" customFormat="1" x14ac:dyDescent="0.25">
      <c r="A146" s="27"/>
      <c r="B146" s="27"/>
      <c r="C146" s="27"/>
      <c r="D146" s="27"/>
      <c r="E146" s="27"/>
      <c r="F146" s="27"/>
      <c r="G146" s="27" t="s">
        <v>396</v>
      </c>
      <c r="H146" s="27"/>
      <c r="I146" s="27"/>
      <c r="J146" s="252">
        <f>ROUND(SUM(J143:J145),5)</f>
        <v>2304.77</v>
      </c>
      <c r="K146" s="161"/>
      <c r="L146" s="161"/>
      <c r="M146" s="161"/>
      <c r="N146" s="161"/>
      <c r="O146" s="161"/>
      <c r="P146" s="23"/>
      <c r="Q146" s="23"/>
      <c r="R146" s="23"/>
      <c r="S146" s="23"/>
      <c r="T146" s="23"/>
      <c r="U146" s="23"/>
    </row>
    <row r="147" spans="1:21" s="251" customFormat="1" x14ac:dyDescent="0.25">
      <c r="A147" s="27"/>
      <c r="B147" s="27"/>
      <c r="C147" s="27"/>
      <c r="D147" s="27"/>
      <c r="E147" s="27"/>
      <c r="F147" s="27"/>
      <c r="G147" s="27" t="s">
        <v>399</v>
      </c>
      <c r="H147" s="27"/>
      <c r="I147" s="27"/>
      <c r="J147" s="252"/>
      <c r="K147" s="161"/>
      <c r="L147" s="161"/>
      <c r="M147" s="161"/>
      <c r="N147" s="161"/>
      <c r="O147" s="161"/>
      <c r="P147" s="23"/>
      <c r="Q147" s="23"/>
      <c r="R147" s="23"/>
      <c r="S147" s="23"/>
      <c r="T147" s="23"/>
      <c r="U147" s="23"/>
    </row>
    <row r="148" spans="1:21" s="251" customFormat="1" ht="15.75" thickBot="1" x14ac:dyDescent="0.3">
      <c r="A148" s="27"/>
      <c r="B148" s="27"/>
      <c r="C148" s="27"/>
      <c r="D148" s="27"/>
      <c r="E148" s="27"/>
      <c r="F148" s="27"/>
      <c r="G148" s="27"/>
      <c r="H148" s="27" t="s">
        <v>269</v>
      </c>
      <c r="I148" s="27"/>
      <c r="J148" s="253">
        <v>51846</v>
      </c>
      <c r="K148" s="161"/>
      <c r="L148" s="161"/>
      <c r="M148" s="161"/>
      <c r="N148" s="161"/>
      <c r="O148" s="161"/>
      <c r="P148" s="23"/>
      <c r="Q148" s="23"/>
      <c r="R148" s="23"/>
      <c r="S148" s="23"/>
      <c r="T148" s="23"/>
      <c r="U148" s="23"/>
    </row>
    <row r="149" spans="1:21" s="251" customFormat="1" ht="15.75" thickBot="1" x14ac:dyDescent="0.3">
      <c r="A149" s="27"/>
      <c r="B149" s="27"/>
      <c r="C149" s="27"/>
      <c r="D149" s="27"/>
      <c r="E149" s="27"/>
      <c r="F149" s="27"/>
      <c r="G149" s="27" t="s">
        <v>400</v>
      </c>
      <c r="H149" s="27"/>
      <c r="I149" s="27"/>
      <c r="J149" s="255">
        <f>SUM(J147:J148)</f>
        <v>51846</v>
      </c>
      <c r="K149" s="161"/>
      <c r="L149" s="161"/>
      <c r="M149" s="161"/>
      <c r="N149" s="161"/>
      <c r="O149" s="161"/>
      <c r="P149" s="23"/>
      <c r="Q149" s="23"/>
      <c r="R149" s="23"/>
      <c r="S149" s="23"/>
      <c r="T149" s="23"/>
      <c r="U149" s="23"/>
    </row>
    <row r="150" spans="1:21" s="251" customFormat="1" x14ac:dyDescent="0.25">
      <c r="A150" s="27"/>
      <c r="B150" s="27"/>
      <c r="C150" s="27"/>
      <c r="D150" s="27"/>
      <c r="E150" s="27"/>
      <c r="F150" s="27" t="s">
        <v>271</v>
      </c>
      <c r="G150" s="27"/>
      <c r="H150" s="27"/>
      <c r="I150" s="27"/>
      <c r="J150" s="252">
        <f>ROUND(J142+J146+J149,5)</f>
        <v>54150.77</v>
      </c>
      <c r="K150" s="161"/>
      <c r="L150" s="161"/>
      <c r="M150" s="161"/>
      <c r="N150" s="161"/>
      <c r="O150" s="161"/>
      <c r="P150" s="23"/>
      <c r="Q150" s="23"/>
      <c r="R150" s="23"/>
      <c r="S150" s="23"/>
      <c r="T150" s="23"/>
      <c r="U150" s="23"/>
    </row>
    <row r="151" spans="1:21" s="251" customFormat="1" x14ac:dyDescent="0.25">
      <c r="A151" s="27"/>
      <c r="B151" s="27"/>
      <c r="C151" s="27"/>
      <c r="D151" s="27"/>
      <c r="E151" s="27"/>
      <c r="F151" s="27" t="s">
        <v>375</v>
      </c>
      <c r="G151" s="27"/>
      <c r="H151" s="27"/>
      <c r="I151" s="27"/>
      <c r="J151" s="252"/>
      <c r="K151" s="161"/>
      <c r="L151" s="161"/>
      <c r="M151" s="161"/>
      <c r="N151" s="161"/>
      <c r="O151" s="161"/>
      <c r="P151" s="23"/>
      <c r="Q151" s="23"/>
      <c r="R151" s="23"/>
      <c r="S151" s="23"/>
      <c r="T151" s="23"/>
      <c r="U151" s="23"/>
    </row>
    <row r="152" spans="1:21" s="251" customFormat="1" x14ac:dyDescent="0.25">
      <c r="A152" s="27"/>
      <c r="B152" s="27"/>
      <c r="C152" s="27"/>
      <c r="D152" s="27"/>
      <c r="E152" s="27"/>
      <c r="F152" s="27"/>
      <c r="G152" s="27" t="s">
        <v>401</v>
      </c>
      <c r="H152" s="27"/>
      <c r="I152" s="27"/>
      <c r="J152" s="252"/>
      <c r="K152" s="161"/>
      <c r="L152" s="161"/>
      <c r="M152" s="161"/>
      <c r="N152" s="161"/>
      <c r="O152" s="161"/>
      <c r="P152" s="23"/>
      <c r="Q152" s="23"/>
      <c r="R152" s="23"/>
      <c r="S152" s="23"/>
      <c r="T152" s="23"/>
      <c r="U152" s="23"/>
    </row>
    <row r="153" spans="1:21" s="251" customFormat="1" x14ac:dyDescent="0.25">
      <c r="A153" s="27"/>
      <c r="B153" s="27"/>
      <c r="C153" s="27"/>
      <c r="D153" s="27"/>
      <c r="E153" s="27"/>
      <c r="F153" s="27"/>
      <c r="G153" s="27"/>
      <c r="H153" s="27" t="s">
        <v>402</v>
      </c>
      <c r="I153" s="27"/>
      <c r="J153" s="252">
        <v>3479.1</v>
      </c>
      <c r="K153" s="161"/>
      <c r="L153" s="161"/>
      <c r="M153" s="161"/>
      <c r="N153" s="161"/>
      <c r="O153" s="161"/>
      <c r="P153" s="23"/>
      <c r="Q153" s="23"/>
      <c r="R153" s="23"/>
      <c r="S153" s="23"/>
      <c r="T153" s="23"/>
      <c r="U153" s="23"/>
    </row>
    <row r="154" spans="1:21" s="251" customFormat="1" ht="15.75" thickBot="1" x14ac:dyDescent="0.3">
      <c r="A154" s="27"/>
      <c r="B154" s="27"/>
      <c r="C154" s="27"/>
      <c r="D154" s="27"/>
      <c r="E154" s="27"/>
      <c r="F154" s="27"/>
      <c r="G154" s="27"/>
      <c r="H154" s="27" t="s">
        <v>403</v>
      </c>
      <c r="I154" s="27"/>
      <c r="J154" s="256">
        <v>8163</v>
      </c>
      <c r="K154" s="161"/>
      <c r="L154" s="161"/>
      <c r="M154" s="161"/>
      <c r="N154" s="161"/>
      <c r="O154" s="161"/>
      <c r="P154" s="23"/>
      <c r="Q154" s="23"/>
      <c r="R154" s="23"/>
      <c r="S154" s="23"/>
      <c r="T154" s="23"/>
      <c r="U154" s="23"/>
    </row>
    <row r="155" spans="1:21" s="251" customFormat="1" x14ac:dyDescent="0.25">
      <c r="A155" s="27"/>
      <c r="B155" s="27"/>
      <c r="C155" s="27"/>
      <c r="D155" s="27"/>
      <c r="E155" s="27"/>
      <c r="F155" s="27"/>
      <c r="G155" s="27" t="s">
        <v>405</v>
      </c>
      <c r="H155" s="27"/>
      <c r="I155" s="27"/>
      <c r="J155" s="252">
        <f>ROUND(SUM(J152:J154),5)</f>
        <v>11642.1</v>
      </c>
      <c r="K155" s="161"/>
      <c r="L155" s="161"/>
      <c r="M155" s="161"/>
      <c r="N155" s="161"/>
      <c r="O155" s="161"/>
      <c r="P155" s="23"/>
      <c r="Q155" s="23"/>
      <c r="R155" s="23"/>
      <c r="S155" s="23"/>
      <c r="T155" s="23"/>
      <c r="U155" s="23"/>
    </row>
    <row r="156" spans="1:21" s="251" customFormat="1" x14ac:dyDescent="0.25">
      <c r="A156" s="27"/>
      <c r="B156" s="27"/>
      <c r="C156" s="27"/>
      <c r="D156" s="27"/>
      <c r="E156" s="27"/>
      <c r="F156" s="27"/>
      <c r="G156" s="27" t="s">
        <v>376</v>
      </c>
      <c r="H156" s="27"/>
      <c r="I156" s="27"/>
      <c r="J156" s="252"/>
      <c r="K156" s="161"/>
      <c r="L156" s="161"/>
      <c r="M156" s="161"/>
      <c r="N156" s="161"/>
      <c r="O156" s="161"/>
      <c r="P156" s="23"/>
      <c r="Q156" s="23"/>
      <c r="R156" s="23"/>
      <c r="S156" s="23"/>
      <c r="T156" s="23"/>
      <c r="U156" s="23"/>
    </row>
    <row r="157" spans="1:21" s="251" customFormat="1" x14ac:dyDescent="0.25">
      <c r="A157" s="27"/>
      <c r="B157" s="27"/>
      <c r="C157" s="27"/>
      <c r="D157" s="27"/>
      <c r="E157" s="27"/>
      <c r="F157" s="27"/>
      <c r="G157" s="27"/>
      <c r="H157" s="27" t="s">
        <v>377</v>
      </c>
      <c r="I157" s="27"/>
      <c r="J157" s="252">
        <v>35610</v>
      </c>
      <c r="K157" s="161"/>
      <c r="L157" s="161"/>
      <c r="M157" s="161"/>
      <c r="N157" s="161"/>
      <c r="O157" s="161"/>
      <c r="P157" s="23"/>
      <c r="Q157" s="23"/>
      <c r="R157" s="23"/>
      <c r="S157" s="23"/>
      <c r="T157" s="23"/>
      <c r="U157" s="23"/>
    </row>
    <row r="158" spans="1:21" s="251" customFormat="1" x14ac:dyDescent="0.25">
      <c r="A158" s="27"/>
      <c r="B158" s="27"/>
      <c r="C158" s="27"/>
      <c r="D158" s="27"/>
      <c r="E158" s="27"/>
      <c r="F158" s="27"/>
      <c r="G158" s="27"/>
      <c r="H158" s="27" t="s">
        <v>378</v>
      </c>
      <c r="I158" s="27"/>
      <c r="J158" s="252">
        <v>4273.2</v>
      </c>
      <c r="K158" s="161"/>
      <c r="L158" s="161"/>
      <c r="M158" s="161"/>
      <c r="N158" s="161"/>
      <c r="O158" s="161"/>
      <c r="P158" s="23"/>
      <c r="Q158" s="23"/>
      <c r="R158" s="23"/>
      <c r="S158" s="23"/>
      <c r="T158" s="23"/>
      <c r="U158" s="23"/>
    </row>
    <row r="159" spans="1:21" s="251" customFormat="1" x14ac:dyDescent="0.25">
      <c r="A159" s="27"/>
      <c r="B159" s="27"/>
      <c r="C159" s="27"/>
      <c r="D159" s="27"/>
      <c r="E159" s="27"/>
      <c r="F159" s="27"/>
      <c r="G159" s="27"/>
      <c r="H159" s="27" t="s">
        <v>379</v>
      </c>
      <c r="I159" s="27"/>
      <c r="J159" s="252">
        <v>1068.3</v>
      </c>
      <c r="K159" s="161"/>
      <c r="L159" s="161"/>
      <c r="M159" s="161"/>
      <c r="N159" s="161"/>
      <c r="O159" s="161"/>
      <c r="P159" s="23"/>
      <c r="Q159" s="23"/>
      <c r="R159" s="23"/>
      <c r="S159" s="23"/>
      <c r="T159" s="23"/>
      <c r="U159" s="23"/>
    </row>
    <row r="160" spans="1:21" s="251" customFormat="1" ht="15.75" thickBot="1" x14ac:dyDescent="0.3">
      <c r="A160" s="27"/>
      <c r="B160" s="27"/>
      <c r="C160" s="27"/>
      <c r="D160" s="27"/>
      <c r="E160" s="27"/>
      <c r="F160" s="27"/>
      <c r="G160" s="27"/>
      <c r="H160" s="27" t="s">
        <v>380</v>
      </c>
      <c r="I160" s="27"/>
      <c r="J160" s="256">
        <v>0</v>
      </c>
      <c r="K160" s="161"/>
      <c r="L160" s="161"/>
      <c r="M160" s="161"/>
      <c r="N160" s="161"/>
      <c r="O160" s="161"/>
      <c r="P160" s="23"/>
      <c r="Q160" s="23"/>
      <c r="R160" s="23"/>
      <c r="S160" s="23"/>
      <c r="T160" s="23"/>
      <c r="U160" s="23"/>
    </row>
    <row r="161" spans="1:21" s="251" customFormat="1" x14ac:dyDescent="0.25">
      <c r="A161" s="27"/>
      <c r="B161" s="27"/>
      <c r="C161" s="27"/>
      <c r="D161" s="27"/>
      <c r="E161" s="27"/>
      <c r="F161" s="27"/>
      <c r="G161" s="27" t="s">
        <v>381</v>
      </c>
      <c r="H161" s="27"/>
      <c r="I161" s="27"/>
      <c r="J161" s="252">
        <f>ROUND(SUM(J156:J160),5)</f>
        <v>40951.5</v>
      </c>
      <c r="K161" s="161"/>
      <c r="L161" s="161"/>
      <c r="M161" s="161"/>
      <c r="N161" s="161"/>
      <c r="O161" s="161"/>
      <c r="P161" s="23"/>
      <c r="Q161" s="23"/>
      <c r="R161" s="23"/>
      <c r="S161" s="23"/>
      <c r="T161" s="23"/>
      <c r="U161" s="23"/>
    </row>
    <row r="162" spans="1:21" s="251" customFormat="1" x14ac:dyDescent="0.25">
      <c r="A162" s="27"/>
      <c r="B162" s="27"/>
      <c r="C162" s="27"/>
      <c r="D162" s="27"/>
      <c r="E162" s="27"/>
      <c r="F162" s="27"/>
      <c r="G162" s="27" t="s">
        <v>406</v>
      </c>
      <c r="H162" s="27"/>
      <c r="I162" s="27"/>
      <c r="J162" s="252"/>
      <c r="K162" s="161"/>
      <c r="L162" s="161"/>
      <c r="M162" s="161"/>
      <c r="N162" s="161"/>
      <c r="O162" s="161"/>
      <c r="P162" s="23"/>
      <c r="Q162" s="23"/>
      <c r="R162" s="23"/>
      <c r="S162" s="23"/>
      <c r="T162" s="23"/>
      <c r="U162" s="23"/>
    </row>
    <row r="163" spans="1:21" s="251" customFormat="1" ht="15.75" thickBot="1" x14ac:dyDescent="0.3">
      <c r="A163" s="27"/>
      <c r="B163" s="27"/>
      <c r="C163" s="27"/>
      <c r="D163" s="27"/>
      <c r="E163" s="27"/>
      <c r="F163" s="27"/>
      <c r="G163" s="27"/>
      <c r="H163" s="27" t="s">
        <v>407</v>
      </c>
      <c r="I163" s="27"/>
      <c r="J163" s="256">
        <v>1860.78</v>
      </c>
      <c r="K163" s="161"/>
      <c r="L163" s="161"/>
      <c r="M163" s="161"/>
      <c r="N163" s="161"/>
      <c r="O163" s="161"/>
      <c r="P163" s="23"/>
      <c r="Q163" s="23"/>
      <c r="R163" s="23"/>
      <c r="S163" s="23"/>
      <c r="T163" s="23"/>
      <c r="U163" s="23"/>
    </row>
    <row r="164" spans="1:21" s="251" customFormat="1" x14ac:dyDescent="0.25">
      <c r="A164" s="27"/>
      <c r="B164" s="27"/>
      <c r="C164" s="27"/>
      <c r="D164" s="27"/>
      <c r="E164" s="27"/>
      <c r="F164" s="27"/>
      <c r="G164" s="27" t="s">
        <v>408</v>
      </c>
      <c r="H164" s="27"/>
      <c r="I164" s="27"/>
      <c r="J164" s="252">
        <f>ROUND(SUM(J162:J163),5)</f>
        <v>1860.78</v>
      </c>
      <c r="K164" s="161"/>
      <c r="L164" s="161"/>
      <c r="M164" s="161"/>
      <c r="N164" s="161"/>
      <c r="O164" s="161"/>
      <c r="P164" s="23"/>
      <c r="Q164" s="23"/>
      <c r="R164" s="23"/>
      <c r="S164" s="23"/>
      <c r="T164" s="23"/>
      <c r="U164" s="23"/>
    </row>
    <row r="165" spans="1:21" s="251" customFormat="1" x14ac:dyDescent="0.25">
      <c r="A165" s="27"/>
      <c r="B165" s="27"/>
      <c r="C165" s="27"/>
      <c r="D165" s="27"/>
      <c r="E165" s="27"/>
      <c r="F165" s="27"/>
      <c r="G165" s="27" t="s">
        <v>409</v>
      </c>
      <c r="H165" s="27"/>
      <c r="I165" s="27"/>
      <c r="J165" s="252"/>
      <c r="K165" s="161"/>
      <c r="L165" s="161"/>
      <c r="M165" s="161"/>
      <c r="N165" s="161"/>
      <c r="O165" s="161"/>
      <c r="P165" s="23"/>
      <c r="Q165" s="23"/>
      <c r="R165" s="23"/>
      <c r="S165" s="23"/>
      <c r="T165" s="23"/>
      <c r="U165" s="23"/>
    </row>
    <row r="166" spans="1:21" s="251" customFormat="1" x14ac:dyDescent="0.25">
      <c r="A166" s="27"/>
      <c r="B166" s="27"/>
      <c r="C166" s="27"/>
      <c r="D166" s="27"/>
      <c r="E166" s="27"/>
      <c r="F166" s="27"/>
      <c r="G166" s="27"/>
      <c r="H166" s="27" t="s">
        <v>497</v>
      </c>
      <c r="I166" s="27"/>
      <c r="J166" s="252">
        <v>9290</v>
      </c>
      <c r="K166" s="161"/>
      <c r="L166" s="161"/>
      <c r="M166" s="161"/>
      <c r="N166" s="161"/>
      <c r="O166" s="161"/>
      <c r="P166" s="23"/>
      <c r="Q166" s="23"/>
      <c r="R166" s="23"/>
      <c r="S166" s="23"/>
      <c r="T166" s="23"/>
      <c r="U166" s="23"/>
    </row>
    <row r="167" spans="1:21" s="251" customFormat="1" ht="15.75" thickBot="1" x14ac:dyDescent="0.3">
      <c r="A167" s="27"/>
      <c r="B167" s="27"/>
      <c r="C167" s="27"/>
      <c r="D167" s="27"/>
      <c r="E167" s="27"/>
      <c r="F167" s="27"/>
      <c r="G167" s="27"/>
      <c r="H167" s="27" t="s">
        <v>705</v>
      </c>
      <c r="I167" s="27"/>
      <c r="J167" s="256">
        <v>1000</v>
      </c>
      <c r="K167" s="161"/>
      <c r="L167" s="161"/>
      <c r="M167" s="161"/>
      <c r="N167" s="161"/>
      <c r="O167" s="161"/>
      <c r="P167" s="23"/>
      <c r="Q167" s="23"/>
      <c r="R167" s="23"/>
      <c r="S167" s="23"/>
      <c r="T167" s="23"/>
      <c r="U167" s="23"/>
    </row>
    <row r="168" spans="1:21" s="251" customFormat="1" x14ac:dyDescent="0.25">
      <c r="A168" s="27"/>
      <c r="B168" s="27"/>
      <c r="C168" s="27"/>
      <c r="D168" s="27"/>
      <c r="E168" s="27"/>
      <c r="F168" s="27"/>
      <c r="G168" s="27" t="s">
        <v>410</v>
      </c>
      <c r="H168" s="27"/>
      <c r="I168" s="27"/>
      <c r="J168" s="252">
        <f>ROUND(SUM(J165:J167),5)</f>
        <v>10290</v>
      </c>
      <c r="K168" s="161"/>
      <c r="L168" s="161"/>
      <c r="M168" s="161"/>
      <c r="N168" s="161"/>
      <c r="O168" s="161"/>
      <c r="P168" s="23"/>
      <c r="Q168" s="23"/>
      <c r="R168" s="23"/>
      <c r="S168" s="23"/>
      <c r="T168" s="23"/>
      <c r="U168" s="23"/>
    </row>
    <row r="169" spans="1:21" s="251" customFormat="1" x14ac:dyDescent="0.25">
      <c r="A169" s="27"/>
      <c r="B169" s="27"/>
      <c r="C169" s="27"/>
      <c r="D169" s="27"/>
      <c r="E169" s="27"/>
      <c r="F169" s="27"/>
      <c r="G169" s="27" t="s">
        <v>411</v>
      </c>
      <c r="H169" s="27"/>
      <c r="I169" s="27"/>
      <c r="J169" s="252"/>
      <c r="K169" s="161"/>
      <c r="L169" s="161"/>
      <c r="M169" s="161"/>
      <c r="N169" s="161"/>
      <c r="O169" s="161"/>
      <c r="P169" s="23"/>
      <c r="Q169" s="23"/>
      <c r="R169" s="23"/>
      <c r="S169" s="23"/>
      <c r="T169" s="23"/>
      <c r="U169" s="23"/>
    </row>
    <row r="170" spans="1:21" s="251" customFormat="1" x14ac:dyDescent="0.25">
      <c r="A170" s="27"/>
      <c r="B170" s="27"/>
      <c r="C170" s="27"/>
      <c r="D170" s="27"/>
      <c r="E170" s="27"/>
      <c r="F170" s="27"/>
      <c r="G170" s="27"/>
      <c r="H170" s="27" t="s">
        <v>412</v>
      </c>
      <c r="I170" s="27"/>
      <c r="J170" s="252">
        <v>1168</v>
      </c>
      <c r="K170" s="161"/>
      <c r="L170" s="161"/>
      <c r="M170" s="161"/>
      <c r="N170" s="161"/>
      <c r="O170" s="161"/>
      <c r="P170" s="23"/>
      <c r="Q170" s="23"/>
      <c r="R170" s="23"/>
      <c r="S170" s="23"/>
      <c r="T170" s="23"/>
      <c r="U170" s="23"/>
    </row>
    <row r="171" spans="1:21" s="251" customFormat="1" x14ac:dyDescent="0.25">
      <c r="A171" s="27"/>
      <c r="B171" s="27"/>
      <c r="C171" s="27"/>
      <c r="D171" s="27"/>
      <c r="E171" s="27"/>
      <c r="F171" s="27"/>
      <c r="G171" s="27"/>
      <c r="H171" s="27" t="s">
        <v>413</v>
      </c>
      <c r="I171" s="27"/>
      <c r="J171" s="252">
        <v>100</v>
      </c>
      <c r="K171" s="161"/>
      <c r="L171" s="161"/>
      <c r="M171" s="161"/>
      <c r="N171" s="161"/>
      <c r="O171" s="161"/>
      <c r="P171" s="23"/>
      <c r="Q171" s="23"/>
      <c r="R171" s="23"/>
      <c r="S171" s="23"/>
      <c r="T171" s="23"/>
      <c r="U171" s="23"/>
    </row>
    <row r="172" spans="1:21" s="251" customFormat="1" ht="15.75" thickBot="1" x14ac:dyDescent="0.3">
      <c r="A172" s="27"/>
      <c r="B172" s="27"/>
      <c r="C172" s="27"/>
      <c r="D172" s="27"/>
      <c r="E172" s="27"/>
      <c r="F172" s="27"/>
      <c r="G172" s="27"/>
      <c r="H172" s="27" t="s">
        <v>679</v>
      </c>
      <c r="I172" s="27"/>
      <c r="J172" s="253">
        <v>50000</v>
      </c>
      <c r="K172" s="161"/>
      <c r="L172" s="161"/>
      <c r="M172" s="161"/>
      <c r="N172" s="161"/>
      <c r="O172" s="161"/>
      <c r="P172" s="23"/>
      <c r="Q172" s="23"/>
      <c r="R172" s="23"/>
      <c r="S172" s="23"/>
      <c r="T172" s="23"/>
      <c r="U172" s="23"/>
    </row>
    <row r="173" spans="1:21" s="251" customFormat="1" ht="15.75" thickBot="1" x14ac:dyDescent="0.3">
      <c r="A173" s="27"/>
      <c r="B173" s="27"/>
      <c r="C173" s="27"/>
      <c r="D173" s="27"/>
      <c r="E173" s="27"/>
      <c r="F173" s="27"/>
      <c r="G173" s="27" t="s">
        <v>414</v>
      </c>
      <c r="H173" s="27"/>
      <c r="I173" s="27"/>
      <c r="J173" s="255">
        <f>ROUND(SUM(J169:J172),5)</f>
        <v>51268</v>
      </c>
      <c r="K173" s="161"/>
      <c r="L173" s="161"/>
      <c r="M173" s="161"/>
      <c r="N173" s="161"/>
      <c r="O173" s="161"/>
      <c r="P173" s="23"/>
      <c r="Q173" s="23"/>
      <c r="R173" s="23"/>
      <c r="S173" s="23"/>
      <c r="T173" s="23"/>
      <c r="U173" s="23"/>
    </row>
    <row r="174" spans="1:21" s="251" customFormat="1" x14ac:dyDescent="0.25">
      <c r="A174" s="27"/>
      <c r="B174" s="27"/>
      <c r="C174" s="27"/>
      <c r="D174" s="27"/>
      <c r="E174" s="27"/>
      <c r="F174" s="27" t="s">
        <v>382</v>
      </c>
      <c r="G174" s="27"/>
      <c r="H174" s="27"/>
      <c r="I174" s="27"/>
      <c r="J174" s="252">
        <f>ROUND(J151+J155+J161+J164+J168+J173,5)</f>
        <v>116012.38</v>
      </c>
      <c r="K174" s="161"/>
      <c r="L174" s="161"/>
      <c r="M174" s="161"/>
      <c r="N174" s="161"/>
      <c r="O174" s="161"/>
      <c r="P174" s="23"/>
      <c r="Q174" s="23"/>
      <c r="R174" s="23"/>
      <c r="S174" s="23"/>
      <c r="T174" s="23"/>
      <c r="U174" s="23"/>
    </row>
    <row r="175" spans="1:21" s="251" customFormat="1" x14ac:dyDescent="0.25">
      <c r="A175" s="27"/>
      <c r="B175" s="27"/>
      <c r="C175" s="27"/>
      <c r="D175" s="27"/>
      <c r="E175" s="27"/>
      <c r="F175" s="27" t="s">
        <v>415</v>
      </c>
      <c r="G175" s="27"/>
      <c r="H175" s="27"/>
      <c r="I175" s="27"/>
      <c r="J175" s="252"/>
      <c r="K175" s="161"/>
      <c r="L175" s="161"/>
      <c r="M175" s="161"/>
      <c r="N175" s="161"/>
      <c r="O175" s="161"/>
      <c r="P175" s="23"/>
      <c r="Q175" s="23"/>
      <c r="R175" s="23"/>
      <c r="S175" s="23"/>
      <c r="T175" s="23"/>
      <c r="U175" s="23"/>
    </row>
    <row r="176" spans="1:21" s="251" customFormat="1" x14ac:dyDescent="0.25">
      <c r="A176" s="27"/>
      <c r="B176" s="27"/>
      <c r="C176" s="27"/>
      <c r="D176" s="27"/>
      <c r="E176" s="27"/>
      <c r="F176" s="27"/>
      <c r="G176" s="27" t="s">
        <v>383</v>
      </c>
      <c r="H176" s="27"/>
      <c r="I176" s="27"/>
      <c r="J176" s="252"/>
      <c r="K176" s="161"/>
      <c r="L176" s="161"/>
      <c r="M176" s="161"/>
      <c r="N176" s="161"/>
      <c r="O176" s="161"/>
      <c r="P176" s="23"/>
      <c r="Q176" s="23"/>
      <c r="R176" s="23"/>
      <c r="S176" s="23"/>
      <c r="T176" s="23"/>
      <c r="U176" s="23"/>
    </row>
    <row r="177" spans="1:21" s="251" customFormat="1" x14ac:dyDescent="0.25">
      <c r="A177" s="27"/>
      <c r="B177" s="27"/>
      <c r="C177" s="27"/>
      <c r="D177" s="27"/>
      <c r="E177" s="27"/>
      <c r="F177" s="27"/>
      <c r="G177" s="27"/>
      <c r="H177" s="27" t="s">
        <v>677</v>
      </c>
      <c r="I177" s="27"/>
      <c r="J177" s="252">
        <v>60078</v>
      </c>
      <c r="K177" s="161"/>
      <c r="L177" s="161"/>
      <c r="M177" s="161"/>
      <c r="N177" s="161"/>
      <c r="O177" s="161"/>
      <c r="P177" s="23"/>
      <c r="Q177" s="23"/>
      <c r="R177" s="23"/>
      <c r="S177" s="23"/>
      <c r="T177" s="23"/>
      <c r="U177" s="23"/>
    </row>
    <row r="178" spans="1:21" s="251" customFormat="1" x14ac:dyDescent="0.25">
      <c r="A178" s="27"/>
      <c r="B178" s="27"/>
      <c r="C178" s="27"/>
      <c r="D178" s="27"/>
      <c r="E178" s="27"/>
      <c r="F178" s="27"/>
      <c r="G178" s="27"/>
      <c r="H178" s="27" t="s">
        <v>384</v>
      </c>
      <c r="I178" s="27"/>
      <c r="J178" s="252"/>
      <c r="K178" s="161"/>
      <c r="L178" s="161"/>
      <c r="M178" s="161"/>
      <c r="N178" s="161"/>
      <c r="O178" s="161"/>
      <c r="P178" s="23"/>
      <c r="Q178" s="23"/>
      <c r="R178" s="23"/>
      <c r="S178" s="23"/>
      <c r="T178" s="23"/>
      <c r="U178" s="23"/>
    </row>
    <row r="179" spans="1:21" s="251" customFormat="1" ht="15.75" thickBot="1" x14ac:dyDescent="0.3">
      <c r="A179" s="27"/>
      <c r="B179" s="27"/>
      <c r="C179" s="27"/>
      <c r="D179" s="27"/>
      <c r="E179" s="27"/>
      <c r="F179" s="27"/>
      <c r="G179" s="27"/>
      <c r="H179" s="27"/>
      <c r="I179" s="27" t="s">
        <v>472</v>
      </c>
      <c r="J179" s="256">
        <v>31959</v>
      </c>
      <c r="K179" s="161"/>
      <c r="L179" s="161"/>
      <c r="M179" s="161"/>
      <c r="N179" s="161"/>
      <c r="O179" s="161"/>
      <c r="P179" s="23"/>
      <c r="Q179" s="23"/>
      <c r="R179" s="23"/>
      <c r="S179" s="23"/>
      <c r="T179" s="23"/>
      <c r="U179" s="23"/>
    </row>
    <row r="180" spans="1:21" s="251" customFormat="1" x14ac:dyDescent="0.25">
      <c r="A180" s="27"/>
      <c r="B180" s="27"/>
      <c r="C180" s="27"/>
      <c r="D180" s="27"/>
      <c r="E180" s="27"/>
      <c r="F180" s="27"/>
      <c r="G180" s="27"/>
      <c r="H180" s="27" t="s">
        <v>475</v>
      </c>
      <c r="I180" s="27"/>
      <c r="J180" s="252">
        <f>ROUND(SUM(J178:J179),5)</f>
        <v>31959</v>
      </c>
      <c r="K180" s="161"/>
      <c r="L180" s="161"/>
      <c r="M180" s="161"/>
      <c r="N180" s="161"/>
      <c r="O180" s="161"/>
      <c r="P180" s="23"/>
      <c r="Q180" s="23"/>
      <c r="R180" s="23"/>
      <c r="S180" s="23"/>
      <c r="T180" s="23"/>
      <c r="U180" s="23"/>
    </row>
    <row r="181" spans="1:21" s="251" customFormat="1" ht="15.75" thickBot="1" x14ac:dyDescent="0.3">
      <c r="A181" s="27"/>
      <c r="B181" s="27"/>
      <c r="C181" s="27"/>
      <c r="D181" s="27"/>
      <c r="E181" s="27"/>
      <c r="F181" s="27"/>
      <c r="G181" s="27"/>
      <c r="H181" s="27" t="s">
        <v>733</v>
      </c>
      <c r="I181" s="27"/>
      <c r="J181" s="256">
        <v>0</v>
      </c>
      <c r="K181" s="161"/>
      <c r="L181" s="161"/>
      <c r="M181" s="161"/>
      <c r="N181" s="161"/>
      <c r="O181" s="161"/>
      <c r="P181" s="23"/>
      <c r="Q181" s="23"/>
      <c r="R181" s="23"/>
      <c r="S181" s="23"/>
      <c r="T181" s="23"/>
      <c r="U181" s="23"/>
    </row>
    <row r="182" spans="1:21" s="251" customFormat="1" x14ac:dyDescent="0.25">
      <c r="A182" s="27"/>
      <c r="B182" s="27"/>
      <c r="C182" s="27"/>
      <c r="D182" s="27"/>
      <c r="E182" s="27"/>
      <c r="F182" s="27"/>
      <c r="G182" s="27" t="s">
        <v>385</v>
      </c>
      <c r="H182" s="27"/>
      <c r="I182" s="27"/>
      <c r="J182" s="252">
        <f>ROUND(J176+SUM(J180:J181),5)</f>
        <v>31959</v>
      </c>
      <c r="K182" s="161"/>
      <c r="L182" s="161"/>
      <c r="M182" s="161"/>
      <c r="N182" s="161"/>
      <c r="O182" s="161"/>
      <c r="P182" s="23"/>
      <c r="Q182" s="23"/>
      <c r="R182" s="23"/>
      <c r="S182" s="23"/>
      <c r="T182" s="23"/>
      <c r="U182" s="23"/>
    </row>
    <row r="183" spans="1:21" s="251" customFormat="1" x14ac:dyDescent="0.25">
      <c r="A183" s="27"/>
      <c r="B183" s="27"/>
      <c r="C183" s="27"/>
      <c r="D183" s="27"/>
      <c r="E183" s="27"/>
      <c r="F183" s="27"/>
      <c r="G183" s="27" t="s">
        <v>416</v>
      </c>
      <c r="H183" s="27"/>
      <c r="I183" s="27"/>
      <c r="J183" s="252"/>
      <c r="K183" s="161"/>
      <c r="L183" s="161"/>
      <c r="M183" s="161"/>
      <c r="N183" s="161"/>
      <c r="O183" s="161"/>
      <c r="P183" s="23"/>
      <c r="Q183" s="23"/>
      <c r="R183" s="23"/>
      <c r="S183" s="23"/>
      <c r="T183" s="23"/>
      <c r="U183" s="23"/>
    </row>
    <row r="184" spans="1:21" s="251" customFormat="1" x14ac:dyDescent="0.25">
      <c r="A184" s="27"/>
      <c r="B184" s="27"/>
      <c r="C184" s="27"/>
      <c r="D184" s="27"/>
      <c r="E184" s="27"/>
      <c r="F184" s="27"/>
      <c r="G184" s="27"/>
      <c r="H184" s="27" t="s">
        <v>422</v>
      </c>
      <c r="I184" s="27"/>
      <c r="J184" s="252">
        <v>60000</v>
      </c>
      <c r="K184" s="161"/>
      <c r="L184" s="161"/>
      <c r="M184" s="161"/>
      <c r="N184" s="161"/>
      <c r="O184" s="161"/>
      <c r="P184" s="23"/>
      <c r="Q184" s="23"/>
      <c r="R184" s="23"/>
      <c r="S184" s="23"/>
      <c r="T184" s="23"/>
      <c r="U184" s="23"/>
    </row>
    <row r="185" spans="1:21" s="251" customFormat="1" x14ac:dyDescent="0.25">
      <c r="A185" s="27"/>
      <c r="B185" s="27"/>
      <c r="C185" s="27"/>
      <c r="D185" s="27"/>
      <c r="E185" s="27"/>
      <c r="F185" s="27"/>
      <c r="G185" s="27"/>
      <c r="H185" s="27" t="s">
        <v>417</v>
      </c>
      <c r="I185" s="27"/>
      <c r="J185" s="252">
        <v>7200</v>
      </c>
      <c r="K185" s="161"/>
      <c r="L185" s="161"/>
      <c r="M185" s="161"/>
      <c r="N185" s="161"/>
      <c r="O185" s="161"/>
      <c r="P185" s="23"/>
      <c r="Q185" s="23"/>
      <c r="R185" s="23"/>
      <c r="S185" s="23"/>
      <c r="T185" s="23"/>
      <c r="U185" s="23"/>
    </row>
    <row r="186" spans="1:21" s="251" customFormat="1" ht="15.75" thickBot="1" x14ac:dyDescent="0.3">
      <c r="A186" s="27"/>
      <c r="B186" s="27"/>
      <c r="C186" s="27"/>
      <c r="D186" s="27"/>
      <c r="E186" s="27"/>
      <c r="F186" s="27"/>
      <c r="G186" s="27"/>
      <c r="H186" s="27" t="s">
        <v>418</v>
      </c>
      <c r="I186" s="27"/>
      <c r="J186" s="256">
        <v>1800</v>
      </c>
      <c r="K186" s="161"/>
      <c r="L186" s="161"/>
      <c r="M186" s="161"/>
      <c r="N186" s="161"/>
      <c r="O186" s="161"/>
      <c r="P186" s="23"/>
      <c r="Q186" s="23"/>
      <c r="R186" s="23"/>
      <c r="S186" s="23"/>
      <c r="T186" s="23"/>
      <c r="U186" s="23"/>
    </row>
    <row r="187" spans="1:21" s="251" customFormat="1" x14ac:dyDescent="0.25">
      <c r="A187" s="27"/>
      <c r="B187" s="27"/>
      <c r="C187" s="27"/>
      <c r="D187" s="27"/>
      <c r="E187" s="27"/>
      <c r="F187" s="27"/>
      <c r="G187" s="27" t="s">
        <v>419</v>
      </c>
      <c r="H187" s="27"/>
      <c r="I187" s="27"/>
      <c r="J187" s="252">
        <f>ROUND(SUM(J183:J186),5)</f>
        <v>69000</v>
      </c>
      <c r="K187" s="161"/>
      <c r="L187" s="161"/>
      <c r="M187" s="161"/>
      <c r="N187" s="161"/>
      <c r="O187" s="161"/>
      <c r="P187" s="23"/>
      <c r="Q187" s="23"/>
      <c r="R187" s="23"/>
      <c r="S187" s="23"/>
      <c r="T187" s="23"/>
      <c r="U187" s="23"/>
    </row>
    <row r="188" spans="1:21" s="251" customFormat="1" x14ac:dyDescent="0.25">
      <c r="A188" s="27"/>
      <c r="B188" s="27"/>
      <c r="C188" s="27"/>
      <c r="D188" s="27"/>
      <c r="E188" s="27"/>
      <c r="F188" s="27"/>
      <c r="G188" s="27" t="s">
        <v>386</v>
      </c>
      <c r="H188" s="27"/>
      <c r="I188" s="27"/>
      <c r="J188" s="252"/>
      <c r="K188" s="161"/>
      <c r="L188" s="161"/>
      <c r="M188" s="161"/>
      <c r="N188" s="161"/>
      <c r="O188" s="161"/>
      <c r="P188" s="23"/>
      <c r="Q188" s="23"/>
      <c r="R188" s="23"/>
      <c r="S188" s="23"/>
      <c r="T188" s="23"/>
      <c r="U188" s="23"/>
    </row>
    <row r="189" spans="1:21" s="251" customFormat="1" x14ac:dyDescent="0.25">
      <c r="A189" s="27"/>
      <c r="B189" s="27"/>
      <c r="C189" s="27"/>
      <c r="D189" s="27"/>
      <c r="E189" s="27"/>
      <c r="F189" s="27"/>
      <c r="G189" s="27"/>
      <c r="H189" s="27" t="s">
        <v>387</v>
      </c>
      <c r="I189" s="27"/>
      <c r="J189" s="252">
        <v>4242</v>
      </c>
      <c r="K189" s="161"/>
      <c r="L189" s="161"/>
      <c r="M189" s="161"/>
      <c r="N189" s="161"/>
      <c r="O189" s="161"/>
      <c r="P189" s="23"/>
      <c r="Q189" s="23"/>
      <c r="R189" s="23"/>
      <c r="S189" s="23"/>
      <c r="T189" s="23"/>
      <c r="U189" s="23"/>
    </row>
    <row r="190" spans="1:21" s="251" customFormat="1" ht="15.75" thickBot="1" x14ac:dyDescent="0.3">
      <c r="A190" s="27"/>
      <c r="B190" s="27"/>
      <c r="C190" s="27"/>
      <c r="D190" s="27"/>
      <c r="E190" s="27"/>
      <c r="F190" s="27"/>
      <c r="G190" s="27"/>
      <c r="H190" s="27" t="s">
        <v>420</v>
      </c>
      <c r="I190" s="27"/>
      <c r="J190" s="253">
        <v>45000</v>
      </c>
      <c r="K190" s="161"/>
      <c r="L190" s="161"/>
      <c r="M190" s="161"/>
      <c r="N190" s="161"/>
      <c r="O190" s="161"/>
      <c r="P190" s="23"/>
      <c r="Q190" s="23"/>
      <c r="R190" s="23"/>
      <c r="S190" s="23"/>
      <c r="T190" s="23"/>
      <c r="U190" s="23"/>
    </row>
    <row r="191" spans="1:21" s="251" customFormat="1" ht="15.75" thickBot="1" x14ac:dyDescent="0.3">
      <c r="A191" s="27"/>
      <c r="B191" s="27"/>
      <c r="C191" s="27"/>
      <c r="D191" s="27"/>
      <c r="E191" s="27"/>
      <c r="F191" s="27"/>
      <c r="G191" s="27" t="s">
        <v>388</v>
      </c>
      <c r="H191" s="27"/>
      <c r="I191" s="27"/>
      <c r="J191" s="255">
        <f>ROUND(SUM(J188:J190),5)</f>
        <v>49242</v>
      </c>
      <c r="K191" s="161"/>
      <c r="L191" s="161"/>
      <c r="M191" s="161"/>
      <c r="N191" s="161"/>
      <c r="O191" s="161"/>
      <c r="P191" s="23"/>
      <c r="Q191" s="23"/>
      <c r="R191" s="23"/>
      <c r="S191" s="23"/>
      <c r="T191" s="23"/>
      <c r="U191" s="23"/>
    </row>
    <row r="192" spans="1:21" s="251" customFormat="1" x14ac:dyDescent="0.25">
      <c r="A192" s="27"/>
      <c r="B192" s="27"/>
      <c r="C192" s="27"/>
      <c r="D192" s="27"/>
      <c r="E192" s="27"/>
      <c r="F192" s="27" t="s">
        <v>421</v>
      </c>
      <c r="G192" s="27"/>
      <c r="H192" s="27"/>
      <c r="I192" s="27"/>
      <c r="J192" s="252">
        <f>ROUND(J175+J182+J187+J191+J177,5)</f>
        <v>210279</v>
      </c>
      <c r="K192" s="161"/>
      <c r="L192" s="161"/>
      <c r="M192" s="161"/>
      <c r="N192" s="161"/>
      <c r="O192" s="161"/>
      <c r="P192" s="23"/>
      <c r="Q192" s="23"/>
      <c r="R192" s="23"/>
      <c r="S192" s="23"/>
      <c r="T192" s="23"/>
      <c r="U192" s="23"/>
    </row>
    <row r="193" spans="1:21" s="251" customFormat="1" x14ac:dyDescent="0.25">
      <c r="A193" s="27"/>
      <c r="B193" s="27"/>
      <c r="C193" s="27"/>
      <c r="D193" s="27"/>
      <c r="E193" s="27"/>
      <c r="F193" s="27" t="s">
        <v>676</v>
      </c>
      <c r="G193" s="27"/>
      <c r="H193" s="27"/>
      <c r="I193" s="27"/>
      <c r="J193" s="252"/>
      <c r="K193" s="161"/>
      <c r="L193" s="161"/>
      <c r="M193" s="161"/>
      <c r="N193" s="161"/>
      <c r="O193" s="161"/>
      <c r="P193" s="23"/>
      <c r="Q193" s="23"/>
      <c r="R193" s="23"/>
      <c r="S193" s="23"/>
      <c r="T193" s="23"/>
      <c r="U193" s="23"/>
    </row>
    <row r="194" spans="1:21" x14ac:dyDescent="0.25">
      <c r="A194" s="27"/>
      <c r="B194" s="27"/>
      <c r="C194" s="27"/>
      <c r="D194" s="27"/>
      <c r="E194" s="27"/>
      <c r="F194" s="27"/>
      <c r="G194" s="27" t="s">
        <v>275</v>
      </c>
      <c r="H194" s="27"/>
      <c r="I194" s="27"/>
      <c r="J194" s="252">
        <v>2311.5</v>
      </c>
      <c r="K194" s="161"/>
      <c r="L194" s="161"/>
      <c r="M194" s="161"/>
      <c r="N194" s="161"/>
      <c r="O194" s="161"/>
    </row>
    <row r="195" spans="1:21" x14ac:dyDescent="0.25">
      <c r="A195" s="27"/>
      <c r="B195" s="27"/>
      <c r="C195" s="27"/>
      <c r="D195" s="27"/>
      <c r="E195" s="27"/>
      <c r="F195" s="27" t="s">
        <v>675</v>
      </c>
      <c r="G195" s="27"/>
      <c r="H195" s="27"/>
      <c r="I195" s="27"/>
      <c r="J195" s="252">
        <f>SUM(J194)</f>
        <v>2311.5</v>
      </c>
      <c r="K195" s="161"/>
      <c r="L195" s="161"/>
      <c r="M195" s="161"/>
      <c r="N195" s="161"/>
      <c r="O195" s="161"/>
    </row>
    <row r="196" spans="1:21" s="102" customFormat="1" x14ac:dyDescent="0.25">
      <c r="A196" s="23"/>
      <c r="B196" s="27"/>
      <c r="C196" s="27"/>
      <c r="D196" s="27"/>
      <c r="E196" s="27"/>
      <c r="F196" s="285" t="s">
        <v>706</v>
      </c>
      <c r="G196" s="285"/>
      <c r="H196" s="285"/>
      <c r="I196" s="285"/>
      <c r="J196" s="286"/>
      <c r="K196" s="161"/>
      <c r="L196" s="161"/>
      <c r="M196" s="161"/>
      <c r="N196" s="161"/>
      <c r="O196" s="161"/>
    </row>
    <row r="197" spans="1:21" x14ac:dyDescent="0.25">
      <c r="A197" s="23"/>
      <c r="B197" s="27"/>
      <c r="C197" s="27"/>
      <c r="D197" s="27"/>
      <c r="E197" s="27"/>
      <c r="F197" s="285"/>
      <c r="G197" s="285" t="s">
        <v>707</v>
      </c>
      <c r="H197" s="285"/>
      <c r="I197" s="285"/>
      <c r="J197" s="286"/>
      <c r="K197" s="161"/>
      <c r="L197" s="161"/>
      <c r="M197" s="161"/>
      <c r="N197" s="161"/>
      <c r="O197" s="161"/>
    </row>
    <row r="198" spans="1:21" x14ac:dyDescent="0.25">
      <c r="A198" s="23"/>
      <c r="B198" s="27"/>
      <c r="C198" s="27"/>
      <c r="D198" s="27"/>
      <c r="E198" s="27"/>
      <c r="F198" s="285"/>
      <c r="G198" s="285"/>
      <c r="H198" s="285" t="s">
        <v>723</v>
      </c>
      <c r="I198" s="285"/>
      <c r="J198" s="286">
        <v>109524</v>
      </c>
      <c r="K198" s="161"/>
      <c r="L198" s="161"/>
      <c r="M198" s="161"/>
      <c r="N198" s="161"/>
      <c r="O198" s="161"/>
    </row>
    <row r="199" spans="1:21" ht="15.75" thickBot="1" x14ac:dyDescent="0.3">
      <c r="A199" s="23"/>
      <c r="B199" s="27"/>
      <c r="C199" s="27"/>
      <c r="D199" s="27"/>
      <c r="E199" s="27"/>
      <c r="F199" s="285"/>
      <c r="G199" s="285"/>
      <c r="H199" s="285" t="s">
        <v>724</v>
      </c>
      <c r="I199" s="285"/>
      <c r="J199" s="287">
        <v>726096</v>
      </c>
      <c r="K199" s="161"/>
      <c r="L199" s="161"/>
      <c r="M199" s="161"/>
      <c r="N199" s="161"/>
      <c r="O199" s="161"/>
    </row>
    <row r="200" spans="1:21" x14ac:dyDescent="0.25">
      <c r="A200" s="27"/>
      <c r="B200" s="27"/>
      <c r="C200" s="27"/>
      <c r="D200" s="27"/>
      <c r="E200" s="27"/>
      <c r="F200" s="285"/>
      <c r="G200" s="285" t="s">
        <v>725</v>
      </c>
      <c r="H200" s="285"/>
      <c r="I200" s="285"/>
      <c r="J200" s="286">
        <f>ROUND(SUM(J197:J199),5)</f>
        <v>835620</v>
      </c>
      <c r="K200" s="161"/>
      <c r="L200" s="161"/>
      <c r="M200" s="161"/>
      <c r="N200" s="161"/>
      <c r="O200" s="161"/>
    </row>
    <row r="201" spans="1:21" x14ac:dyDescent="0.25">
      <c r="A201" s="27"/>
      <c r="B201" s="27"/>
      <c r="C201" s="27"/>
      <c r="D201" s="27"/>
      <c r="E201" s="27"/>
      <c r="F201" s="285"/>
      <c r="G201" s="285" t="s">
        <v>726</v>
      </c>
      <c r="H201" s="285"/>
      <c r="I201" s="285"/>
      <c r="J201" s="286">
        <v>1209335</v>
      </c>
      <c r="K201" s="161"/>
      <c r="L201" s="161"/>
      <c r="M201" s="161"/>
      <c r="N201" s="161"/>
      <c r="O201" s="161"/>
    </row>
    <row r="202" spans="1:21" x14ac:dyDescent="0.25">
      <c r="A202" s="27"/>
      <c r="B202" s="27"/>
      <c r="C202" s="27"/>
      <c r="D202" s="27"/>
      <c r="E202" s="27"/>
      <c r="F202" s="285"/>
      <c r="G202" s="285" t="s">
        <v>727</v>
      </c>
      <c r="H202" s="285"/>
      <c r="I202" s="285"/>
      <c r="J202" s="286">
        <v>43702</v>
      </c>
      <c r="K202" s="161"/>
      <c r="L202" s="161"/>
      <c r="M202" s="161"/>
      <c r="N202" s="161"/>
      <c r="O202" s="161"/>
    </row>
    <row r="203" spans="1:21" x14ac:dyDescent="0.25">
      <c r="A203" s="27"/>
      <c r="B203" s="27"/>
      <c r="C203" s="27"/>
      <c r="D203" s="27"/>
      <c r="E203" s="27"/>
      <c r="F203" s="285"/>
      <c r="G203" s="285" t="s">
        <v>708</v>
      </c>
      <c r="H203" s="285"/>
      <c r="I203" s="285"/>
      <c r="J203" s="286">
        <v>56440</v>
      </c>
      <c r="K203" s="161"/>
      <c r="L203" s="161"/>
      <c r="M203" s="161"/>
      <c r="N203" s="161"/>
      <c r="O203" s="161"/>
    </row>
    <row r="204" spans="1:21" x14ac:dyDescent="0.25">
      <c r="A204" s="27"/>
      <c r="B204" s="27"/>
      <c r="C204" s="27"/>
      <c r="D204" s="27"/>
      <c r="E204" s="27"/>
      <c r="F204" s="285" t="s">
        <v>709</v>
      </c>
      <c r="G204" s="285"/>
      <c r="H204" s="285"/>
      <c r="I204" s="285"/>
      <c r="J204" s="286">
        <f>ROUND(J196+SUM(J200:J203),5)</f>
        <v>2145097</v>
      </c>
      <c r="K204" s="161"/>
      <c r="L204" s="161"/>
      <c r="M204" s="161"/>
      <c r="N204" s="161"/>
      <c r="O204" s="161"/>
    </row>
    <row r="205" spans="1:21" x14ac:dyDescent="0.25">
      <c r="A205" s="27"/>
      <c r="B205" s="27"/>
      <c r="C205" s="27"/>
      <c r="D205" s="27"/>
      <c r="E205" s="198"/>
      <c r="F205" s="198" t="s">
        <v>281</v>
      </c>
      <c r="G205" s="198"/>
      <c r="H205" s="198"/>
      <c r="I205" s="198"/>
      <c r="J205" s="252"/>
      <c r="K205" s="161"/>
      <c r="L205" s="161"/>
      <c r="M205" s="161"/>
      <c r="N205" s="161"/>
      <c r="O205" s="161"/>
    </row>
    <row r="206" spans="1:21" x14ac:dyDescent="0.25">
      <c r="A206" s="27"/>
      <c r="B206" s="27"/>
      <c r="C206" s="27"/>
      <c r="D206" s="27"/>
      <c r="E206" s="27"/>
      <c r="F206" s="27"/>
      <c r="G206" s="27" t="s">
        <v>282</v>
      </c>
      <c r="H206" s="27"/>
      <c r="I206" s="27"/>
      <c r="J206" s="252"/>
      <c r="K206" s="161"/>
      <c r="L206" s="161"/>
      <c r="M206" s="161"/>
      <c r="N206" s="161"/>
      <c r="O206" s="161"/>
    </row>
    <row r="207" spans="1:21" ht="21" thickBot="1" x14ac:dyDescent="0.55000000000000004">
      <c r="A207" s="27"/>
      <c r="B207" s="27"/>
      <c r="C207" s="27"/>
      <c r="D207" s="27"/>
      <c r="E207" s="27"/>
      <c r="F207" s="27"/>
      <c r="G207" s="27"/>
      <c r="H207" s="27" t="s">
        <v>290</v>
      </c>
      <c r="I207" s="27"/>
      <c r="J207" s="256">
        <v>225000</v>
      </c>
      <c r="K207" s="273">
        <v>0.74</v>
      </c>
      <c r="L207" s="256">
        <f>J207*K207</f>
        <v>166500</v>
      </c>
      <c r="M207" s="273">
        <v>0.26</v>
      </c>
      <c r="N207" s="256">
        <f>J207*M207</f>
        <v>58500</v>
      </c>
      <c r="O207" s="274" t="s">
        <v>711</v>
      </c>
    </row>
    <row r="208" spans="1:21" x14ac:dyDescent="0.25">
      <c r="A208" s="27"/>
      <c r="B208" s="27"/>
      <c r="C208" s="27"/>
      <c r="D208" s="27"/>
      <c r="E208" s="27"/>
      <c r="F208" s="27"/>
      <c r="G208" s="27" t="s">
        <v>292</v>
      </c>
      <c r="H208" s="27"/>
      <c r="I208" s="27"/>
      <c r="J208" s="252">
        <f>ROUND(SUM(J206:J207),5)</f>
        <v>225000</v>
      </c>
      <c r="K208" s="273"/>
      <c r="L208" s="253">
        <f>SUM(L207)</f>
        <v>166500</v>
      </c>
      <c r="M208" s="273"/>
      <c r="N208" s="253">
        <f>SUM(N207)</f>
        <v>58500</v>
      </c>
    </row>
    <row r="209" spans="1:15" x14ac:dyDescent="0.25">
      <c r="A209" s="27"/>
      <c r="B209" s="27"/>
      <c r="C209" s="27"/>
      <c r="D209" s="27"/>
      <c r="E209" s="27"/>
      <c r="F209" s="27"/>
      <c r="G209" s="27" t="s">
        <v>293</v>
      </c>
      <c r="H209" s="27"/>
      <c r="I209" s="27"/>
      <c r="J209" s="252"/>
      <c r="K209" s="161"/>
      <c r="L209" s="161"/>
      <c r="M209" s="161"/>
      <c r="N209" s="161"/>
      <c r="O209" s="161"/>
    </row>
    <row r="210" spans="1:15" ht="20.25" x14ac:dyDescent="0.5">
      <c r="A210" s="23"/>
      <c r="B210" s="27"/>
      <c r="C210" s="27"/>
      <c r="D210" s="27"/>
      <c r="E210" s="27"/>
      <c r="F210" s="27"/>
      <c r="G210" s="27"/>
      <c r="H210" s="27" t="s">
        <v>295</v>
      </c>
      <c r="I210" s="27"/>
      <c r="J210" s="252">
        <v>2500</v>
      </c>
      <c r="K210" s="273">
        <v>0.74</v>
      </c>
      <c r="L210" s="253">
        <f>+J210*K210</f>
        <v>1850</v>
      </c>
      <c r="M210" s="273">
        <v>0.26</v>
      </c>
      <c r="N210" s="253">
        <f>+J210*M210</f>
        <v>650</v>
      </c>
      <c r="O210" s="274" t="s">
        <v>711</v>
      </c>
    </row>
    <row r="211" spans="1:15" ht="20.25" x14ac:dyDescent="0.5">
      <c r="A211" s="23"/>
      <c r="B211" s="27"/>
      <c r="C211" s="27"/>
      <c r="D211" s="27"/>
      <c r="E211" s="27"/>
      <c r="F211" s="27"/>
      <c r="G211" s="27"/>
      <c r="H211" s="27" t="s">
        <v>296</v>
      </c>
      <c r="I211" s="27"/>
      <c r="J211" s="252">
        <v>159028.71</v>
      </c>
      <c r="K211" s="273">
        <v>0.14000000000000001</v>
      </c>
      <c r="L211" s="253">
        <f t="shared" ref="L211:L217" si="0">+J211*K211</f>
        <v>22264.019400000001</v>
      </c>
      <c r="M211" s="273">
        <v>0.86</v>
      </c>
      <c r="N211" s="253">
        <f t="shared" ref="N211:N217" si="1">+J211*M211</f>
        <v>136764.6906</v>
      </c>
      <c r="O211" s="274" t="s">
        <v>710</v>
      </c>
    </row>
    <row r="212" spans="1:15" ht="20.25" x14ac:dyDescent="0.5">
      <c r="A212" s="23"/>
      <c r="B212" s="27"/>
      <c r="C212" s="27"/>
      <c r="D212" s="27"/>
      <c r="E212" s="27"/>
      <c r="F212" s="27"/>
      <c r="G212" s="27"/>
      <c r="H212" s="27" t="s">
        <v>301</v>
      </c>
      <c r="I212" s="27"/>
      <c r="J212" s="252">
        <v>13400</v>
      </c>
      <c r="K212" s="273">
        <v>0.14000000000000001</v>
      </c>
      <c r="L212" s="253">
        <f t="shared" si="0"/>
        <v>1876.0000000000002</v>
      </c>
      <c r="M212" s="273">
        <v>0.86</v>
      </c>
      <c r="N212" s="253">
        <f t="shared" si="1"/>
        <v>11524</v>
      </c>
      <c r="O212" s="274" t="s">
        <v>710</v>
      </c>
    </row>
    <row r="213" spans="1:15" s="102" customFormat="1" ht="20.25" x14ac:dyDescent="0.5">
      <c r="A213" s="23"/>
      <c r="B213" s="27"/>
      <c r="C213" s="27"/>
      <c r="D213" s="27"/>
      <c r="E213" s="27"/>
      <c r="F213" s="27"/>
      <c r="G213" s="27"/>
      <c r="H213" s="27" t="s">
        <v>303</v>
      </c>
      <c r="I213" s="27"/>
      <c r="J213" s="252">
        <v>765</v>
      </c>
      <c r="K213" s="273">
        <v>0.14000000000000001</v>
      </c>
      <c r="L213" s="253">
        <f t="shared" si="0"/>
        <v>107.10000000000001</v>
      </c>
      <c r="M213" s="273">
        <v>0.86</v>
      </c>
      <c r="N213" s="253">
        <f t="shared" si="1"/>
        <v>657.9</v>
      </c>
      <c r="O213" s="274" t="s">
        <v>710</v>
      </c>
    </row>
    <row r="214" spans="1:15" ht="20.25" x14ac:dyDescent="0.5">
      <c r="A214" s="23"/>
      <c r="B214" s="27"/>
      <c r="C214" s="27"/>
      <c r="D214" s="27"/>
      <c r="E214" s="27"/>
      <c r="F214" s="27"/>
      <c r="G214" s="27"/>
      <c r="H214" s="27" t="s">
        <v>304</v>
      </c>
      <c r="I214" s="27"/>
      <c r="J214" s="252">
        <v>24933.45</v>
      </c>
      <c r="K214" s="273">
        <v>0.14000000000000001</v>
      </c>
      <c r="L214" s="253">
        <f t="shared" si="0"/>
        <v>3490.6830000000004</v>
      </c>
      <c r="M214" s="273">
        <v>0.86</v>
      </c>
      <c r="N214" s="253">
        <f t="shared" si="1"/>
        <v>21442.767</v>
      </c>
      <c r="O214" s="274" t="s">
        <v>710</v>
      </c>
    </row>
    <row r="215" spans="1:15" ht="20.25" x14ac:dyDescent="0.5">
      <c r="A215" s="23"/>
      <c r="B215" s="27"/>
      <c r="C215" s="27"/>
      <c r="D215" s="27"/>
      <c r="E215" s="27"/>
      <c r="F215" s="27"/>
      <c r="G215" s="27"/>
      <c r="H215" s="27" t="s">
        <v>305</v>
      </c>
      <c r="I215" s="27"/>
      <c r="J215" s="252">
        <v>20190</v>
      </c>
      <c r="K215" s="273">
        <v>0.14000000000000001</v>
      </c>
      <c r="L215" s="253">
        <f t="shared" si="0"/>
        <v>2826.6000000000004</v>
      </c>
      <c r="M215" s="273">
        <v>0.86</v>
      </c>
      <c r="N215" s="253">
        <f t="shared" si="1"/>
        <v>17363.400000000001</v>
      </c>
      <c r="O215" s="274" t="s">
        <v>710</v>
      </c>
    </row>
    <row r="216" spans="1:15" ht="20.25" x14ac:dyDescent="0.5">
      <c r="A216" s="23"/>
      <c r="B216" s="27"/>
      <c r="C216" s="27"/>
      <c r="D216" s="27"/>
      <c r="E216" s="27"/>
      <c r="F216" s="27"/>
      <c r="G216" s="27"/>
      <c r="H216" s="27" t="s">
        <v>306</v>
      </c>
      <c r="I216" s="27"/>
      <c r="J216" s="252">
        <v>17510</v>
      </c>
      <c r="K216" s="273">
        <v>0.14000000000000001</v>
      </c>
      <c r="L216" s="253">
        <f t="shared" si="0"/>
        <v>2451.4</v>
      </c>
      <c r="M216" s="273">
        <v>0.86</v>
      </c>
      <c r="N216" s="253">
        <f t="shared" si="1"/>
        <v>15058.6</v>
      </c>
      <c r="O216" s="274" t="s">
        <v>710</v>
      </c>
    </row>
    <row r="217" spans="1:15" ht="21" thickBot="1" x14ac:dyDescent="0.55000000000000004">
      <c r="A217" s="27"/>
      <c r="B217" s="27"/>
      <c r="C217" s="27"/>
      <c r="D217" s="27"/>
      <c r="E217" s="27"/>
      <c r="F217" s="27"/>
      <c r="G217" s="27"/>
      <c r="H217" s="27" t="s">
        <v>309</v>
      </c>
      <c r="I217" s="27"/>
      <c r="J217" s="256">
        <v>2500</v>
      </c>
      <c r="K217" s="273">
        <v>0.14000000000000001</v>
      </c>
      <c r="L217" s="256">
        <f t="shared" si="0"/>
        <v>350.00000000000006</v>
      </c>
      <c r="M217" s="273">
        <v>0.86</v>
      </c>
      <c r="N217" s="256">
        <f t="shared" si="1"/>
        <v>2150</v>
      </c>
      <c r="O217" s="274" t="s">
        <v>710</v>
      </c>
    </row>
    <row r="218" spans="1:15" x14ac:dyDescent="0.25">
      <c r="A218" s="27"/>
      <c r="B218" s="27"/>
      <c r="C218" s="27"/>
      <c r="D218" s="27"/>
      <c r="E218" s="27"/>
      <c r="F218" s="27"/>
      <c r="G218" s="27" t="s">
        <v>310</v>
      </c>
      <c r="H218" s="27"/>
      <c r="I218" s="27"/>
      <c r="J218" s="252">
        <f>ROUND(SUM(J209:J217),5)</f>
        <v>240827.16</v>
      </c>
      <c r="K218" s="161"/>
      <c r="L218" s="161">
        <f>SUM(L210:L217)</f>
        <v>35215.8024</v>
      </c>
      <c r="M218" s="161"/>
      <c r="N218" s="161">
        <f>SUM(N210:N217)</f>
        <v>205611.35759999999</v>
      </c>
      <c r="O218" s="161"/>
    </row>
    <row r="219" spans="1:15" x14ac:dyDescent="0.25">
      <c r="A219" s="27"/>
      <c r="B219" s="27"/>
      <c r="C219" s="27"/>
      <c r="D219" s="27"/>
      <c r="E219" s="27"/>
      <c r="F219" s="27"/>
      <c r="G219" s="27" t="s">
        <v>311</v>
      </c>
      <c r="H219" s="27"/>
      <c r="I219" s="27"/>
      <c r="J219" s="252"/>
      <c r="K219" s="161"/>
      <c r="L219" s="161"/>
      <c r="M219" s="161"/>
      <c r="N219" s="161"/>
      <c r="O219" s="161"/>
    </row>
    <row r="220" spans="1:15" ht="20.25" x14ac:dyDescent="0.5">
      <c r="B220" s="27"/>
      <c r="C220" s="27"/>
      <c r="D220" s="27"/>
      <c r="E220" s="27"/>
      <c r="F220" s="27"/>
      <c r="G220" s="27"/>
      <c r="H220" s="27" t="s">
        <v>312</v>
      </c>
      <c r="I220" s="27"/>
      <c r="J220" s="252">
        <v>17489.3</v>
      </c>
      <c r="K220" s="273">
        <v>0.14000000000000001</v>
      </c>
      <c r="L220" s="253">
        <f t="shared" ref="L220:L224" si="2">+J220*K220</f>
        <v>2448.502</v>
      </c>
      <c r="M220" s="273">
        <v>0.86</v>
      </c>
      <c r="N220" s="253">
        <f t="shared" ref="N220:N224" si="3">+J220*M220</f>
        <v>15040.797999999999</v>
      </c>
      <c r="O220" s="274" t="s">
        <v>710</v>
      </c>
    </row>
    <row r="221" spans="1:15" s="102" customFormat="1" ht="20.25" x14ac:dyDescent="0.5">
      <c r="A221" s="31"/>
      <c r="B221" s="27"/>
      <c r="C221" s="27"/>
      <c r="D221" s="27"/>
      <c r="E221" s="27"/>
      <c r="F221" s="27"/>
      <c r="G221" s="27"/>
      <c r="H221" s="27" t="s">
        <v>313</v>
      </c>
      <c r="I221" s="27"/>
      <c r="J221" s="252">
        <v>7205.64</v>
      </c>
      <c r="K221" s="273">
        <v>0.14000000000000001</v>
      </c>
      <c r="L221" s="253">
        <f t="shared" si="2"/>
        <v>1008.7896000000002</v>
      </c>
      <c r="M221" s="273">
        <v>0.86</v>
      </c>
      <c r="N221" s="253">
        <f t="shared" si="3"/>
        <v>6196.8504000000003</v>
      </c>
      <c r="O221" s="274" t="s">
        <v>710</v>
      </c>
    </row>
    <row r="222" spans="1:15" ht="20.25" x14ac:dyDescent="0.5">
      <c r="A222" s="27"/>
      <c r="B222" s="27"/>
      <c r="C222" s="27"/>
      <c r="D222" s="27"/>
      <c r="E222" s="27"/>
      <c r="F222" s="27"/>
      <c r="G222" s="27"/>
      <c r="H222" s="27" t="s">
        <v>316</v>
      </c>
      <c r="I222" s="27"/>
      <c r="J222" s="253">
        <v>14030.63</v>
      </c>
      <c r="K222" s="273">
        <v>0.74</v>
      </c>
      <c r="L222" s="253">
        <f t="shared" si="2"/>
        <v>10382.6662</v>
      </c>
      <c r="M222" s="273">
        <v>0.26</v>
      </c>
      <c r="N222" s="253">
        <f t="shared" si="3"/>
        <v>3647.9638</v>
      </c>
      <c r="O222" s="274" t="s">
        <v>711</v>
      </c>
    </row>
    <row r="223" spans="1:15" ht="20.25" x14ac:dyDescent="0.5">
      <c r="A223" s="27"/>
      <c r="B223" s="27"/>
      <c r="C223" s="27"/>
      <c r="D223" s="27"/>
      <c r="E223" s="27"/>
      <c r="F223" s="27"/>
      <c r="G223" s="27"/>
      <c r="H223" s="27" t="s">
        <v>314</v>
      </c>
      <c r="I223" s="27"/>
      <c r="J223" s="252">
        <v>83468.97</v>
      </c>
      <c r="K223" s="273">
        <v>0.14000000000000001</v>
      </c>
      <c r="L223" s="253">
        <f t="shared" si="2"/>
        <v>11685.6558</v>
      </c>
      <c r="M223" s="273">
        <v>0.86</v>
      </c>
      <c r="N223" s="253">
        <f t="shared" si="3"/>
        <v>71783.314199999993</v>
      </c>
      <c r="O223" s="274" t="s">
        <v>710</v>
      </c>
    </row>
    <row r="224" spans="1:15" ht="21" thickBot="1" x14ac:dyDescent="0.55000000000000004">
      <c r="A224" s="27"/>
      <c r="B224" s="27"/>
      <c r="C224" s="27"/>
      <c r="D224" s="27"/>
      <c r="E224" s="27"/>
      <c r="F224" s="27"/>
      <c r="G224" s="27"/>
      <c r="H224" s="27" t="s">
        <v>315</v>
      </c>
      <c r="I224" s="27"/>
      <c r="J224" s="256">
        <v>54741.760000000002</v>
      </c>
      <c r="K224" s="273">
        <v>0.74</v>
      </c>
      <c r="L224" s="256">
        <f t="shared" si="2"/>
        <v>40508.902399999999</v>
      </c>
      <c r="M224" s="273">
        <v>0.26</v>
      </c>
      <c r="N224" s="256">
        <f t="shared" si="3"/>
        <v>14232.857600000001</v>
      </c>
      <c r="O224" s="274" t="s">
        <v>711</v>
      </c>
    </row>
    <row r="225" spans="1:15" x14ac:dyDescent="0.25">
      <c r="A225" s="27"/>
      <c r="B225" s="27"/>
      <c r="C225" s="27"/>
      <c r="D225" s="27"/>
      <c r="E225" s="27"/>
      <c r="F225" s="27"/>
      <c r="G225" s="27" t="s">
        <v>318</v>
      </c>
      <c r="H225" s="27"/>
      <c r="I225" s="27"/>
      <c r="J225" s="252">
        <f>ROUND(SUM(J219:J224),5)</f>
        <v>176936.3</v>
      </c>
      <c r="K225" s="161"/>
      <c r="L225" s="161">
        <f>SUM(L220:L224)</f>
        <v>66034.516000000003</v>
      </c>
      <c r="M225" s="161"/>
      <c r="N225" s="161">
        <f>SUM(N220:N224)</f>
        <v>110901.784</v>
      </c>
      <c r="O225" s="161"/>
    </row>
    <row r="226" spans="1:15" x14ac:dyDescent="0.25">
      <c r="A226" s="27"/>
      <c r="B226" s="27"/>
      <c r="C226" s="27"/>
      <c r="D226" s="27"/>
      <c r="E226" s="27"/>
      <c r="F226" s="27"/>
      <c r="G226" s="27" t="s">
        <v>319</v>
      </c>
      <c r="H226" s="27"/>
      <c r="I226" s="27"/>
      <c r="J226" s="252"/>
      <c r="K226" s="161"/>
      <c r="L226" s="161"/>
      <c r="M226" s="161"/>
      <c r="N226" s="161"/>
      <c r="O226" s="161"/>
    </row>
    <row r="227" spans="1:15" ht="20.25" x14ac:dyDescent="0.5">
      <c r="A227" s="27"/>
      <c r="B227" s="27"/>
      <c r="C227" s="27"/>
      <c r="D227" s="27"/>
      <c r="E227" s="27"/>
      <c r="F227" s="27"/>
      <c r="G227" s="27"/>
      <c r="H227" s="27" t="s">
        <v>320</v>
      </c>
      <c r="I227" s="27"/>
      <c r="J227" s="252">
        <v>13923</v>
      </c>
      <c r="K227" s="273">
        <v>0.14000000000000001</v>
      </c>
      <c r="L227" s="253">
        <f t="shared" ref="L227:L230" si="4">+J227*K227</f>
        <v>1949.2200000000003</v>
      </c>
      <c r="M227" s="273">
        <v>0.86</v>
      </c>
      <c r="N227" s="253">
        <f t="shared" ref="N227:N230" si="5">+J227*M227</f>
        <v>11973.78</v>
      </c>
      <c r="O227" s="274" t="s">
        <v>710</v>
      </c>
    </row>
    <row r="228" spans="1:15" ht="20.25" x14ac:dyDescent="0.5">
      <c r="A228" s="27"/>
      <c r="B228" s="27"/>
      <c r="C228" s="27"/>
      <c r="D228" s="27"/>
      <c r="E228" s="27"/>
      <c r="F228" s="27"/>
      <c r="G228" s="27"/>
      <c r="H228" s="27" t="s">
        <v>321</v>
      </c>
      <c r="I228" s="27"/>
      <c r="J228" s="252">
        <v>6707.73</v>
      </c>
      <c r="K228" s="273">
        <v>0.14000000000000001</v>
      </c>
      <c r="L228" s="253">
        <f t="shared" si="4"/>
        <v>939.08220000000006</v>
      </c>
      <c r="M228" s="273">
        <v>0.86</v>
      </c>
      <c r="N228" s="253">
        <f t="shared" si="5"/>
        <v>5768.6477999999997</v>
      </c>
      <c r="O228" s="274" t="s">
        <v>710</v>
      </c>
    </row>
    <row r="229" spans="1:15" ht="20.25" x14ac:dyDescent="0.5">
      <c r="A229" s="27"/>
      <c r="B229" s="27"/>
      <c r="C229" s="27"/>
      <c r="D229" s="27"/>
      <c r="E229" s="27"/>
      <c r="F229" s="27"/>
      <c r="G229" s="27"/>
      <c r="H229" s="27" t="s">
        <v>322</v>
      </c>
      <c r="I229" s="27"/>
      <c r="J229" s="252">
        <v>125000</v>
      </c>
      <c r="K229" s="273">
        <v>0.14000000000000001</v>
      </c>
      <c r="L229" s="253">
        <f t="shared" si="4"/>
        <v>17500</v>
      </c>
      <c r="M229" s="273">
        <v>0.86</v>
      </c>
      <c r="N229" s="253">
        <f t="shared" si="5"/>
        <v>107500</v>
      </c>
      <c r="O229" s="274" t="s">
        <v>710</v>
      </c>
    </row>
    <row r="230" spans="1:15" ht="21" thickBot="1" x14ac:dyDescent="0.55000000000000004">
      <c r="A230" s="27"/>
      <c r="B230" s="27"/>
      <c r="C230" s="27"/>
      <c r="D230" s="27"/>
      <c r="E230" s="27"/>
      <c r="F230" s="27"/>
      <c r="G230" s="27"/>
      <c r="H230" s="27" t="s">
        <v>323</v>
      </c>
      <c r="I230" s="27"/>
      <c r="J230" s="256">
        <v>232956.9</v>
      </c>
      <c r="K230" s="273">
        <v>0.14000000000000001</v>
      </c>
      <c r="L230" s="256">
        <f t="shared" si="4"/>
        <v>32613.966000000004</v>
      </c>
      <c r="M230" s="273">
        <v>0.86</v>
      </c>
      <c r="N230" s="256">
        <f t="shared" si="5"/>
        <v>200342.93399999998</v>
      </c>
      <c r="O230" s="274" t="s">
        <v>710</v>
      </c>
    </row>
    <row r="231" spans="1:15" ht="20.25" x14ac:dyDescent="0.5">
      <c r="A231" s="27"/>
      <c r="B231" s="27"/>
      <c r="C231" s="27"/>
      <c r="D231" s="27"/>
      <c r="E231" s="27"/>
      <c r="F231" s="27"/>
      <c r="G231" s="27" t="s">
        <v>324</v>
      </c>
      <c r="H231" s="27"/>
      <c r="I231" s="27"/>
      <c r="J231" s="252">
        <f>ROUND(SUM(J226:J230),5)</f>
        <v>378587.63</v>
      </c>
      <c r="K231" s="273"/>
      <c r="L231" s="253">
        <f>SUM(L227:L230)</f>
        <v>53002.268200000006</v>
      </c>
      <c r="M231" s="273"/>
      <c r="N231" s="253">
        <f>SUM(N227:N230)</f>
        <v>325585.36179999996</v>
      </c>
      <c r="O231" s="274"/>
    </row>
    <row r="232" spans="1:15" x14ac:dyDescent="0.25">
      <c r="A232" s="27"/>
      <c r="B232" s="27"/>
      <c r="C232" s="27"/>
      <c r="D232" s="27"/>
      <c r="E232" s="27"/>
      <c r="F232" s="27"/>
      <c r="G232" s="27" t="s">
        <v>325</v>
      </c>
      <c r="H232" s="27"/>
      <c r="I232" s="27"/>
      <c r="J232" s="252"/>
      <c r="K232" s="23"/>
      <c r="L232" s="23"/>
      <c r="M232" s="23"/>
      <c r="N232" s="23"/>
      <c r="O232" s="23"/>
    </row>
    <row r="233" spans="1:15" ht="20.25" x14ac:dyDescent="0.5">
      <c r="A233" s="27"/>
      <c r="B233" s="27"/>
      <c r="C233" s="27"/>
      <c r="D233" s="27"/>
      <c r="E233" s="27"/>
      <c r="F233" s="27"/>
      <c r="G233" s="27"/>
      <c r="H233" s="27" t="s">
        <v>328</v>
      </c>
      <c r="I233" s="27"/>
      <c r="J233" s="252">
        <v>288267.53999999998</v>
      </c>
      <c r="K233" s="273">
        <v>0.74</v>
      </c>
      <c r="L233" s="253">
        <f>J233*K233</f>
        <v>213317.97959999999</v>
      </c>
      <c r="M233" s="273">
        <v>0.26</v>
      </c>
      <c r="N233" s="253">
        <f>J233*M233</f>
        <v>74949.560400000002</v>
      </c>
      <c r="O233" s="274" t="s">
        <v>711</v>
      </c>
    </row>
    <row r="234" spans="1:15" ht="20.25" x14ac:dyDescent="0.5">
      <c r="A234" s="27"/>
      <c r="B234" s="27"/>
      <c r="C234" s="27"/>
      <c r="D234" s="27"/>
      <c r="E234" s="27"/>
      <c r="F234" s="27"/>
      <c r="G234" s="27"/>
      <c r="H234" s="27" t="s">
        <v>330</v>
      </c>
      <c r="I234" s="27"/>
      <c r="J234" s="252">
        <v>26142</v>
      </c>
      <c r="K234" s="273">
        <v>0.14000000000000001</v>
      </c>
      <c r="L234" s="253">
        <f>J234*K234</f>
        <v>3659.8800000000006</v>
      </c>
      <c r="M234" s="273">
        <v>0.86</v>
      </c>
      <c r="N234" s="253">
        <f>J234*M234</f>
        <v>22482.12</v>
      </c>
      <c r="O234" s="274" t="s">
        <v>710</v>
      </c>
    </row>
    <row r="235" spans="1:15" x14ac:dyDescent="0.25">
      <c r="A235" s="27"/>
      <c r="B235" s="27"/>
      <c r="C235" s="27"/>
      <c r="D235" s="27"/>
      <c r="E235" s="27"/>
      <c r="F235" s="27"/>
      <c r="G235" s="27"/>
      <c r="H235" s="27" t="s">
        <v>680</v>
      </c>
      <c r="I235" s="27"/>
      <c r="J235" s="252"/>
      <c r="K235" s="23"/>
      <c r="L235" s="23"/>
      <c r="M235" s="23"/>
      <c r="N235" s="23"/>
      <c r="O235" s="23"/>
    </row>
    <row r="236" spans="1:15" ht="20.25" x14ac:dyDescent="0.5">
      <c r="A236" s="27"/>
      <c r="B236" s="27"/>
      <c r="C236" s="27"/>
      <c r="D236" s="27"/>
      <c r="E236" s="27"/>
      <c r="F236" s="27"/>
      <c r="G236" s="27"/>
      <c r="H236" s="27"/>
      <c r="I236" s="27" t="s">
        <v>681</v>
      </c>
      <c r="J236" s="252">
        <v>1200</v>
      </c>
      <c r="K236" s="273">
        <v>0.14000000000000001</v>
      </c>
      <c r="L236" s="253">
        <f>J236*K236</f>
        <v>168.00000000000003</v>
      </c>
      <c r="M236" s="273">
        <v>0.86</v>
      </c>
      <c r="N236" s="253">
        <f>J236*M236</f>
        <v>1032</v>
      </c>
      <c r="O236" s="274" t="s">
        <v>710</v>
      </c>
    </row>
    <row r="237" spans="1:15" ht="21" thickBot="1" x14ac:dyDescent="0.55000000000000004">
      <c r="A237" s="27"/>
      <c r="B237" s="27"/>
      <c r="C237" s="27"/>
      <c r="D237" s="27"/>
      <c r="E237" s="27"/>
      <c r="F237" s="27"/>
      <c r="G237" s="27"/>
      <c r="H237" s="27"/>
      <c r="I237" s="27" t="s">
        <v>728</v>
      </c>
      <c r="J237" s="253">
        <v>1000</v>
      </c>
      <c r="K237" s="273">
        <v>0.74</v>
      </c>
      <c r="L237" s="256">
        <f>J237*K237</f>
        <v>740</v>
      </c>
      <c r="M237" s="273">
        <v>0.26</v>
      </c>
      <c r="N237" s="256">
        <f>J237*M237</f>
        <v>260</v>
      </c>
      <c r="O237" s="274" t="s">
        <v>711</v>
      </c>
    </row>
    <row r="238" spans="1:15" ht="21" thickBot="1" x14ac:dyDescent="0.55000000000000004">
      <c r="A238" s="27"/>
      <c r="B238" s="27"/>
      <c r="C238" s="27"/>
      <c r="D238" s="27"/>
      <c r="E238" s="27"/>
      <c r="F238" s="27"/>
      <c r="G238" s="27"/>
      <c r="H238" s="27" t="s">
        <v>683</v>
      </c>
      <c r="I238" s="27"/>
      <c r="J238" s="255">
        <f>ROUND(SUM(J235:J237),5)</f>
        <v>2200</v>
      </c>
      <c r="K238" s="273"/>
      <c r="L238" s="255">
        <f>SUM(L236:L237)</f>
        <v>908</v>
      </c>
      <c r="M238" s="273"/>
      <c r="N238" s="255">
        <f>SUM(N236:N237)</f>
        <v>1292</v>
      </c>
      <c r="O238" s="274"/>
    </row>
    <row r="239" spans="1:15" x14ac:dyDescent="0.25">
      <c r="A239" s="27"/>
      <c r="B239" s="27"/>
      <c r="C239" s="27"/>
      <c r="D239" s="27"/>
      <c r="E239" s="27"/>
      <c r="F239" s="27"/>
      <c r="G239" s="27" t="s">
        <v>333</v>
      </c>
      <c r="H239" s="27"/>
      <c r="I239" s="27"/>
      <c r="J239" s="252">
        <f>ROUND(SUM(J232:J234)+J238,5)</f>
        <v>316609.53999999998</v>
      </c>
      <c r="K239" s="23"/>
      <c r="L239" s="28">
        <f>ROUND(SUM(L232:L234)+L238,5)</f>
        <v>217885.8596</v>
      </c>
      <c r="M239" s="23"/>
      <c r="N239" s="28">
        <f>ROUND(SUM(N232:N234)+N238,5)</f>
        <v>98723.680399999997</v>
      </c>
      <c r="O239" s="23"/>
    </row>
    <row r="240" spans="1:15" x14ac:dyDescent="0.25">
      <c r="A240" s="27"/>
      <c r="B240" s="27"/>
      <c r="C240" s="27"/>
      <c r="D240" s="27"/>
      <c r="E240" s="27"/>
      <c r="F240" s="27"/>
      <c r="G240" s="27" t="s">
        <v>340</v>
      </c>
      <c r="H240" s="27"/>
      <c r="I240" s="27"/>
      <c r="J240" s="252"/>
      <c r="K240" s="161"/>
      <c r="L240" s="266"/>
      <c r="M240" s="199"/>
      <c r="N240" s="266"/>
      <c r="O240" s="161"/>
    </row>
    <row r="241" spans="1:15" ht="21" thickBot="1" x14ac:dyDescent="0.55000000000000004">
      <c r="A241" s="27"/>
      <c r="B241" s="27"/>
      <c r="C241" s="27"/>
      <c r="D241" s="27"/>
      <c r="E241" s="27"/>
      <c r="F241" s="27"/>
      <c r="G241" s="27"/>
      <c r="H241" s="27" t="s">
        <v>341</v>
      </c>
      <c r="I241" s="27"/>
      <c r="J241" s="256">
        <v>4740</v>
      </c>
      <c r="K241" s="273">
        <v>0.14000000000000001</v>
      </c>
      <c r="L241" s="256">
        <f>J241*K241</f>
        <v>663.6</v>
      </c>
      <c r="M241" s="273">
        <v>0.86</v>
      </c>
      <c r="N241" s="256">
        <f>J241*M241</f>
        <v>4076.4</v>
      </c>
      <c r="O241" s="274" t="s">
        <v>710</v>
      </c>
    </row>
    <row r="242" spans="1:15" ht="20.25" x14ac:dyDescent="0.5">
      <c r="B242" s="27"/>
      <c r="C242" s="27"/>
      <c r="D242" s="27"/>
      <c r="E242" s="27"/>
      <c r="F242" s="27"/>
      <c r="G242" s="27" t="s">
        <v>342</v>
      </c>
      <c r="H242" s="27"/>
      <c r="I242" s="27"/>
      <c r="J242" s="252">
        <f>ROUND(SUM(J240:J241),5)</f>
        <v>4740</v>
      </c>
      <c r="K242" s="273"/>
      <c r="L242" s="28">
        <f>ROUND(SUM(L240:L241),5)</f>
        <v>663.6</v>
      </c>
      <c r="M242" s="273"/>
      <c r="N242" s="28">
        <f>ROUND(SUM(N240:N241),5)</f>
        <v>4076.4</v>
      </c>
      <c r="O242" s="274"/>
    </row>
    <row r="243" spans="1:15" s="102" customFormat="1" ht="20.25" x14ac:dyDescent="0.5">
      <c r="A243" s="31"/>
      <c r="B243" s="27"/>
      <c r="C243" s="27"/>
      <c r="D243" s="27"/>
      <c r="E243" s="27"/>
      <c r="F243" s="27"/>
      <c r="G243" s="27" t="s">
        <v>343</v>
      </c>
      <c r="H243" s="27"/>
      <c r="I243" s="27"/>
      <c r="J243" s="252"/>
      <c r="K243" s="273"/>
      <c r="L243" s="253"/>
      <c r="M243" s="273"/>
      <c r="N243" s="253"/>
      <c r="O243" s="274"/>
    </row>
    <row r="244" spans="1:15" ht="20.25" x14ac:dyDescent="0.5">
      <c r="A244" s="27"/>
      <c r="B244" s="27"/>
      <c r="C244" s="27"/>
      <c r="D244" s="27"/>
      <c r="E244" s="27"/>
      <c r="F244" s="27"/>
      <c r="G244" s="27"/>
      <c r="H244" s="27" t="s">
        <v>344</v>
      </c>
      <c r="I244" s="27"/>
      <c r="J244" s="252">
        <f>36739+20000</f>
        <v>56739</v>
      </c>
      <c r="K244" s="273">
        <v>1</v>
      </c>
      <c r="L244" s="253">
        <f>J244*K244</f>
        <v>56739</v>
      </c>
      <c r="M244" s="273"/>
      <c r="N244" s="253">
        <f>J244*M244</f>
        <v>0</v>
      </c>
      <c r="O244" s="274" t="s">
        <v>712</v>
      </c>
    </row>
    <row r="245" spans="1:15" ht="20.25" x14ac:dyDescent="0.5">
      <c r="A245" s="27"/>
      <c r="B245" s="27"/>
      <c r="C245" s="27"/>
      <c r="D245" s="27"/>
      <c r="E245" s="27"/>
      <c r="F245" s="27"/>
      <c r="G245" s="27"/>
      <c r="H245" s="27" t="s">
        <v>345</v>
      </c>
      <c r="I245" s="27"/>
      <c r="J245" s="252">
        <f>13599.55+150000</f>
        <v>163599.54999999999</v>
      </c>
      <c r="K245" s="273">
        <v>1</v>
      </c>
      <c r="L245" s="253">
        <f t="shared" ref="L245:L247" si="6">J245*K245</f>
        <v>163599.54999999999</v>
      </c>
      <c r="M245" s="273"/>
      <c r="N245" s="253">
        <f t="shared" ref="N245:N247" si="7">J245*M245</f>
        <v>0</v>
      </c>
      <c r="O245" s="274" t="s">
        <v>712</v>
      </c>
    </row>
    <row r="246" spans="1:15" ht="20.25" x14ac:dyDescent="0.5">
      <c r="A246" s="27"/>
      <c r="B246" s="27"/>
      <c r="C246" s="27"/>
      <c r="D246" s="27"/>
      <c r="E246" s="27"/>
      <c r="F246" s="27"/>
      <c r="G246" s="27"/>
      <c r="H246" s="27" t="s">
        <v>346</v>
      </c>
      <c r="I246" s="27"/>
      <c r="J246" s="252">
        <v>849857.77</v>
      </c>
      <c r="K246" s="273">
        <v>1</v>
      </c>
      <c r="L246" s="253">
        <f t="shared" si="6"/>
        <v>849857.77</v>
      </c>
      <c r="M246" s="273"/>
      <c r="N246" s="253">
        <f t="shared" si="7"/>
        <v>0</v>
      </c>
      <c r="O246" s="274" t="s">
        <v>712</v>
      </c>
    </row>
    <row r="247" spans="1:15" ht="21" thickBot="1" x14ac:dyDescent="0.55000000000000004">
      <c r="A247" s="27"/>
      <c r="B247" s="27"/>
      <c r="C247" s="27"/>
      <c r="D247" s="27"/>
      <c r="E247" s="27"/>
      <c r="F247" s="27"/>
      <c r="G247" s="27"/>
      <c r="H247" s="27" t="s">
        <v>347</v>
      </c>
      <c r="I247" s="27"/>
      <c r="J247" s="253">
        <v>43508.78</v>
      </c>
      <c r="K247" s="273">
        <v>1</v>
      </c>
      <c r="L247" s="256">
        <f t="shared" si="6"/>
        <v>43508.78</v>
      </c>
      <c r="M247" s="273"/>
      <c r="N247" s="256">
        <f t="shared" si="7"/>
        <v>0</v>
      </c>
      <c r="O247" s="274" t="s">
        <v>712</v>
      </c>
    </row>
    <row r="248" spans="1:15" ht="15.75" thickBot="1" x14ac:dyDescent="0.3">
      <c r="A248" s="27"/>
      <c r="B248" s="27"/>
      <c r="C248" s="27"/>
      <c r="D248" s="27"/>
      <c r="E248" s="27"/>
      <c r="F248" s="27"/>
      <c r="G248" s="27" t="s">
        <v>353</v>
      </c>
      <c r="H248" s="27"/>
      <c r="I248" s="27"/>
      <c r="J248" s="254">
        <f>ROUND(SUM(J243:J247),5)</f>
        <v>1113705.1000000001</v>
      </c>
      <c r="L248" s="34">
        <f>ROUND(SUM(L243:L247),5)</f>
        <v>1113705.1000000001</v>
      </c>
      <c r="N248" s="34">
        <f>ROUND(SUM(N243:N247),5)</f>
        <v>0</v>
      </c>
    </row>
    <row r="249" spans="1:15" ht="15.75" thickBot="1" x14ac:dyDescent="0.3">
      <c r="A249" s="27"/>
      <c r="B249" s="27"/>
      <c r="C249" s="27"/>
      <c r="D249" s="27"/>
      <c r="E249" s="27"/>
      <c r="F249" s="27" t="s">
        <v>355</v>
      </c>
      <c r="G249" s="27"/>
      <c r="H249" s="27"/>
      <c r="I249" s="27"/>
      <c r="J249" s="254">
        <f>ROUND(J205+J208+J218+J225+J231+J239+J242+J248,5)</f>
        <v>2456405.73</v>
      </c>
      <c r="K249" s="161"/>
      <c r="L249" s="288">
        <f>ROUND(L205+L208+L218+L225+L231+L239+L242+L248,5)</f>
        <v>1653007.1462000001</v>
      </c>
      <c r="M249" s="199"/>
      <c r="N249" s="288">
        <f>ROUND(N205+N208+N218+N225+N231+N239+N242+N248,5)</f>
        <v>803398.58380000002</v>
      </c>
      <c r="O249" s="161"/>
    </row>
    <row r="250" spans="1:15" ht="15.75" thickBot="1" x14ac:dyDescent="0.3">
      <c r="A250" s="27"/>
      <c r="B250" s="27"/>
      <c r="C250" s="27"/>
      <c r="D250" s="27"/>
      <c r="E250" s="27" t="s">
        <v>356</v>
      </c>
      <c r="F250" s="27"/>
      <c r="G250" s="27"/>
      <c r="H250" s="27"/>
      <c r="I250" s="27"/>
      <c r="J250" s="254">
        <f>ROUND(J59+J106+J141+J150+J174+J192+J195+J249+J204,5)</f>
        <v>6746292.3399999999</v>
      </c>
      <c r="K250" s="161"/>
      <c r="L250" s="278">
        <f>+L249+N249-J249</f>
        <v>0</v>
      </c>
      <c r="M250" s="199"/>
      <c r="N250" s="278"/>
      <c r="O250" s="161"/>
    </row>
    <row r="251" spans="1:15" ht="15.75" thickBot="1" x14ac:dyDescent="0.3">
      <c r="A251" s="27"/>
      <c r="B251" s="27"/>
      <c r="C251" s="27"/>
      <c r="D251" s="27" t="s">
        <v>357</v>
      </c>
      <c r="E251" s="27"/>
      <c r="F251" s="27"/>
      <c r="G251" s="27"/>
      <c r="H251" s="27"/>
      <c r="I251" s="27"/>
      <c r="J251" s="255">
        <f>ROUND(J58+J250,5)</f>
        <v>6746292.3399999999</v>
      </c>
      <c r="K251" s="161"/>
      <c r="L251" s="199" t="e">
        <f>L249-(#REF!+#REF!+#REF!+#REF!+#REF!+#REF!)</f>
        <v>#REF!</v>
      </c>
      <c r="M251" s="199"/>
      <c r="N251" s="199"/>
      <c r="O251" s="161"/>
    </row>
    <row r="252" spans="1:15" x14ac:dyDescent="0.25">
      <c r="A252" s="27"/>
      <c r="B252" s="27" t="s">
        <v>358</v>
      </c>
      <c r="C252" s="27"/>
      <c r="D252" s="27"/>
      <c r="E252" s="27"/>
      <c r="F252" s="27"/>
      <c r="G252" s="27"/>
      <c r="H252" s="27"/>
      <c r="I252" s="27"/>
      <c r="J252" s="252">
        <f>ROUND(J4+J57-J251,5)</f>
        <v>-4011842.38</v>
      </c>
      <c r="K252" s="161"/>
      <c r="L252" s="199"/>
      <c r="M252" s="199"/>
      <c r="N252" s="199"/>
      <c r="O252" s="161"/>
    </row>
    <row r="253" spans="1:15" ht="30" customHeight="1" x14ac:dyDescent="0.25">
      <c r="A253" s="27"/>
      <c r="B253" s="27" t="s">
        <v>359</v>
      </c>
      <c r="C253" s="27"/>
      <c r="D253" s="27"/>
      <c r="E253" s="27"/>
      <c r="F253" s="27"/>
      <c r="G253" s="27"/>
      <c r="H253" s="27"/>
      <c r="I253" s="27"/>
      <c r="J253" s="252"/>
      <c r="K253" s="161"/>
      <c r="L253" s="199"/>
      <c r="M253" s="199"/>
      <c r="N253" s="199"/>
      <c r="O253" s="161"/>
    </row>
    <row r="254" spans="1:15" x14ac:dyDescent="0.25">
      <c r="A254" s="27"/>
      <c r="B254" s="27"/>
      <c r="C254" s="27" t="s">
        <v>360</v>
      </c>
      <c r="D254" s="27"/>
      <c r="E254" s="27"/>
      <c r="F254" s="27"/>
      <c r="G254" s="27"/>
      <c r="H254" s="27"/>
      <c r="I254" s="27"/>
      <c r="J254" s="252"/>
      <c r="K254" s="161"/>
      <c r="L254" s="199"/>
      <c r="M254" s="199"/>
      <c r="N254" s="199"/>
      <c r="O254" s="161"/>
    </row>
    <row r="255" spans="1:15" x14ac:dyDescent="0.25">
      <c r="A255" s="27"/>
      <c r="B255" s="27"/>
      <c r="C255" s="27"/>
      <c r="D255" s="27" t="s">
        <v>361</v>
      </c>
      <c r="E255" s="27"/>
      <c r="F255" s="27"/>
      <c r="G255" s="27"/>
      <c r="H255" s="27"/>
      <c r="I255" s="27"/>
      <c r="J255" s="252"/>
      <c r="K255" s="161"/>
      <c r="L255" s="199"/>
      <c r="M255" s="199"/>
      <c r="N255" s="199"/>
      <c r="O255" s="161"/>
    </row>
    <row r="256" spans="1:15" x14ac:dyDescent="0.25">
      <c r="A256" s="27"/>
      <c r="B256" s="27"/>
      <c r="C256" s="27"/>
      <c r="D256" s="27"/>
      <c r="E256" s="27" t="s">
        <v>362</v>
      </c>
      <c r="F256" s="27"/>
      <c r="G256" s="27"/>
      <c r="H256" s="27"/>
      <c r="I256" s="27"/>
      <c r="J256" s="252">
        <v>2000</v>
      </c>
      <c r="K256" s="161"/>
      <c r="L256" s="199"/>
      <c r="M256" s="199"/>
      <c r="N256" s="199"/>
      <c r="O256" s="161"/>
    </row>
    <row r="257" spans="1:15" x14ac:dyDescent="0.25">
      <c r="A257" s="27"/>
      <c r="B257" s="27"/>
      <c r="C257" s="27"/>
      <c r="D257" s="27"/>
      <c r="E257" s="27" t="s">
        <v>673</v>
      </c>
      <c r="F257" s="27"/>
      <c r="G257" s="27"/>
      <c r="H257" s="27"/>
      <c r="I257" s="27"/>
      <c r="J257" s="252">
        <v>1951287.3</v>
      </c>
      <c r="K257" s="161"/>
      <c r="L257" s="199"/>
      <c r="M257" s="199"/>
      <c r="N257" s="199"/>
      <c r="O257" s="161"/>
    </row>
    <row r="258" spans="1:15" ht="15.75" thickBot="1" x14ac:dyDescent="0.3">
      <c r="A258" s="27"/>
      <c r="B258" s="27"/>
      <c r="C258" s="27"/>
      <c r="D258" s="27"/>
      <c r="E258" s="27" t="s">
        <v>729</v>
      </c>
      <c r="F258" s="27"/>
      <c r="G258" s="27"/>
      <c r="H258" s="27"/>
      <c r="I258" s="27"/>
      <c r="J258" s="253">
        <v>491.13</v>
      </c>
      <c r="K258" s="102"/>
      <c r="L258" s="282"/>
      <c r="M258" s="282"/>
      <c r="N258" s="282"/>
      <c r="O258" s="102"/>
    </row>
    <row r="259" spans="1:15" ht="15.75" thickBot="1" x14ac:dyDescent="0.3">
      <c r="A259" s="27"/>
      <c r="B259" s="27"/>
      <c r="C259" s="27"/>
      <c r="D259" s="27" t="s">
        <v>366</v>
      </c>
      <c r="E259" s="27"/>
      <c r="F259" s="27"/>
      <c r="G259" s="27"/>
      <c r="H259" s="27"/>
      <c r="I259" s="27"/>
      <c r="J259" s="255">
        <f>ROUND(SUM(J255:J258),5)</f>
        <v>1953778.43</v>
      </c>
      <c r="K259" s="23"/>
      <c r="L259" s="225"/>
      <c r="M259" s="225"/>
      <c r="N259" s="225"/>
      <c r="O259" s="23"/>
    </row>
    <row r="260" spans="1:15" x14ac:dyDescent="0.25">
      <c r="A260" s="27"/>
      <c r="B260" s="27"/>
      <c r="C260" s="27" t="s">
        <v>367</v>
      </c>
      <c r="D260" s="27"/>
      <c r="E260" s="27"/>
      <c r="F260" s="27"/>
      <c r="G260" s="27"/>
      <c r="H260" s="27"/>
      <c r="I260" s="27"/>
      <c r="J260" s="252">
        <f>ROUND(J254+J259,5)</f>
        <v>1953778.43</v>
      </c>
      <c r="K260" s="23"/>
      <c r="L260" s="225"/>
      <c r="M260" s="225"/>
      <c r="N260" s="225"/>
      <c r="O260" s="23"/>
    </row>
    <row r="261" spans="1:15" x14ac:dyDescent="0.25">
      <c r="A261" s="27"/>
      <c r="B261" s="27"/>
      <c r="C261" s="27" t="s">
        <v>368</v>
      </c>
      <c r="D261" s="27"/>
      <c r="E261" s="27"/>
      <c r="F261" s="27"/>
      <c r="G261" s="27"/>
      <c r="H261" s="27"/>
      <c r="I261" s="27"/>
      <c r="J261" s="252"/>
      <c r="K261" s="23"/>
      <c r="L261" s="225"/>
      <c r="M261" s="225"/>
      <c r="N261" s="225"/>
      <c r="O261" s="23"/>
    </row>
    <row r="262" spans="1:15" x14ac:dyDescent="0.25">
      <c r="A262" s="27"/>
      <c r="B262" s="27"/>
      <c r="C262" s="27"/>
      <c r="D262" s="27"/>
      <c r="E262" s="27"/>
      <c r="F262" s="27"/>
      <c r="G262" s="27" t="s">
        <v>334</v>
      </c>
      <c r="H262" s="27"/>
      <c r="I262" s="27"/>
      <c r="J262" s="252"/>
      <c r="K262" s="23"/>
      <c r="L262" s="225"/>
      <c r="M262" s="225"/>
      <c r="N262" s="225"/>
      <c r="O262" s="23"/>
    </row>
    <row r="263" spans="1:15" x14ac:dyDescent="0.25">
      <c r="A263" s="27"/>
      <c r="B263" s="27"/>
      <c r="C263" s="27"/>
      <c r="D263" s="27"/>
      <c r="E263" s="27"/>
      <c r="F263" s="27"/>
      <c r="G263" s="27"/>
      <c r="H263" s="27" t="s">
        <v>335</v>
      </c>
      <c r="I263" s="27"/>
      <c r="J263" s="252">
        <v>38631.07</v>
      </c>
      <c r="K263" s="23"/>
      <c r="L263" s="225"/>
      <c r="M263" s="225"/>
      <c r="N263" s="225"/>
      <c r="O263" s="23"/>
    </row>
    <row r="264" spans="1:15" x14ac:dyDescent="0.25">
      <c r="A264" s="27"/>
      <c r="B264" s="27"/>
      <c r="C264" s="27"/>
      <c r="D264" s="27"/>
      <c r="E264" s="27"/>
      <c r="F264" s="27"/>
      <c r="G264" s="27"/>
      <c r="H264" s="27" t="s">
        <v>336</v>
      </c>
      <c r="I264" s="27"/>
      <c r="J264" s="253">
        <v>99198.77</v>
      </c>
      <c r="K264" s="23"/>
      <c r="L264" s="277"/>
      <c r="M264" s="225"/>
      <c r="N264" s="283"/>
      <c r="O264" s="23"/>
    </row>
    <row r="265" spans="1:15" x14ac:dyDescent="0.25">
      <c r="A265" s="27"/>
      <c r="B265" s="27"/>
      <c r="C265" s="27"/>
      <c r="D265" s="27"/>
      <c r="E265" s="27"/>
      <c r="F265" s="27"/>
      <c r="G265" s="27"/>
      <c r="H265" s="27" t="s">
        <v>337</v>
      </c>
      <c r="I265" s="27"/>
      <c r="J265" s="253">
        <v>20493.689999999999</v>
      </c>
      <c r="K265" s="23"/>
      <c r="L265" s="283"/>
      <c r="M265" s="225"/>
      <c r="N265" s="283"/>
      <c r="O265" s="23"/>
    </row>
    <row r="266" spans="1:15" x14ac:dyDescent="0.25">
      <c r="A266" s="27"/>
      <c r="B266" s="27"/>
      <c r="C266" s="27"/>
      <c r="D266" s="27"/>
      <c r="E266" s="27"/>
      <c r="F266" s="27"/>
      <c r="G266" s="27"/>
      <c r="H266" s="27" t="s">
        <v>256</v>
      </c>
      <c r="I266" s="27"/>
      <c r="J266" s="253">
        <v>10743.1</v>
      </c>
      <c r="K266" s="23"/>
      <c r="L266" s="283"/>
      <c r="M266" s="225"/>
      <c r="N266" s="225"/>
      <c r="O266" s="23"/>
    </row>
    <row r="267" spans="1:15" x14ac:dyDescent="0.25">
      <c r="A267" s="27"/>
      <c r="B267" s="27"/>
      <c r="C267" s="27"/>
      <c r="D267" s="27"/>
      <c r="E267" s="27"/>
      <c r="F267" s="27"/>
      <c r="G267" s="27"/>
      <c r="H267" s="27" t="s">
        <v>270</v>
      </c>
      <c r="I267" s="27"/>
      <c r="J267" s="253">
        <v>6834.52</v>
      </c>
      <c r="K267" s="23"/>
      <c r="L267" s="283"/>
      <c r="M267" s="225"/>
      <c r="N267" s="225"/>
      <c r="O267" s="23"/>
    </row>
    <row r="268" spans="1:15" x14ac:dyDescent="0.25">
      <c r="A268" s="27"/>
      <c r="B268" s="27"/>
      <c r="C268" s="27"/>
      <c r="D268" s="27"/>
      <c r="E268" s="27"/>
      <c r="F268" s="27"/>
      <c r="G268" s="27"/>
      <c r="H268" s="27" t="s">
        <v>257</v>
      </c>
      <c r="I268" s="27"/>
      <c r="J268" s="253">
        <v>19906.79</v>
      </c>
      <c r="K268" s="23"/>
      <c r="L268" s="283"/>
      <c r="M268" s="225"/>
      <c r="N268" s="225"/>
      <c r="O268" s="23"/>
    </row>
    <row r="269" spans="1:15" x14ac:dyDescent="0.25">
      <c r="A269" s="27"/>
      <c r="B269" s="27"/>
      <c r="C269" s="27"/>
      <c r="D269" s="27"/>
      <c r="E269" s="27"/>
      <c r="F269" s="27"/>
      <c r="G269" s="27" t="s">
        <v>277</v>
      </c>
      <c r="H269" s="27"/>
      <c r="I269" s="27"/>
      <c r="J269" s="253">
        <v>19434.7</v>
      </c>
      <c r="K269" s="23"/>
      <c r="L269" s="225"/>
      <c r="M269" s="225"/>
      <c r="N269" s="225"/>
      <c r="O269" s="23"/>
    </row>
    <row r="270" spans="1:15" x14ac:dyDescent="0.25">
      <c r="A270" s="27"/>
      <c r="B270" s="27"/>
      <c r="C270" s="27"/>
      <c r="D270" s="27"/>
      <c r="E270" s="27"/>
      <c r="F270" s="27"/>
      <c r="G270" s="27"/>
      <c r="H270" s="27" t="s">
        <v>204</v>
      </c>
      <c r="I270" s="27"/>
      <c r="J270" s="253">
        <v>144808</v>
      </c>
      <c r="K270" s="23"/>
      <c r="L270" s="225"/>
      <c r="M270" s="225"/>
      <c r="N270" s="225"/>
      <c r="O270" s="23"/>
    </row>
    <row r="271" spans="1:15" x14ac:dyDescent="0.25">
      <c r="A271" s="27"/>
      <c r="B271" s="27"/>
      <c r="C271" s="27"/>
      <c r="D271" s="27"/>
      <c r="E271" s="27"/>
      <c r="F271" s="27"/>
      <c r="G271" s="27"/>
      <c r="H271" s="27" t="s">
        <v>205</v>
      </c>
      <c r="I271" s="27"/>
      <c r="J271" s="252">
        <v>100000.66</v>
      </c>
      <c r="K271" s="23"/>
      <c r="L271" s="225"/>
      <c r="M271" s="225"/>
      <c r="N271" s="225"/>
      <c r="O271" s="23"/>
    </row>
    <row r="272" spans="1:15" ht="15.75" thickBot="1" x14ac:dyDescent="0.3">
      <c r="A272" s="27"/>
      <c r="B272" s="27"/>
      <c r="C272" s="27"/>
      <c r="D272" s="27"/>
      <c r="E272" s="27"/>
      <c r="F272" s="27"/>
      <c r="G272" s="27"/>
      <c r="H272" s="27" t="s">
        <v>206</v>
      </c>
      <c r="I272" s="27"/>
      <c r="J272" s="256">
        <v>125300.53</v>
      </c>
      <c r="K272" s="23"/>
      <c r="L272" s="225"/>
      <c r="M272" s="225"/>
      <c r="N272" s="225"/>
      <c r="O272" s="23"/>
    </row>
    <row r="273" spans="1:15" ht="15.75" thickBot="1" x14ac:dyDescent="0.3">
      <c r="A273" s="27"/>
      <c r="B273" s="27"/>
      <c r="C273" s="27"/>
      <c r="D273" s="27" t="s">
        <v>369</v>
      </c>
      <c r="E273" s="27"/>
      <c r="F273" s="27"/>
      <c r="G273" s="27"/>
      <c r="H273" s="27"/>
      <c r="I273" s="27"/>
      <c r="J273" s="253">
        <f>SUM(J263:J272)</f>
        <v>585351.83000000007</v>
      </c>
      <c r="K273" s="23"/>
      <c r="L273" s="225"/>
      <c r="M273" s="225"/>
      <c r="N273" s="225"/>
      <c r="O273" s="23"/>
    </row>
    <row r="274" spans="1:15" ht="15.75" thickBot="1" x14ac:dyDescent="0.3">
      <c r="A274" s="27"/>
      <c r="B274" s="27"/>
      <c r="C274" s="27" t="s">
        <v>370</v>
      </c>
      <c r="D274" s="27"/>
      <c r="E274" s="27"/>
      <c r="F274" s="27"/>
      <c r="G274" s="27"/>
      <c r="H274" s="27"/>
      <c r="I274" s="27"/>
      <c r="J274" s="254">
        <f>SUM(J273)</f>
        <v>585351.83000000007</v>
      </c>
      <c r="K274" s="23"/>
      <c r="L274" s="225"/>
      <c r="M274" s="225"/>
      <c r="N274" s="225"/>
      <c r="O274" s="23"/>
    </row>
    <row r="275" spans="1:15" ht="15.75" thickBot="1" x14ac:dyDescent="0.3">
      <c r="A275" s="27"/>
      <c r="B275" s="27" t="s">
        <v>371</v>
      </c>
      <c r="C275" s="27"/>
      <c r="D275" s="27"/>
      <c r="E275" s="27"/>
      <c r="F275" s="27"/>
      <c r="G275" s="27"/>
      <c r="H275" s="27"/>
      <c r="I275" s="27"/>
      <c r="J275" s="254">
        <f>J260-J274</f>
        <v>1368426.5999999999</v>
      </c>
      <c r="K275" s="23"/>
      <c r="L275" s="283"/>
      <c r="M275" s="225"/>
      <c r="N275" s="225"/>
      <c r="O275" s="23"/>
    </row>
    <row r="276" spans="1:15" ht="15.75" thickBot="1" x14ac:dyDescent="0.3">
      <c r="A276" s="27"/>
      <c r="B276" s="27"/>
      <c r="C276" s="27"/>
      <c r="D276" s="27"/>
      <c r="E276" s="27"/>
      <c r="F276" s="27"/>
      <c r="G276" s="27"/>
      <c r="H276" s="27"/>
      <c r="I276" s="27"/>
      <c r="J276" s="258">
        <f>SUM(J275+J252)</f>
        <v>-2643415.7800000003</v>
      </c>
      <c r="K276" s="23"/>
      <c r="L276" s="283"/>
      <c r="M276" s="225"/>
      <c r="N276" s="225"/>
      <c r="O276" s="23"/>
    </row>
    <row r="277" spans="1:15" ht="15.75" thickTop="1" x14ac:dyDescent="0.25">
      <c r="A277" s="27"/>
      <c r="K277" s="23"/>
      <c r="L277" s="225"/>
      <c r="M277" s="225"/>
      <c r="N277" s="225"/>
      <c r="O277" s="23"/>
    </row>
    <row r="278" spans="1:15" x14ac:dyDescent="0.25">
      <c r="A278" s="27"/>
      <c r="K278" s="23"/>
      <c r="L278" s="225"/>
      <c r="M278" s="225"/>
      <c r="N278" s="225"/>
      <c r="O278" s="23"/>
    </row>
    <row r="279" spans="1:15" s="102" customFormat="1" ht="15.75" thickBot="1" x14ac:dyDescent="0.3">
      <c r="A279" s="31"/>
      <c r="B279" s="31"/>
      <c r="C279" s="31"/>
      <c r="D279" s="31"/>
      <c r="E279" s="31"/>
      <c r="F279" s="31"/>
      <c r="G279" s="31"/>
      <c r="H279" s="31"/>
      <c r="I279" s="31"/>
      <c r="J279" s="280" t="s">
        <v>730</v>
      </c>
    </row>
    <row r="280" spans="1:15" ht="16.5" thickTop="1" x14ac:dyDescent="0.25">
      <c r="A280" s="248" t="s">
        <v>630</v>
      </c>
      <c r="B280" s="27" t="s">
        <v>53</v>
      </c>
      <c r="C280" s="27"/>
      <c r="D280" s="27"/>
      <c r="E280" s="27"/>
      <c r="F280" s="27"/>
      <c r="G280" s="27"/>
      <c r="H280" s="27"/>
      <c r="I280" s="27"/>
      <c r="J280" s="266"/>
      <c r="K280" s="23"/>
      <c r="L280" s="23"/>
      <c r="M280" s="23"/>
      <c r="N280" s="23"/>
      <c r="O280" s="23"/>
    </row>
    <row r="281" spans="1:15" x14ac:dyDescent="0.25">
      <c r="A281" s="27"/>
      <c r="B281" s="27"/>
      <c r="C281" s="27"/>
      <c r="D281" s="27"/>
      <c r="E281" s="27"/>
      <c r="F281" s="27" t="s">
        <v>54</v>
      </c>
      <c r="G281" s="27"/>
      <c r="H281" s="27"/>
      <c r="I281" s="27"/>
      <c r="J281" s="266"/>
      <c r="K281" s="23"/>
      <c r="L281" s="23"/>
      <c r="M281" s="23"/>
      <c r="N281" s="23"/>
      <c r="O281" s="23"/>
    </row>
    <row r="282" spans="1:15" x14ac:dyDescent="0.25">
      <c r="A282" s="27"/>
      <c r="B282" s="27"/>
      <c r="C282" s="27"/>
      <c r="D282" s="27"/>
      <c r="E282" s="27"/>
      <c r="F282" s="27"/>
      <c r="G282" s="27" t="s">
        <v>427</v>
      </c>
      <c r="H282" s="27"/>
      <c r="I282" s="27"/>
      <c r="J282" s="266">
        <v>4734001.0199999996</v>
      </c>
      <c r="K282" s="23"/>
      <c r="L282" s="23"/>
      <c r="M282" s="23"/>
      <c r="N282" s="23"/>
      <c r="O282" s="23"/>
    </row>
    <row r="283" spans="1:15" x14ac:dyDescent="0.25">
      <c r="A283" s="27"/>
      <c r="B283" s="27"/>
      <c r="C283" s="27"/>
      <c r="D283" s="27"/>
      <c r="E283" s="27"/>
      <c r="F283" s="27"/>
      <c r="G283" s="27" t="s">
        <v>423</v>
      </c>
      <c r="H283" s="27"/>
      <c r="I283" s="27"/>
      <c r="J283" s="266"/>
      <c r="K283" s="23"/>
      <c r="L283" s="23"/>
      <c r="M283" s="23"/>
      <c r="N283" s="23"/>
      <c r="O283" s="23"/>
    </row>
    <row r="284" spans="1:15" ht="15.75" thickBot="1" x14ac:dyDescent="0.3">
      <c r="A284" s="27"/>
      <c r="B284" s="27"/>
      <c r="C284" s="27"/>
      <c r="D284" s="27"/>
      <c r="E284" s="27"/>
      <c r="F284" s="27"/>
      <c r="G284" s="27"/>
      <c r="H284" s="27" t="s">
        <v>424</v>
      </c>
      <c r="I284" s="27"/>
      <c r="J284" s="263">
        <v>28456.25</v>
      </c>
      <c r="K284" s="23"/>
      <c r="L284" s="23"/>
      <c r="M284" s="23"/>
      <c r="N284" s="23"/>
      <c r="O284" s="23"/>
    </row>
    <row r="285" spans="1:15" ht="15.75" thickBot="1" x14ac:dyDescent="0.3">
      <c r="A285" s="27"/>
      <c r="B285" s="27"/>
      <c r="C285" s="27"/>
      <c r="D285" s="27"/>
      <c r="E285" s="27"/>
      <c r="F285" s="27"/>
      <c r="G285" s="27" t="s">
        <v>425</v>
      </c>
      <c r="H285" s="27"/>
      <c r="I285" s="27"/>
      <c r="J285" s="278">
        <f>ROUND(SUM(J283:J284),5)</f>
        <v>28456.25</v>
      </c>
      <c r="K285" s="23"/>
      <c r="L285" s="23"/>
      <c r="M285" s="23"/>
      <c r="N285" s="23"/>
      <c r="O285" s="23"/>
    </row>
    <row r="286" spans="1:15" ht="15.75" thickBot="1" x14ac:dyDescent="0.3">
      <c r="A286" s="27"/>
      <c r="B286" s="27"/>
      <c r="C286" s="27"/>
      <c r="D286" s="27"/>
      <c r="E286" s="27"/>
      <c r="F286" s="27" t="s">
        <v>88</v>
      </c>
      <c r="G286" s="27"/>
      <c r="H286" s="27"/>
      <c r="I286" s="27"/>
      <c r="J286" s="268">
        <f>ROUND(SUM(J281:J282)+J285,5)</f>
        <v>4762457.2699999996</v>
      </c>
      <c r="K286" s="23"/>
      <c r="L286" s="23"/>
      <c r="M286" s="23"/>
      <c r="N286" s="23"/>
      <c r="O286" s="23"/>
    </row>
    <row r="287" spans="1:15" x14ac:dyDescent="0.25">
      <c r="A287" s="27"/>
      <c r="B287" s="27"/>
      <c r="C287" s="27" t="s">
        <v>147</v>
      </c>
      <c r="D287" s="27"/>
      <c r="E287" s="27"/>
      <c r="F287" s="27"/>
      <c r="G287" s="27"/>
      <c r="H287" s="27"/>
      <c r="I287" s="27"/>
      <c r="J287" s="266">
        <f>J286</f>
        <v>4762457.2699999996</v>
      </c>
      <c r="K287" s="23"/>
      <c r="L287" s="23"/>
      <c r="M287" s="23"/>
      <c r="N287" s="23"/>
      <c r="O287" s="23"/>
    </row>
    <row r="288" spans="1:15" x14ac:dyDescent="0.25">
      <c r="A288" s="27"/>
      <c r="B288" s="27"/>
      <c r="C288" s="27"/>
      <c r="D288" s="27"/>
      <c r="E288" s="27"/>
      <c r="F288" s="27" t="s">
        <v>148</v>
      </c>
      <c r="G288" s="27"/>
      <c r="H288" s="27"/>
      <c r="I288" s="27"/>
      <c r="J288" s="266"/>
      <c r="K288" s="23"/>
      <c r="L288" s="23"/>
      <c r="M288" s="23"/>
      <c r="N288" s="23"/>
      <c r="O288" s="23"/>
    </row>
    <row r="289" spans="1:15" x14ac:dyDescent="0.25">
      <c r="A289" s="27"/>
      <c r="B289" s="27"/>
      <c r="C289" s="27"/>
      <c r="D289" s="27"/>
      <c r="E289" s="27"/>
      <c r="F289" s="27"/>
      <c r="G289" s="27" t="s">
        <v>696</v>
      </c>
      <c r="H289" s="27"/>
      <c r="I289" s="27"/>
      <c r="J289" s="266">
        <v>25240.560000000001</v>
      </c>
      <c r="K289" s="23"/>
      <c r="L289" s="23"/>
      <c r="M289" s="23"/>
      <c r="N289" s="23"/>
      <c r="O289" s="23"/>
    </row>
    <row r="290" spans="1:15" x14ac:dyDescent="0.25">
      <c r="A290" s="27"/>
      <c r="B290" s="27"/>
      <c r="C290" s="27"/>
      <c r="D290" s="27"/>
      <c r="E290" s="27"/>
      <c r="F290" s="27"/>
      <c r="G290" s="27" t="s">
        <v>717</v>
      </c>
      <c r="H290" s="27"/>
      <c r="I290" s="27"/>
      <c r="J290" s="266"/>
      <c r="K290" s="23"/>
      <c r="L290" s="225"/>
      <c r="M290" s="225"/>
      <c r="N290" s="225"/>
      <c r="O290" s="23"/>
    </row>
    <row r="291" spans="1:15" x14ac:dyDescent="0.25">
      <c r="A291" s="27"/>
      <c r="B291" s="27"/>
      <c r="C291" s="27"/>
      <c r="D291" s="27"/>
      <c r="E291" s="27"/>
      <c r="F291" s="27"/>
      <c r="G291" s="27"/>
      <c r="H291" s="27" t="s">
        <v>718</v>
      </c>
      <c r="I291" s="27"/>
      <c r="J291" s="266">
        <v>125314.79</v>
      </c>
      <c r="K291" s="23"/>
      <c r="L291" s="225"/>
      <c r="M291" s="225"/>
      <c r="N291" s="225"/>
      <c r="O291" s="23"/>
    </row>
    <row r="292" spans="1:15" ht="15.75" thickBot="1" x14ac:dyDescent="0.3">
      <c r="A292" s="27"/>
      <c r="B292" s="27"/>
      <c r="C292" s="27"/>
      <c r="D292" s="27"/>
      <c r="E292" s="27"/>
      <c r="F292" s="27"/>
      <c r="G292" s="27"/>
      <c r="H292" s="27" t="s">
        <v>719</v>
      </c>
      <c r="I292" s="27"/>
      <c r="J292" s="264">
        <v>11707.56</v>
      </c>
      <c r="K292" s="23"/>
      <c r="L292" s="225"/>
      <c r="M292" s="225"/>
      <c r="N292" s="225"/>
      <c r="O292" s="23"/>
    </row>
    <row r="293" spans="1:15" x14ac:dyDescent="0.25">
      <c r="A293" s="27"/>
      <c r="B293" s="27"/>
      <c r="C293" s="27"/>
      <c r="D293" s="27"/>
      <c r="E293" s="27"/>
      <c r="F293" s="27"/>
      <c r="G293" s="27" t="s">
        <v>720</v>
      </c>
      <c r="H293" s="27"/>
      <c r="I293" s="27"/>
      <c r="J293" s="266">
        <f>ROUND(SUM(J289:J292),5)</f>
        <v>162262.91</v>
      </c>
      <c r="K293" s="23"/>
      <c r="L293" s="225"/>
      <c r="M293" s="225"/>
      <c r="N293" s="225"/>
      <c r="O293" s="23"/>
    </row>
    <row r="294" spans="1:15" x14ac:dyDescent="0.25">
      <c r="A294" s="27"/>
      <c r="B294" s="27"/>
      <c r="C294" s="27"/>
      <c r="D294" s="27"/>
      <c r="E294" s="27"/>
      <c r="F294" s="27"/>
      <c r="G294" s="27" t="s">
        <v>428</v>
      </c>
      <c r="H294" s="27"/>
      <c r="I294" s="27"/>
      <c r="J294" s="266"/>
      <c r="K294" s="23"/>
      <c r="L294" s="23"/>
      <c r="M294" s="23"/>
      <c r="N294" s="23"/>
      <c r="O294" s="23"/>
    </row>
    <row r="295" spans="1:15" x14ac:dyDescent="0.25">
      <c r="A295" s="27"/>
      <c r="B295" s="27"/>
      <c r="C295" s="27"/>
      <c r="D295" s="27"/>
      <c r="E295" s="27"/>
      <c r="F295" s="27"/>
      <c r="G295" s="27"/>
      <c r="H295" s="27" t="s">
        <v>429</v>
      </c>
      <c r="I295" s="27"/>
      <c r="J295" s="266"/>
      <c r="K295" s="23"/>
      <c r="L295" s="23"/>
      <c r="M295" s="23"/>
      <c r="N295" s="23"/>
      <c r="O295" s="23"/>
    </row>
    <row r="296" spans="1:15" x14ac:dyDescent="0.25">
      <c r="A296" s="27"/>
      <c r="B296" s="27"/>
      <c r="C296" s="27"/>
      <c r="D296" s="27"/>
      <c r="E296" s="27"/>
      <c r="F296" s="27"/>
      <c r="G296" s="27"/>
      <c r="H296" s="27"/>
      <c r="I296" s="27" t="s">
        <v>430</v>
      </c>
      <c r="J296" s="266">
        <v>120000</v>
      </c>
      <c r="K296" s="23"/>
      <c r="L296" s="23"/>
      <c r="M296" s="23"/>
      <c r="N296" s="23"/>
      <c r="O296" s="23"/>
    </row>
    <row r="297" spans="1:15" x14ac:dyDescent="0.25">
      <c r="A297" s="27"/>
      <c r="B297" s="27"/>
      <c r="C297" s="27"/>
      <c r="D297" s="27"/>
      <c r="E297" s="27"/>
      <c r="F297" s="27"/>
      <c r="G297" s="27"/>
      <c r="H297" s="27"/>
      <c r="I297" s="27" t="s">
        <v>431</v>
      </c>
      <c r="J297" s="266">
        <v>429833.33</v>
      </c>
      <c r="K297" s="23"/>
      <c r="L297" s="23"/>
      <c r="M297" s="23"/>
      <c r="N297" s="23"/>
      <c r="O297" s="23"/>
    </row>
    <row r="298" spans="1:15" x14ac:dyDescent="0.25">
      <c r="A298" s="27"/>
      <c r="B298" s="27"/>
      <c r="C298" s="27"/>
      <c r="D298" s="27"/>
      <c r="E298" s="27"/>
      <c r="F298" s="27"/>
      <c r="G298" s="27"/>
      <c r="H298" s="27"/>
      <c r="I298" s="27" t="s">
        <v>432</v>
      </c>
      <c r="J298" s="266">
        <v>51580</v>
      </c>
      <c r="K298" s="23"/>
      <c r="L298" s="23"/>
      <c r="M298" s="23"/>
      <c r="N298" s="23"/>
      <c r="O298" s="23"/>
    </row>
    <row r="299" spans="1:15" ht="15.75" thickBot="1" x14ac:dyDescent="0.3">
      <c r="A299" s="27"/>
      <c r="B299" s="27"/>
      <c r="C299" s="27"/>
      <c r="D299" s="27"/>
      <c r="E299" s="27"/>
      <c r="F299" s="27"/>
      <c r="G299" s="27"/>
      <c r="H299" s="27"/>
      <c r="I299" s="27" t="s">
        <v>433</v>
      </c>
      <c r="J299" s="264">
        <v>12895</v>
      </c>
      <c r="K299" s="23"/>
      <c r="L299" s="23"/>
      <c r="M299" s="23"/>
      <c r="N299" s="23"/>
      <c r="O299" s="23"/>
    </row>
    <row r="300" spans="1:15" x14ac:dyDescent="0.25">
      <c r="A300" s="27"/>
      <c r="B300" s="27"/>
      <c r="C300" s="27"/>
      <c r="D300" s="27"/>
      <c r="E300" s="27"/>
      <c r="F300" s="27"/>
      <c r="G300" s="27"/>
      <c r="H300" s="27" t="s">
        <v>434</v>
      </c>
      <c r="I300" s="27"/>
      <c r="J300" s="281">
        <f>ROUND(SUM(J295:J299),5)</f>
        <v>614308.32999999996</v>
      </c>
      <c r="K300" s="23"/>
      <c r="L300" s="23"/>
      <c r="M300" s="23"/>
      <c r="N300" s="23"/>
      <c r="O300" s="23"/>
    </row>
    <row r="301" spans="1:15" x14ac:dyDescent="0.25">
      <c r="A301" s="27"/>
      <c r="B301" s="27"/>
      <c r="C301" s="27"/>
      <c r="D301" s="27"/>
      <c r="E301" s="27"/>
      <c r="F301" s="27"/>
      <c r="G301" s="27"/>
      <c r="H301" s="27" t="s">
        <v>734</v>
      </c>
      <c r="I301" s="27"/>
      <c r="J301" s="266"/>
      <c r="K301" s="23"/>
      <c r="L301" s="23"/>
      <c r="M301" s="23"/>
      <c r="N301" s="23"/>
      <c r="O301" s="23"/>
    </row>
    <row r="302" spans="1:15" x14ac:dyDescent="0.25">
      <c r="A302" s="27"/>
      <c r="B302" s="27"/>
      <c r="C302" s="27"/>
      <c r="D302" s="27"/>
      <c r="E302" s="27"/>
      <c r="F302" s="27"/>
      <c r="G302" s="27"/>
      <c r="H302" s="27"/>
      <c r="I302" s="27" t="s">
        <v>735</v>
      </c>
      <c r="J302" s="266">
        <v>10000</v>
      </c>
      <c r="K302" s="23"/>
      <c r="L302" s="23"/>
      <c r="M302" s="23"/>
      <c r="N302" s="23"/>
      <c r="O302" s="23"/>
    </row>
    <row r="303" spans="1:15" x14ac:dyDescent="0.25">
      <c r="A303" s="27"/>
      <c r="B303" s="27"/>
      <c r="C303" s="27"/>
      <c r="D303" s="27"/>
      <c r="E303" s="27"/>
      <c r="F303" s="27"/>
      <c r="G303" s="27"/>
      <c r="H303" s="27"/>
      <c r="I303" s="27" t="s">
        <v>736</v>
      </c>
      <c r="J303" s="266">
        <v>65000</v>
      </c>
      <c r="K303" s="23"/>
      <c r="L303" s="23"/>
      <c r="M303" s="23"/>
      <c r="N303" s="23"/>
      <c r="O303" s="23"/>
    </row>
    <row r="304" spans="1:15" x14ac:dyDescent="0.25">
      <c r="A304" s="27"/>
      <c r="B304" s="27"/>
      <c r="C304" s="27"/>
      <c r="D304" s="27"/>
      <c r="E304" s="27"/>
      <c r="F304" s="27"/>
      <c r="G304" s="27"/>
      <c r="H304" s="27"/>
      <c r="I304" s="27" t="s">
        <v>737</v>
      </c>
      <c r="J304" s="266">
        <v>7800</v>
      </c>
      <c r="K304" s="23"/>
      <c r="L304" s="23"/>
      <c r="M304" s="23"/>
      <c r="N304" s="23"/>
      <c r="O304" s="23"/>
    </row>
    <row r="305" spans="1:15" ht="15.75" thickBot="1" x14ac:dyDescent="0.3">
      <c r="A305" s="27"/>
      <c r="B305" s="27"/>
      <c r="C305" s="27"/>
      <c r="D305" s="27"/>
      <c r="E305" s="27"/>
      <c r="F305" s="27"/>
      <c r="G305" s="27"/>
      <c r="H305" s="27"/>
      <c r="I305" s="27" t="s">
        <v>738</v>
      </c>
      <c r="J305" s="264">
        <v>1950</v>
      </c>
      <c r="K305" s="23"/>
      <c r="L305" s="23"/>
      <c r="M305" s="23"/>
      <c r="N305" s="23"/>
      <c r="O305" s="23"/>
    </row>
    <row r="306" spans="1:15" x14ac:dyDescent="0.25">
      <c r="A306" s="27"/>
      <c r="B306" s="27"/>
      <c r="C306" s="27"/>
      <c r="D306" s="27"/>
      <c r="E306" s="27"/>
      <c r="F306" s="27"/>
      <c r="G306" s="27"/>
      <c r="H306" s="27" t="s">
        <v>739</v>
      </c>
      <c r="I306" s="27"/>
      <c r="J306" s="281">
        <f>ROUND(SUM(J301:J305),5)</f>
        <v>84750</v>
      </c>
      <c r="K306" s="23"/>
      <c r="L306" s="23"/>
      <c r="M306" s="23"/>
      <c r="N306" s="23"/>
      <c r="O306" s="23"/>
    </row>
    <row r="307" spans="1:15" x14ac:dyDescent="0.25">
      <c r="A307" s="27"/>
      <c r="B307" s="27"/>
      <c r="C307" s="27"/>
      <c r="D307" s="27"/>
      <c r="E307" s="27"/>
      <c r="F307" s="27"/>
      <c r="G307" s="27"/>
      <c r="H307" s="27" t="s">
        <v>435</v>
      </c>
      <c r="I307" s="27"/>
      <c r="J307" s="266"/>
      <c r="K307" s="23"/>
      <c r="L307" s="23"/>
      <c r="M307" s="23"/>
      <c r="N307" s="23"/>
      <c r="O307" s="23"/>
    </row>
    <row r="308" spans="1:15" x14ac:dyDescent="0.25">
      <c r="A308" s="27"/>
      <c r="B308" s="27"/>
      <c r="C308" s="27"/>
      <c r="D308" s="27"/>
      <c r="E308" s="27"/>
      <c r="F308" s="27"/>
      <c r="G308" s="27"/>
      <c r="H308" s="27"/>
      <c r="I308" s="27" t="s">
        <v>436</v>
      </c>
      <c r="J308" s="266">
        <v>43000</v>
      </c>
      <c r="K308" s="23"/>
      <c r="L308" s="23"/>
      <c r="M308" s="23"/>
      <c r="N308" s="23"/>
      <c r="O308" s="23"/>
    </row>
    <row r="309" spans="1:15" x14ac:dyDescent="0.25">
      <c r="A309" s="27"/>
      <c r="B309" s="27"/>
      <c r="C309" s="27"/>
      <c r="D309" s="27"/>
      <c r="E309" s="27"/>
      <c r="F309" s="27"/>
      <c r="G309" s="27"/>
      <c r="H309" s="27"/>
      <c r="I309" s="27" t="s">
        <v>437</v>
      </c>
      <c r="J309" s="266">
        <v>308500</v>
      </c>
      <c r="K309" s="23"/>
      <c r="L309" s="23"/>
      <c r="M309" s="23"/>
      <c r="N309" s="23"/>
      <c r="O309" s="23"/>
    </row>
    <row r="310" spans="1:15" x14ac:dyDescent="0.25">
      <c r="A310" s="27"/>
      <c r="B310" s="27"/>
      <c r="C310" s="27"/>
      <c r="D310" s="27"/>
      <c r="E310" s="27"/>
      <c r="F310" s="27"/>
      <c r="G310" s="27"/>
      <c r="H310" s="27"/>
      <c r="I310" s="27" t="s">
        <v>438</v>
      </c>
      <c r="J310" s="266">
        <v>37020</v>
      </c>
      <c r="K310" s="23"/>
      <c r="L310" s="23"/>
      <c r="M310" s="23"/>
      <c r="N310" s="23"/>
      <c r="O310" s="23"/>
    </row>
    <row r="311" spans="1:15" ht="15.75" thickBot="1" x14ac:dyDescent="0.3">
      <c r="A311" s="27"/>
      <c r="B311" s="27"/>
      <c r="C311" s="27"/>
      <c r="D311" s="27"/>
      <c r="E311" s="27"/>
      <c r="F311" s="27"/>
      <c r="G311" s="27"/>
      <c r="H311" s="27"/>
      <c r="I311" s="27" t="s">
        <v>439</v>
      </c>
      <c r="J311" s="264">
        <v>9255</v>
      </c>
      <c r="K311" s="23"/>
      <c r="L311" s="23"/>
      <c r="M311" s="23"/>
      <c r="N311" s="23"/>
      <c r="O311" s="23"/>
    </row>
    <row r="312" spans="1:15" x14ac:dyDescent="0.25">
      <c r="A312" s="27"/>
      <c r="B312" s="27"/>
      <c r="C312" s="27"/>
      <c r="D312" s="27"/>
      <c r="E312" s="27"/>
      <c r="F312" s="27"/>
      <c r="G312" s="27"/>
      <c r="H312" s="27" t="s">
        <v>440</v>
      </c>
      <c r="I312" s="27"/>
      <c r="J312" s="281">
        <f>ROUND(SUM(J307:J311),5)</f>
        <v>397775</v>
      </c>
      <c r="K312" s="23"/>
      <c r="L312" s="23"/>
      <c r="M312" s="23"/>
      <c r="N312" s="23"/>
      <c r="O312" s="23"/>
    </row>
    <row r="313" spans="1:15" x14ac:dyDescent="0.25">
      <c r="A313" s="27"/>
      <c r="B313" s="27"/>
      <c r="C313" s="27"/>
      <c r="D313" s="27"/>
      <c r="E313" s="27"/>
      <c r="F313" s="27"/>
      <c r="G313" s="27"/>
      <c r="H313" s="27" t="s">
        <v>441</v>
      </c>
      <c r="I313" s="27"/>
      <c r="J313" s="266"/>
      <c r="K313" s="23"/>
      <c r="L313" s="23"/>
      <c r="M313" s="23"/>
      <c r="N313" s="23"/>
      <c r="O313" s="23"/>
    </row>
    <row r="314" spans="1:15" x14ac:dyDescent="0.25">
      <c r="A314" s="27"/>
      <c r="B314" s="27"/>
      <c r="C314" s="27"/>
      <c r="D314" s="27"/>
      <c r="E314" s="27"/>
      <c r="F314" s="27"/>
      <c r="G314" s="27"/>
      <c r="H314" s="27"/>
      <c r="I314" s="27" t="s">
        <v>442</v>
      </c>
      <c r="J314" s="266">
        <v>195000</v>
      </c>
      <c r="K314" s="23"/>
      <c r="L314" s="23"/>
      <c r="M314" s="23"/>
      <c r="N314" s="23"/>
      <c r="O314" s="23"/>
    </row>
    <row r="315" spans="1:15" x14ac:dyDescent="0.25">
      <c r="A315" s="27"/>
      <c r="B315" s="27"/>
      <c r="C315" s="27"/>
      <c r="D315" s="27"/>
      <c r="E315" s="27"/>
      <c r="F315" s="27"/>
      <c r="G315" s="27"/>
      <c r="H315" s="27"/>
      <c r="I315" s="27" t="s">
        <v>443</v>
      </c>
      <c r="J315" s="266">
        <v>315000</v>
      </c>
      <c r="K315" s="23"/>
      <c r="L315" s="23"/>
      <c r="M315" s="23"/>
      <c r="N315" s="23"/>
      <c r="O315" s="23"/>
    </row>
    <row r="316" spans="1:15" x14ac:dyDescent="0.25">
      <c r="A316" s="27"/>
      <c r="B316" s="27"/>
      <c r="C316" s="27"/>
      <c r="D316" s="27"/>
      <c r="E316" s="27"/>
      <c r="F316" s="27"/>
      <c r="G316" s="27"/>
      <c r="H316" s="27"/>
      <c r="I316" s="27" t="s">
        <v>444</v>
      </c>
      <c r="J316" s="266">
        <v>24000</v>
      </c>
      <c r="K316" s="23"/>
      <c r="L316" s="23"/>
      <c r="M316" s="23"/>
      <c r="N316" s="23"/>
      <c r="O316" s="23"/>
    </row>
    <row r="317" spans="1:15" ht="15.75" thickBot="1" x14ac:dyDescent="0.3">
      <c r="A317" s="27"/>
      <c r="B317" s="27"/>
      <c r="C317" s="27"/>
      <c r="D317" s="27"/>
      <c r="E317" s="27"/>
      <c r="F317" s="27"/>
      <c r="G317" s="27"/>
      <c r="H317" s="27"/>
      <c r="I317" s="27" t="s">
        <v>445</v>
      </c>
      <c r="J317" s="264">
        <v>6000</v>
      </c>
      <c r="K317" s="23"/>
      <c r="L317" s="23"/>
      <c r="M317" s="23"/>
      <c r="N317" s="23"/>
      <c r="O317" s="23"/>
    </row>
    <row r="318" spans="1:15" x14ac:dyDescent="0.25">
      <c r="A318" s="27"/>
      <c r="B318" s="27"/>
      <c r="C318" s="27"/>
      <c r="D318" s="27"/>
      <c r="E318" s="27"/>
      <c r="F318" s="27"/>
      <c r="G318" s="27"/>
      <c r="H318" s="27" t="s">
        <v>446</v>
      </c>
      <c r="I318" s="27"/>
      <c r="J318" s="281">
        <f>ROUND(SUM(J313:J317),5)</f>
        <v>540000</v>
      </c>
      <c r="K318" s="23"/>
      <c r="L318" s="23"/>
      <c r="M318" s="23"/>
      <c r="N318" s="23"/>
      <c r="O318" s="23"/>
    </row>
    <row r="319" spans="1:15" x14ac:dyDescent="0.25">
      <c r="A319" s="27"/>
      <c r="B319" s="27"/>
      <c r="C319" s="27"/>
      <c r="D319" s="27"/>
      <c r="E319" s="27"/>
      <c r="F319" s="27"/>
      <c r="G319" s="27"/>
      <c r="H319" s="27" t="s">
        <v>447</v>
      </c>
      <c r="I319" s="27"/>
      <c r="J319" s="266"/>
      <c r="K319" s="23"/>
      <c r="L319" s="23"/>
      <c r="M319" s="23"/>
      <c r="N319" s="23"/>
      <c r="O319" s="23"/>
    </row>
    <row r="320" spans="1:15" x14ac:dyDescent="0.25">
      <c r="A320" s="27"/>
      <c r="B320" s="27"/>
      <c r="C320" s="27"/>
      <c r="D320" s="27"/>
      <c r="E320" s="27"/>
      <c r="F320" s="27"/>
      <c r="G320" s="27"/>
      <c r="H320" s="27"/>
      <c r="I320" s="27" t="s">
        <v>448</v>
      </c>
      <c r="J320" s="266">
        <v>22000</v>
      </c>
      <c r="K320" s="23"/>
      <c r="L320" s="23"/>
      <c r="M320" s="23"/>
      <c r="N320" s="23"/>
      <c r="O320" s="23"/>
    </row>
    <row r="321" spans="1:15" x14ac:dyDescent="0.25">
      <c r="A321" s="27"/>
      <c r="B321" s="27"/>
      <c r="C321" s="27"/>
      <c r="D321" s="27"/>
      <c r="E321" s="27"/>
      <c r="F321" s="27"/>
      <c r="G321" s="27"/>
      <c r="H321" s="27"/>
      <c r="I321" s="27" t="s">
        <v>449</v>
      </c>
      <c r="J321" s="266">
        <v>97291.67</v>
      </c>
      <c r="K321" s="23"/>
      <c r="L321" s="23"/>
      <c r="M321" s="23"/>
      <c r="N321" s="23"/>
      <c r="O321" s="23"/>
    </row>
    <row r="322" spans="1:15" x14ac:dyDescent="0.25">
      <c r="A322" s="27"/>
      <c r="B322" s="27"/>
      <c r="C322" s="27"/>
      <c r="D322" s="27"/>
      <c r="E322" s="27"/>
      <c r="F322" s="27"/>
      <c r="G322" s="27"/>
      <c r="H322" s="27"/>
      <c r="I322" s="27" t="s">
        <v>450</v>
      </c>
      <c r="J322" s="266">
        <v>11675</v>
      </c>
      <c r="K322" s="23"/>
      <c r="L322" s="23"/>
      <c r="M322" s="23"/>
      <c r="N322" s="23"/>
      <c r="O322" s="23"/>
    </row>
    <row r="323" spans="1:15" ht="15.75" thickBot="1" x14ac:dyDescent="0.3">
      <c r="A323" s="27"/>
      <c r="B323" s="27"/>
      <c r="C323" s="27"/>
      <c r="D323" s="27"/>
      <c r="E323" s="27"/>
      <c r="F323" s="27"/>
      <c r="G323" s="27"/>
      <c r="H323" s="27"/>
      <c r="I323" s="27" t="s">
        <v>451</v>
      </c>
      <c r="J323" s="264">
        <v>2918.75</v>
      </c>
      <c r="K323" s="23"/>
      <c r="L323" s="23"/>
      <c r="M323" s="23"/>
      <c r="N323" s="23"/>
      <c r="O323" s="23"/>
    </row>
    <row r="324" spans="1:15" x14ac:dyDescent="0.25">
      <c r="A324" s="27"/>
      <c r="B324" s="27"/>
      <c r="C324" s="27"/>
      <c r="D324" s="27"/>
      <c r="E324" s="27"/>
      <c r="F324" s="27"/>
      <c r="G324" s="27"/>
      <c r="H324" s="27" t="s">
        <v>452</v>
      </c>
      <c r="I324" s="27"/>
      <c r="J324" s="281">
        <f>ROUND(SUM(J319:J323),5)</f>
        <v>133885.42000000001</v>
      </c>
      <c r="K324" s="23"/>
      <c r="L324" s="23"/>
      <c r="M324" s="23"/>
      <c r="N324" s="23"/>
      <c r="O324" s="23"/>
    </row>
    <row r="325" spans="1:15" x14ac:dyDescent="0.25">
      <c r="A325" s="27"/>
      <c r="B325" s="27"/>
      <c r="C325" s="27"/>
      <c r="D325" s="27"/>
      <c r="E325" s="27"/>
      <c r="F325" s="27"/>
      <c r="G325" s="27"/>
      <c r="H325" s="27" t="s">
        <v>453</v>
      </c>
      <c r="I325" s="27"/>
      <c r="J325" s="266"/>
      <c r="K325" s="23"/>
      <c r="L325" s="23"/>
      <c r="M325" s="23"/>
      <c r="N325" s="23"/>
      <c r="O325" s="23"/>
    </row>
    <row r="326" spans="1:15" x14ac:dyDescent="0.25">
      <c r="A326" s="27"/>
      <c r="B326" s="27"/>
      <c r="C326" s="27"/>
      <c r="D326" s="27"/>
      <c r="E326" s="27"/>
      <c r="F326" s="27"/>
      <c r="G326" s="27"/>
      <c r="H326" s="27"/>
      <c r="I326" s="27" t="s">
        <v>454</v>
      </c>
      <c r="J326" s="266">
        <v>524166.67</v>
      </c>
      <c r="K326" s="23"/>
      <c r="L326" s="23"/>
      <c r="M326" s="23"/>
      <c r="N326" s="23"/>
      <c r="O326" s="23"/>
    </row>
    <row r="327" spans="1:15" x14ac:dyDescent="0.25">
      <c r="A327" s="27"/>
      <c r="B327" s="27"/>
      <c r="C327" s="27"/>
      <c r="D327" s="27"/>
      <c r="E327" s="27"/>
      <c r="F327" s="27"/>
      <c r="G327" s="27"/>
      <c r="H327" s="27"/>
      <c r="I327" s="27" t="s">
        <v>455</v>
      </c>
      <c r="J327" s="266">
        <v>1414875</v>
      </c>
      <c r="K327" s="23"/>
      <c r="L327" s="23"/>
      <c r="M327" s="23"/>
      <c r="N327" s="23"/>
      <c r="O327" s="23"/>
    </row>
    <row r="328" spans="1:15" x14ac:dyDescent="0.25">
      <c r="A328" s="27"/>
      <c r="B328" s="27"/>
      <c r="C328" s="27"/>
      <c r="D328" s="27"/>
      <c r="E328" s="27"/>
      <c r="F328" s="27"/>
      <c r="G328" s="27"/>
      <c r="H328" s="27"/>
      <c r="I328" s="27" t="s">
        <v>456</v>
      </c>
      <c r="J328" s="266">
        <v>169785</v>
      </c>
      <c r="K328" s="23"/>
      <c r="L328" s="23"/>
      <c r="M328" s="23"/>
      <c r="N328" s="23"/>
      <c r="O328" s="23"/>
    </row>
    <row r="329" spans="1:15" ht="15.75" thickBot="1" x14ac:dyDescent="0.3">
      <c r="A329" s="27"/>
      <c r="B329" s="27"/>
      <c r="C329" s="27"/>
      <c r="D329" s="27"/>
      <c r="E329" s="27"/>
      <c r="F329" s="27"/>
      <c r="G329" s="27"/>
      <c r="H329" s="27"/>
      <c r="I329" s="27" t="s">
        <v>457</v>
      </c>
      <c r="J329" s="264">
        <v>42446.25</v>
      </c>
      <c r="K329" s="23"/>
      <c r="L329" s="23"/>
      <c r="M329" s="23"/>
      <c r="N329" s="23"/>
      <c r="O329" s="23"/>
    </row>
    <row r="330" spans="1:15" x14ac:dyDescent="0.25">
      <c r="A330" s="27"/>
      <c r="B330" s="27"/>
      <c r="C330" s="27"/>
      <c r="D330" s="27"/>
      <c r="E330" s="27"/>
      <c r="F330" s="27"/>
      <c r="G330" s="27"/>
      <c r="H330" s="27" t="s">
        <v>458</v>
      </c>
      <c r="I330" s="27"/>
      <c r="J330" s="281">
        <f>ROUND(SUM(J325:J329),5)</f>
        <v>2151272.92</v>
      </c>
      <c r="K330" s="23"/>
      <c r="L330" s="23"/>
      <c r="M330" s="23"/>
      <c r="N330" s="23"/>
      <c r="O330" s="23"/>
    </row>
    <row r="331" spans="1:15" x14ac:dyDescent="0.25">
      <c r="A331" s="27"/>
      <c r="B331" s="27"/>
      <c r="C331" s="27"/>
      <c r="D331" s="27"/>
      <c r="E331" s="27"/>
      <c r="F331" s="27"/>
      <c r="G331" s="27"/>
      <c r="H331" s="27" t="s">
        <v>698</v>
      </c>
      <c r="I331" s="27"/>
      <c r="J331" s="266"/>
      <c r="K331" s="23"/>
      <c r="L331" s="23"/>
      <c r="M331" s="23"/>
      <c r="N331" s="23"/>
      <c r="O331" s="23"/>
    </row>
    <row r="332" spans="1:15" x14ac:dyDescent="0.25">
      <c r="A332" s="27"/>
      <c r="B332" s="27"/>
      <c r="C332" s="27"/>
      <c r="D332" s="27"/>
      <c r="E332" s="27"/>
      <c r="F332" s="27"/>
      <c r="G332" s="27"/>
      <c r="H332" s="27"/>
      <c r="I332" s="27" t="s">
        <v>699</v>
      </c>
      <c r="J332" s="266">
        <v>5000</v>
      </c>
      <c r="K332" s="23"/>
      <c r="L332" s="23"/>
      <c r="M332" s="23"/>
      <c r="N332" s="23"/>
      <c r="O332" s="23"/>
    </row>
    <row r="333" spans="1:15" x14ac:dyDescent="0.25">
      <c r="A333" s="27"/>
      <c r="B333" s="27"/>
      <c r="C333" s="27"/>
      <c r="D333" s="27"/>
      <c r="E333" s="27"/>
      <c r="F333" s="27"/>
      <c r="G333" s="27"/>
      <c r="H333" s="27"/>
      <c r="I333" s="27" t="s">
        <v>700</v>
      </c>
      <c r="J333" s="266">
        <v>45416.67</v>
      </c>
      <c r="K333" s="23"/>
      <c r="L333" s="23"/>
      <c r="M333" s="23"/>
      <c r="N333" s="23"/>
      <c r="O333" s="23"/>
    </row>
    <row r="334" spans="1:15" x14ac:dyDescent="0.25">
      <c r="A334" s="27"/>
      <c r="B334" s="27"/>
      <c r="C334" s="27"/>
      <c r="D334" s="27"/>
      <c r="E334" s="27"/>
      <c r="F334" s="27"/>
      <c r="G334" s="27"/>
      <c r="H334" s="27"/>
      <c r="I334" s="27" t="s">
        <v>701</v>
      </c>
      <c r="J334" s="266">
        <v>5450</v>
      </c>
      <c r="K334" s="23"/>
      <c r="L334" s="23"/>
      <c r="M334" s="23"/>
      <c r="N334" s="23"/>
      <c r="O334" s="23"/>
    </row>
    <row r="335" spans="1:15" ht="15.75" thickBot="1" x14ac:dyDescent="0.3">
      <c r="A335" s="27"/>
      <c r="B335" s="27"/>
      <c r="C335" s="27"/>
      <c r="D335" s="27"/>
      <c r="E335" s="27"/>
      <c r="F335" s="27"/>
      <c r="G335" s="27"/>
      <c r="H335" s="27"/>
      <c r="I335" s="27" t="s">
        <v>702</v>
      </c>
      <c r="J335" s="264">
        <v>1362.5</v>
      </c>
      <c r="K335" s="23"/>
      <c r="L335" s="23"/>
      <c r="M335" s="23"/>
      <c r="N335" s="23"/>
      <c r="O335" s="23"/>
    </row>
    <row r="336" spans="1:15" x14ac:dyDescent="0.25">
      <c r="A336" s="27"/>
      <c r="B336" s="27"/>
      <c r="C336" s="27"/>
      <c r="D336" s="27"/>
      <c r="E336" s="27"/>
      <c r="F336" s="27"/>
      <c r="G336" s="27"/>
      <c r="H336" s="27" t="s">
        <v>703</v>
      </c>
      <c r="I336" s="27"/>
      <c r="J336" s="281">
        <f>ROUND(SUM(J331:J335),5)</f>
        <v>57229.17</v>
      </c>
      <c r="K336" s="23"/>
      <c r="L336" s="23"/>
      <c r="M336" s="23"/>
      <c r="N336" s="23"/>
      <c r="O336" s="23"/>
    </row>
    <row r="337" spans="1:15" x14ac:dyDescent="0.25">
      <c r="A337" s="27"/>
      <c r="B337" s="27"/>
      <c r="C337" s="27"/>
      <c r="D337" s="27"/>
      <c r="E337" s="27"/>
      <c r="F337" s="27"/>
      <c r="G337" s="27"/>
      <c r="H337" s="27" t="s">
        <v>459</v>
      </c>
      <c r="I337" s="27"/>
      <c r="J337" s="266"/>
      <c r="K337" s="23"/>
      <c r="L337" s="23"/>
      <c r="M337" s="23"/>
      <c r="N337" s="23"/>
      <c r="O337" s="23"/>
    </row>
    <row r="338" spans="1:15" x14ac:dyDescent="0.25">
      <c r="A338" s="27"/>
      <c r="B338" s="27"/>
      <c r="C338" s="27"/>
      <c r="D338" s="27"/>
      <c r="E338" s="27"/>
      <c r="F338" s="27"/>
      <c r="G338" s="27"/>
      <c r="H338" s="27"/>
      <c r="I338" s="27" t="s">
        <v>460</v>
      </c>
      <c r="J338" s="266">
        <v>30333.33</v>
      </c>
      <c r="K338" s="23"/>
      <c r="L338" s="23"/>
      <c r="M338" s="23"/>
      <c r="N338" s="23"/>
      <c r="O338" s="23"/>
    </row>
    <row r="339" spans="1:15" x14ac:dyDescent="0.25">
      <c r="A339" s="27"/>
      <c r="B339" s="27"/>
      <c r="C339" s="27"/>
      <c r="D339" s="27"/>
      <c r="E339" s="27"/>
      <c r="F339" s="27"/>
      <c r="G339" s="27"/>
      <c r="H339" s="27"/>
      <c r="I339" s="27" t="s">
        <v>461</v>
      </c>
      <c r="J339" s="266">
        <v>139333.32999999999</v>
      </c>
      <c r="K339" s="23"/>
      <c r="L339" s="23"/>
      <c r="M339" s="23"/>
      <c r="N339" s="23"/>
      <c r="O339" s="23"/>
    </row>
    <row r="340" spans="1:15" x14ac:dyDescent="0.25">
      <c r="A340" s="27"/>
      <c r="B340" s="27"/>
      <c r="C340" s="27"/>
      <c r="D340" s="27"/>
      <c r="E340" s="27"/>
      <c r="F340" s="27"/>
      <c r="G340" s="27"/>
      <c r="H340" s="27"/>
      <c r="I340" s="27" t="s">
        <v>462</v>
      </c>
      <c r="J340" s="266">
        <v>16720</v>
      </c>
      <c r="K340" s="23"/>
      <c r="L340" s="23"/>
      <c r="M340" s="23"/>
      <c r="N340" s="23"/>
      <c r="O340" s="23"/>
    </row>
    <row r="341" spans="1:15" ht="15.75" thickBot="1" x14ac:dyDescent="0.3">
      <c r="A341" s="27"/>
      <c r="B341" s="27"/>
      <c r="C341" s="27"/>
      <c r="D341" s="27"/>
      <c r="E341" s="27"/>
      <c r="F341" s="27"/>
      <c r="G341" s="27"/>
      <c r="H341" s="27"/>
      <c r="I341" s="27" t="s">
        <v>463</v>
      </c>
      <c r="J341" s="264">
        <v>4180</v>
      </c>
      <c r="K341" s="23"/>
      <c r="L341" s="23"/>
      <c r="M341" s="23"/>
      <c r="N341" s="23"/>
      <c r="O341" s="23"/>
    </row>
    <row r="342" spans="1:15" x14ac:dyDescent="0.25">
      <c r="A342" s="27"/>
      <c r="B342" s="27"/>
      <c r="C342" s="27"/>
      <c r="D342" s="27"/>
      <c r="E342" s="27"/>
      <c r="F342" s="27"/>
      <c r="G342" s="27"/>
      <c r="H342" s="27" t="s">
        <v>464</v>
      </c>
      <c r="I342" s="27"/>
      <c r="J342" s="281">
        <f>ROUND(SUM(J337:J341),5)</f>
        <v>190566.66</v>
      </c>
      <c r="K342" s="23"/>
      <c r="L342" s="23"/>
      <c r="M342" s="23"/>
      <c r="N342" s="23"/>
      <c r="O342" s="23"/>
    </row>
    <row r="343" spans="1:15" x14ac:dyDescent="0.25">
      <c r="A343" s="27"/>
      <c r="B343" s="27"/>
      <c r="C343" s="27"/>
      <c r="D343" s="27"/>
      <c r="E343" s="27"/>
      <c r="F343" s="27"/>
      <c r="G343" s="27"/>
      <c r="H343" s="27" t="s">
        <v>684</v>
      </c>
      <c r="I343" s="27"/>
      <c r="J343" s="266"/>
      <c r="K343" s="23"/>
      <c r="L343" s="23"/>
      <c r="M343" s="23"/>
      <c r="N343" s="23"/>
      <c r="O343" s="23"/>
    </row>
    <row r="344" spans="1:15" x14ac:dyDescent="0.25">
      <c r="A344" s="27"/>
      <c r="B344" s="27"/>
      <c r="C344" s="27"/>
      <c r="D344" s="27"/>
      <c r="E344" s="27"/>
      <c r="F344" s="27"/>
      <c r="G344" s="27"/>
      <c r="H344" s="27"/>
      <c r="I344" s="27" t="s">
        <v>685</v>
      </c>
      <c r="J344" s="266">
        <v>50491.67</v>
      </c>
      <c r="K344" s="23"/>
      <c r="L344" s="23"/>
      <c r="M344" s="23"/>
      <c r="N344" s="23"/>
      <c r="O344" s="23"/>
    </row>
    <row r="345" spans="1:15" x14ac:dyDescent="0.25">
      <c r="A345" s="27"/>
      <c r="B345" s="27"/>
      <c r="C345" s="27"/>
      <c r="D345" s="27"/>
      <c r="E345" s="27"/>
      <c r="F345" s="27"/>
      <c r="G345" s="27"/>
      <c r="H345" s="27"/>
      <c r="I345" s="27" t="s">
        <v>686</v>
      </c>
      <c r="J345" s="266">
        <v>119250</v>
      </c>
      <c r="K345" s="23"/>
      <c r="L345" s="23"/>
      <c r="M345" s="23"/>
      <c r="N345" s="23"/>
      <c r="O345" s="23"/>
    </row>
    <row r="346" spans="1:15" x14ac:dyDescent="0.25">
      <c r="A346" s="27"/>
      <c r="B346" s="27"/>
      <c r="C346" s="27"/>
      <c r="D346" s="27"/>
      <c r="E346" s="27"/>
      <c r="F346" s="27"/>
      <c r="G346" s="27"/>
      <c r="H346" s="27"/>
      <c r="I346" s="27" t="s">
        <v>687</v>
      </c>
      <c r="J346" s="266">
        <v>14310</v>
      </c>
      <c r="K346" s="23"/>
      <c r="L346" s="23"/>
      <c r="M346" s="23"/>
      <c r="N346" s="23"/>
      <c r="O346" s="23"/>
    </row>
    <row r="347" spans="1:15" ht="15.75" thickBot="1" x14ac:dyDescent="0.3">
      <c r="A347" s="27"/>
      <c r="B347" s="27"/>
      <c r="C347" s="27"/>
      <c r="D347" s="27"/>
      <c r="E347" s="27"/>
      <c r="F347" s="27"/>
      <c r="G347" s="27"/>
      <c r="H347" s="27"/>
      <c r="I347" s="27" t="s">
        <v>688</v>
      </c>
      <c r="J347" s="264">
        <v>3577.5</v>
      </c>
      <c r="K347" s="23"/>
      <c r="L347" s="23"/>
      <c r="M347" s="23"/>
      <c r="N347" s="23"/>
      <c r="O347" s="23"/>
    </row>
    <row r="348" spans="1:15" x14ac:dyDescent="0.25">
      <c r="A348" s="27"/>
      <c r="B348" s="27"/>
      <c r="C348" s="27"/>
      <c r="D348" s="27"/>
      <c r="E348" s="27"/>
      <c r="F348" s="27"/>
      <c r="G348" s="27"/>
      <c r="H348" s="27" t="s">
        <v>689</v>
      </c>
      <c r="I348" s="27"/>
      <c r="J348" s="281">
        <f>ROUND(SUM(J343:J347),5)</f>
        <v>187629.17</v>
      </c>
      <c r="K348" s="23"/>
      <c r="L348" s="23"/>
      <c r="M348" s="23"/>
      <c r="N348" s="23"/>
      <c r="O348" s="23"/>
    </row>
    <row r="349" spans="1:15" x14ac:dyDescent="0.25">
      <c r="A349" s="27"/>
      <c r="B349" s="27"/>
      <c r="C349" s="27"/>
      <c r="D349" s="27"/>
      <c r="E349" s="27"/>
      <c r="F349" s="27"/>
      <c r="G349" s="27"/>
      <c r="H349" s="27" t="s">
        <v>465</v>
      </c>
      <c r="I349" s="27"/>
      <c r="J349" s="266"/>
      <c r="K349" s="23"/>
      <c r="L349" s="23"/>
      <c r="M349" s="23"/>
      <c r="N349" s="23"/>
      <c r="O349" s="23"/>
    </row>
    <row r="350" spans="1:15" x14ac:dyDescent="0.25">
      <c r="A350" s="27"/>
      <c r="B350" s="27"/>
      <c r="C350" s="27"/>
      <c r="D350" s="27"/>
      <c r="E350" s="27"/>
      <c r="F350" s="27"/>
      <c r="G350" s="27"/>
      <c r="H350" s="27"/>
      <c r="I350" s="27" t="s">
        <v>466</v>
      </c>
      <c r="J350" s="266">
        <v>12500</v>
      </c>
      <c r="K350" s="23"/>
      <c r="L350" s="23"/>
      <c r="M350" s="23"/>
      <c r="N350" s="23"/>
      <c r="O350" s="23"/>
    </row>
    <row r="351" spans="1:15" x14ac:dyDescent="0.25">
      <c r="A351" s="27"/>
      <c r="B351" s="27"/>
      <c r="C351" s="27"/>
      <c r="D351" s="27"/>
      <c r="E351" s="27"/>
      <c r="F351" s="27"/>
      <c r="G351" s="27"/>
      <c r="H351" s="27"/>
      <c r="I351" s="27" t="s">
        <v>467</v>
      </c>
      <c r="J351" s="266">
        <v>55000</v>
      </c>
      <c r="K351" s="23"/>
      <c r="L351" s="23"/>
      <c r="M351" s="23"/>
      <c r="N351" s="23"/>
      <c r="O351" s="23"/>
    </row>
    <row r="352" spans="1:15" x14ac:dyDescent="0.25">
      <c r="A352" s="27"/>
      <c r="B352" s="27"/>
      <c r="C352" s="27"/>
      <c r="D352" s="27"/>
      <c r="E352" s="27"/>
      <c r="F352" s="27"/>
      <c r="G352" s="27"/>
      <c r="H352" s="27"/>
      <c r="I352" s="27" t="s">
        <v>468</v>
      </c>
      <c r="J352" s="266">
        <v>6600</v>
      </c>
      <c r="K352" s="23"/>
      <c r="L352" s="23"/>
      <c r="M352" s="23"/>
      <c r="N352" s="23"/>
      <c r="O352" s="23"/>
    </row>
    <row r="353" spans="1:15" ht="15.75" thickBot="1" x14ac:dyDescent="0.3">
      <c r="A353" s="27"/>
      <c r="B353" s="27"/>
      <c r="C353" s="27"/>
      <c r="D353" s="27"/>
      <c r="E353" s="27"/>
      <c r="F353" s="27"/>
      <c r="G353" s="27"/>
      <c r="H353" s="27"/>
      <c r="I353" s="27" t="s">
        <v>469</v>
      </c>
      <c r="J353" s="263">
        <v>1650</v>
      </c>
      <c r="K353" s="23"/>
      <c r="L353" s="23"/>
      <c r="M353" s="23"/>
      <c r="N353" s="23"/>
      <c r="O353" s="23"/>
    </row>
    <row r="354" spans="1:15" ht="15.75" thickBot="1" x14ac:dyDescent="0.3">
      <c r="A354" s="27"/>
      <c r="B354" s="27"/>
      <c r="C354" s="27"/>
      <c r="D354" s="27"/>
      <c r="E354" s="27"/>
      <c r="F354" s="27"/>
      <c r="G354" s="27"/>
      <c r="H354" s="27" t="s">
        <v>470</v>
      </c>
      <c r="I354" s="27"/>
      <c r="J354" s="289">
        <f>ROUND(SUM(J349:J353),5)</f>
        <v>75750</v>
      </c>
      <c r="K354" s="23"/>
      <c r="L354" s="23"/>
      <c r="M354" s="23"/>
      <c r="N354" s="23"/>
      <c r="O354" s="23"/>
    </row>
    <row r="355" spans="1:15" x14ac:dyDescent="0.25">
      <c r="A355" s="27"/>
      <c r="B355" s="27"/>
      <c r="C355" s="27"/>
      <c r="D355" s="27"/>
      <c r="E355" s="27"/>
      <c r="F355" s="27"/>
      <c r="G355" s="27" t="s">
        <v>471</v>
      </c>
      <c r="H355" s="27"/>
      <c r="I355" s="27"/>
      <c r="J355" s="266">
        <f>ROUND(J293+J300+J306+J312+J318+J324+J330+J336+J342+J348+J354,5)</f>
        <v>4595429.58</v>
      </c>
      <c r="K355" s="23"/>
      <c r="L355" s="23"/>
      <c r="M355" s="23"/>
      <c r="N355" s="23"/>
      <c r="O355" s="23"/>
    </row>
    <row r="356" spans="1:15" ht="16.5" customHeight="1" x14ac:dyDescent="0.25">
      <c r="B356" s="27"/>
      <c r="C356" s="27"/>
      <c r="D356" s="27"/>
      <c r="E356" s="27"/>
      <c r="F356" s="27"/>
      <c r="G356" s="27" t="s">
        <v>697</v>
      </c>
      <c r="H356" s="27"/>
      <c r="I356" s="27"/>
      <c r="J356" s="266">
        <v>17000</v>
      </c>
      <c r="K356" s="23"/>
      <c r="L356" s="23"/>
      <c r="M356" s="23"/>
      <c r="N356" s="23"/>
      <c r="O356" s="23"/>
    </row>
    <row r="357" spans="1:15" ht="16.5" customHeight="1" x14ac:dyDescent="0.25">
      <c r="B357" s="27"/>
      <c r="C357" s="27"/>
      <c r="D357" s="27"/>
      <c r="E357" s="27"/>
      <c r="F357" s="27"/>
      <c r="G357" s="27" t="s">
        <v>721</v>
      </c>
      <c r="H357" s="27"/>
      <c r="I357" s="27"/>
      <c r="J357" s="266">
        <v>27000</v>
      </c>
      <c r="K357" s="23"/>
      <c r="L357" s="23"/>
      <c r="M357" s="23"/>
      <c r="N357" s="23"/>
      <c r="O357" s="23"/>
    </row>
    <row r="358" spans="1:15" ht="16.5" customHeight="1" x14ac:dyDescent="0.25">
      <c r="B358" s="27"/>
      <c r="C358" s="27"/>
      <c r="D358" s="27"/>
      <c r="E358" s="27"/>
      <c r="F358" s="27"/>
      <c r="G358" s="27" t="s">
        <v>426</v>
      </c>
      <c r="H358" s="27"/>
      <c r="I358" s="27"/>
      <c r="J358" s="266">
        <v>83970</v>
      </c>
      <c r="K358" s="23"/>
      <c r="L358" s="23"/>
      <c r="M358" s="23"/>
      <c r="N358" s="23"/>
      <c r="O358" s="23"/>
    </row>
    <row r="359" spans="1:15" ht="16.5" customHeight="1" x14ac:dyDescent="0.25">
      <c r="B359" s="27"/>
      <c r="C359" s="27"/>
      <c r="D359" s="27"/>
      <c r="E359" s="27"/>
      <c r="F359" s="27"/>
      <c r="G359" s="27" t="s">
        <v>704</v>
      </c>
      <c r="H359" s="27"/>
      <c r="I359" s="27"/>
      <c r="J359" s="263">
        <v>7750</v>
      </c>
      <c r="K359" s="23"/>
      <c r="L359" s="23"/>
      <c r="M359" s="23"/>
      <c r="N359" s="23"/>
      <c r="O359" s="23"/>
    </row>
    <row r="360" spans="1:15" ht="15.75" thickBot="1" x14ac:dyDescent="0.3">
      <c r="A360" s="27"/>
      <c r="B360" s="27"/>
      <c r="C360" s="27"/>
      <c r="D360" s="27"/>
      <c r="E360" s="27"/>
      <c r="F360" s="27"/>
      <c r="G360" s="27" t="s">
        <v>704</v>
      </c>
      <c r="H360" s="27"/>
      <c r="I360" s="27"/>
      <c r="J360" s="263">
        <v>6000</v>
      </c>
      <c r="K360" s="23"/>
      <c r="L360" s="23"/>
      <c r="M360" s="23"/>
      <c r="N360" s="23"/>
      <c r="O360" s="23"/>
    </row>
    <row r="361" spans="1:15" x14ac:dyDescent="0.25">
      <c r="A361" s="27"/>
      <c r="B361" s="27"/>
      <c r="C361" s="27"/>
      <c r="D361" s="27"/>
      <c r="E361" s="27"/>
      <c r="F361" s="27" t="s">
        <v>357</v>
      </c>
      <c r="G361" s="27"/>
      <c r="H361" s="27"/>
      <c r="I361" s="27"/>
      <c r="J361" s="278">
        <f>ROUND(SUM(J288:J289)+SUM(J355:J360),5)</f>
        <v>4762390.1399999997</v>
      </c>
      <c r="K361" s="23"/>
      <c r="L361" s="23"/>
      <c r="M361" s="23"/>
      <c r="N361" s="23"/>
      <c r="O361" s="23"/>
    </row>
    <row r="362" spans="1:15" x14ac:dyDescent="0.25">
      <c r="A362" s="27"/>
      <c r="B362" s="27"/>
      <c r="C362" s="27"/>
      <c r="D362" s="27"/>
      <c r="E362" s="198"/>
      <c r="F362" s="198" t="s">
        <v>281</v>
      </c>
      <c r="G362" s="198"/>
      <c r="H362" s="198"/>
      <c r="I362" s="198"/>
      <c r="J362" s="252"/>
      <c r="K362" s="161"/>
      <c r="L362" s="161"/>
      <c r="M362" s="161"/>
      <c r="N362" s="161"/>
      <c r="O362" s="161"/>
    </row>
    <row r="363" spans="1:15" x14ac:dyDescent="0.25">
      <c r="A363" s="27"/>
      <c r="B363" s="27"/>
      <c r="C363" s="27"/>
      <c r="D363" s="27"/>
      <c r="E363" s="27"/>
      <c r="F363" s="27"/>
      <c r="G363" s="27" t="s">
        <v>282</v>
      </c>
      <c r="H363" s="27"/>
      <c r="I363" s="27"/>
      <c r="J363" s="252"/>
      <c r="K363" s="161"/>
      <c r="L363" s="161"/>
      <c r="M363" s="161"/>
      <c r="N363" s="161"/>
      <c r="O363" s="161"/>
    </row>
    <row r="364" spans="1:15" ht="15.75" thickBot="1" x14ac:dyDescent="0.3">
      <c r="A364" s="27"/>
      <c r="B364" s="27"/>
      <c r="C364" s="27"/>
      <c r="D364" s="27"/>
      <c r="E364" s="27"/>
      <c r="F364" s="27"/>
      <c r="G364" s="27"/>
      <c r="H364" s="27" t="s">
        <v>290</v>
      </c>
      <c r="I364" s="27"/>
      <c r="J364" s="256">
        <v>58500</v>
      </c>
      <c r="K364" s="161"/>
      <c r="L364" s="161"/>
      <c r="M364" s="161"/>
      <c r="N364" s="161"/>
      <c r="O364" s="161"/>
    </row>
    <row r="365" spans="1:15" x14ac:dyDescent="0.25">
      <c r="A365" s="27"/>
      <c r="B365" s="27"/>
      <c r="C365" s="27"/>
      <c r="D365" s="27"/>
      <c r="E365" s="27"/>
      <c r="F365" s="27"/>
      <c r="G365" s="27" t="s">
        <v>292</v>
      </c>
      <c r="H365" s="27"/>
      <c r="I365" s="27"/>
      <c r="J365" s="252">
        <v>58500</v>
      </c>
      <c r="K365" s="161"/>
      <c r="L365" s="161"/>
      <c r="M365" s="161"/>
      <c r="N365" s="161"/>
      <c r="O365" s="161"/>
    </row>
    <row r="366" spans="1:15" x14ac:dyDescent="0.25">
      <c r="A366" s="27"/>
      <c r="B366" s="27"/>
      <c r="C366" s="27"/>
      <c r="D366" s="27"/>
      <c r="E366" s="27"/>
      <c r="F366" s="27"/>
      <c r="G366" s="27" t="s">
        <v>293</v>
      </c>
      <c r="H366" s="27"/>
      <c r="I366" s="27"/>
      <c r="J366" s="252"/>
      <c r="K366" s="161"/>
      <c r="L366" s="161"/>
      <c r="M366" s="161"/>
      <c r="N366" s="161"/>
      <c r="O366" s="161"/>
    </row>
    <row r="367" spans="1:15" x14ac:dyDescent="0.25">
      <c r="A367" s="23"/>
      <c r="B367" s="27"/>
      <c r="C367" s="27"/>
      <c r="D367" s="27"/>
      <c r="E367" s="27"/>
      <c r="F367" s="27"/>
      <c r="G367" s="27"/>
      <c r="H367" s="27" t="s">
        <v>295</v>
      </c>
      <c r="I367" s="27"/>
      <c r="J367" s="252">
        <v>650</v>
      </c>
      <c r="K367" s="161"/>
      <c r="L367" s="161"/>
      <c r="M367" s="161"/>
      <c r="N367" s="161"/>
      <c r="O367" s="161"/>
    </row>
    <row r="368" spans="1:15" x14ac:dyDescent="0.25">
      <c r="A368" s="23"/>
      <c r="B368" s="27"/>
      <c r="C368" s="27"/>
      <c r="D368" s="27"/>
      <c r="E368" s="27"/>
      <c r="F368" s="27"/>
      <c r="G368" s="27"/>
      <c r="H368" s="27" t="s">
        <v>296</v>
      </c>
      <c r="I368" s="27"/>
      <c r="J368" s="252">
        <v>136764.6906</v>
      </c>
      <c r="K368" s="161"/>
      <c r="L368" s="161"/>
      <c r="M368" s="161"/>
      <c r="N368" s="161"/>
      <c r="O368" s="161"/>
    </row>
    <row r="369" spans="1:15" x14ac:dyDescent="0.25">
      <c r="A369" s="23"/>
      <c r="B369" s="27"/>
      <c r="C369" s="27"/>
      <c r="D369" s="27"/>
      <c r="E369" s="27"/>
      <c r="F369" s="27"/>
      <c r="G369" s="27"/>
      <c r="H369" s="27" t="s">
        <v>301</v>
      </c>
      <c r="I369" s="27"/>
      <c r="J369" s="252">
        <v>11524</v>
      </c>
      <c r="K369" s="161"/>
      <c r="L369" s="161"/>
      <c r="M369" s="161"/>
      <c r="N369" s="161"/>
      <c r="O369" s="161"/>
    </row>
    <row r="370" spans="1:15" s="102" customFormat="1" x14ac:dyDescent="0.25">
      <c r="A370" s="23"/>
      <c r="B370" s="27"/>
      <c r="C370" s="27"/>
      <c r="D370" s="27"/>
      <c r="E370" s="27"/>
      <c r="F370" s="27"/>
      <c r="G370" s="27"/>
      <c r="H370" s="27" t="s">
        <v>303</v>
      </c>
      <c r="I370" s="27"/>
      <c r="J370" s="252">
        <v>657.9</v>
      </c>
      <c r="K370" s="161"/>
      <c r="L370" s="161"/>
      <c r="M370" s="161"/>
      <c r="N370" s="161"/>
      <c r="O370" s="161"/>
    </row>
    <row r="371" spans="1:15" x14ac:dyDescent="0.25">
      <c r="A371" s="23"/>
      <c r="B371" s="27"/>
      <c r="C371" s="27"/>
      <c r="D371" s="27"/>
      <c r="E371" s="27"/>
      <c r="F371" s="27"/>
      <c r="G371" s="27"/>
      <c r="H371" s="27" t="s">
        <v>304</v>
      </c>
      <c r="I371" s="27"/>
      <c r="J371" s="252">
        <v>21442.767</v>
      </c>
      <c r="K371" s="161"/>
      <c r="L371" s="161"/>
      <c r="M371" s="161"/>
      <c r="N371" s="161"/>
      <c r="O371" s="161"/>
    </row>
    <row r="372" spans="1:15" x14ac:dyDescent="0.25">
      <c r="A372" s="23"/>
      <c r="B372" s="27"/>
      <c r="C372" s="27"/>
      <c r="D372" s="27"/>
      <c r="E372" s="27"/>
      <c r="F372" s="27"/>
      <c r="G372" s="27"/>
      <c r="H372" s="27" t="s">
        <v>305</v>
      </c>
      <c r="I372" s="27"/>
      <c r="J372" s="252">
        <v>17363.400000000001</v>
      </c>
      <c r="K372" s="161"/>
      <c r="L372" s="161"/>
      <c r="M372" s="161"/>
      <c r="N372" s="161"/>
      <c r="O372" s="161"/>
    </row>
    <row r="373" spans="1:15" x14ac:dyDescent="0.25">
      <c r="A373" s="23"/>
      <c r="B373" s="27"/>
      <c r="C373" s="27"/>
      <c r="D373" s="27"/>
      <c r="E373" s="27"/>
      <c r="F373" s="27"/>
      <c r="G373" s="27"/>
      <c r="H373" s="27" t="s">
        <v>306</v>
      </c>
      <c r="I373" s="27"/>
      <c r="J373" s="252">
        <v>15058.6</v>
      </c>
      <c r="K373" s="161"/>
      <c r="L373" s="161"/>
      <c r="M373" s="161"/>
      <c r="N373" s="161"/>
      <c r="O373" s="161"/>
    </row>
    <row r="374" spans="1:15" ht="15.75" thickBot="1" x14ac:dyDescent="0.3">
      <c r="A374" s="27"/>
      <c r="B374" s="27"/>
      <c r="C374" s="27"/>
      <c r="D374" s="27"/>
      <c r="E374" s="27"/>
      <c r="F374" s="27"/>
      <c r="G374" s="27"/>
      <c r="H374" s="27" t="s">
        <v>309</v>
      </c>
      <c r="I374" s="27"/>
      <c r="J374" s="256">
        <v>2150</v>
      </c>
      <c r="K374" s="161"/>
      <c r="L374" s="161"/>
      <c r="M374" s="161"/>
      <c r="N374" s="161"/>
      <c r="O374" s="161"/>
    </row>
    <row r="375" spans="1:15" x14ac:dyDescent="0.25">
      <c r="A375" s="27"/>
      <c r="B375" s="27"/>
      <c r="C375" s="27"/>
      <c r="D375" s="27"/>
      <c r="E375" s="27"/>
      <c r="F375" s="27"/>
      <c r="G375" s="27" t="s">
        <v>310</v>
      </c>
      <c r="H375" s="27"/>
      <c r="I375" s="27"/>
      <c r="J375" s="252">
        <v>205611.35759999999</v>
      </c>
      <c r="K375" s="161"/>
      <c r="L375" s="161"/>
      <c r="M375" s="161"/>
      <c r="N375" s="161"/>
      <c r="O375" s="161"/>
    </row>
    <row r="376" spans="1:15" x14ac:dyDescent="0.25">
      <c r="A376" s="27"/>
      <c r="B376" s="27"/>
      <c r="C376" s="27"/>
      <c r="D376" s="27"/>
      <c r="E376" s="27"/>
      <c r="F376" s="27"/>
      <c r="G376" s="27" t="s">
        <v>311</v>
      </c>
      <c r="H376" s="27"/>
      <c r="I376" s="27"/>
      <c r="J376" s="252"/>
      <c r="K376" s="161"/>
      <c r="L376" s="161"/>
      <c r="M376" s="161"/>
      <c r="N376" s="161"/>
      <c r="O376" s="161"/>
    </row>
    <row r="377" spans="1:15" x14ac:dyDescent="0.25">
      <c r="B377" s="27"/>
      <c r="C377" s="27"/>
      <c r="D377" s="27"/>
      <c r="E377" s="27"/>
      <c r="F377" s="27"/>
      <c r="G377" s="27"/>
      <c r="H377" s="27" t="s">
        <v>312</v>
      </c>
      <c r="I377" s="27"/>
      <c r="J377" s="252">
        <v>15040.797999999999</v>
      </c>
      <c r="K377" s="161"/>
      <c r="L377" s="161"/>
      <c r="M377" s="161"/>
      <c r="N377" s="161"/>
      <c r="O377" s="161"/>
    </row>
    <row r="378" spans="1:15" s="102" customFormat="1" x14ac:dyDescent="0.25">
      <c r="A378" s="31"/>
      <c r="B378" s="27"/>
      <c r="C378" s="27"/>
      <c r="D378" s="27"/>
      <c r="E378" s="27"/>
      <c r="F378" s="27"/>
      <c r="G378" s="27"/>
      <c r="H378" s="27" t="s">
        <v>313</v>
      </c>
      <c r="I378" s="27"/>
      <c r="J378" s="252">
        <v>6196.8504000000003</v>
      </c>
      <c r="K378" s="161"/>
      <c r="L378" s="161"/>
      <c r="M378" s="161"/>
      <c r="N378" s="161"/>
      <c r="O378" s="161"/>
    </row>
    <row r="379" spans="1:15" x14ac:dyDescent="0.25">
      <c r="A379" s="27"/>
      <c r="B379" s="27"/>
      <c r="C379" s="27"/>
      <c r="D379" s="27"/>
      <c r="E379" s="27"/>
      <c r="F379" s="27"/>
      <c r="G379" s="27"/>
      <c r="H379" s="27" t="s">
        <v>316</v>
      </c>
      <c r="I379" s="27"/>
      <c r="J379" s="253">
        <v>3647.9638</v>
      </c>
      <c r="K379" s="161"/>
      <c r="L379" s="161"/>
      <c r="M379" s="161"/>
      <c r="N379" s="161"/>
      <c r="O379" s="161"/>
    </row>
    <row r="380" spans="1:15" x14ac:dyDescent="0.25">
      <c r="A380" s="27"/>
      <c r="B380" s="27"/>
      <c r="C380" s="27"/>
      <c r="D380" s="27"/>
      <c r="E380" s="27"/>
      <c r="F380" s="27"/>
      <c r="G380" s="27"/>
      <c r="H380" s="27" t="s">
        <v>314</v>
      </c>
      <c r="I380" s="27"/>
      <c r="J380" s="252">
        <v>71783.314199999993</v>
      </c>
      <c r="K380" s="161"/>
      <c r="L380" s="161"/>
      <c r="M380" s="161"/>
      <c r="N380" s="161"/>
      <c r="O380" s="161"/>
    </row>
    <row r="381" spans="1:15" ht="15.75" thickBot="1" x14ac:dyDescent="0.3">
      <c r="A381" s="27"/>
      <c r="B381" s="27"/>
      <c r="C381" s="27"/>
      <c r="D381" s="27"/>
      <c r="E381" s="27"/>
      <c r="F381" s="27"/>
      <c r="G381" s="27"/>
      <c r="H381" s="27" t="s">
        <v>315</v>
      </c>
      <c r="I381" s="27"/>
      <c r="J381" s="256">
        <v>14232.857600000001</v>
      </c>
      <c r="K381" s="161"/>
      <c r="L381" s="161"/>
      <c r="M381" s="161"/>
      <c r="N381" s="161"/>
      <c r="O381" s="161"/>
    </row>
    <row r="382" spans="1:15" x14ac:dyDescent="0.25">
      <c r="A382" s="27"/>
      <c r="B382" s="27"/>
      <c r="C382" s="27"/>
      <c r="D382" s="27"/>
      <c r="E382" s="27"/>
      <c r="F382" s="27"/>
      <c r="G382" s="27" t="s">
        <v>318</v>
      </c>
      <c r="H382" s="27"/>
      <c r="I382" s="27"/>
      <c r="J382" s="252">
        <v>110901.784</v>
      </c>
      <c r="K382" s="161"/>
      <c r="L382" s="161"/>
      <c r="M382" s="161"/>
      <c r="N382" s="161"/>
      <c r="O382" s="161"/>
    </row>
    <row r="383" spans="1:15" x14ac:dyDescent="0.25">
      <c r="A383" s="27"/>
      <c r="B383" s="27"/>
      <c r="C383" s="27"/>
      <c r="D383" s="27"/>
      <c r="E383" s="27"/>
      <c r="F383" s="27"/>
      <c r="G383" s="27" t="s">
        <v>319</v>
      </c>
      <c r="H383" s="27"/>
      <c r="I383" s="27"/>
      <c r="J383" s="252"/>
      <c r="K383" s="161"/>
      <c r="L383" s="161"/>
      <c r="M383" s="161"/>
      <c r="N383" s="161"/>
      <c r="O383" s="161"/>
    </row>
    <row r="384" spans="1:15" x14ac:dyDescent="0.25">
      <c r="A384" s="27"/>
      <c r="B384" s="27"/>
      <c r="C384" s="27"/>
      <c r="D384" s="27"/>
      <c r="E384" s="27"/>
      <c r="F384" s="27"/>
      <c r="G384" s="27"/>
      <c r="H384" s="27" t="s">
        <v>320</v>
      </c>
      <c r="I384" s="27"/>
      <c r="J384" s="252">
        <v>11973.78</v>
      </c>
      <c r="K384" s="161"/>
      <c r="L384" s="161"/>
      <c r="M384" s="161"/>
      <c r="N384" s="161"/>
      <c r="O384" s="161"/>
    </row>
    <row r="385" spans="1:15" x14ac:dyDescent="0.25">
      <c r="A385" s="27"/>
      <c r="B385" s="27"/>
      <c r="C385" s="27"/>
      <c r="D385" s="27"/>
      <c r="E385" s="27"/>
      <c r="F385" s="27"/>
      <c r="G385" s="27"/>
      <c r="H385" s="27" t="s">
        <v>321</v>
      </c>
      <c r="I385" s="27"/>
      <c r="J385" s="252">
        <v>5768.6477999999997</v>
      </c>
      <c r="K385" s="161"/>
      <c r="L385" s="161"/>
      <c r="M385" s="161"/>
      <c r="N385" s="161"/>
      <c r="O385" s="161"/>
    </row>
    <row r="386" spans="1:15" x14ac:dyDescent="0.25">
      <c r="A386" s="27"/>
      <c r="B386" s="27"/>
      <c r="C386" s="27"/>
      <c r="D386" s="27"/>
      <c r="E386" s="27"/>
      <c r="F386" s="27"/>
      <c r="G386" s="27"/>
      <c r="H386" s="27" t="s">
        <v>322</v>
      </c>
      <c r="I386" s="27"/>
      <c r="J386" s="252">
        <v>107500</v>
      </c>
      <c r="K386" s="161"/>
      <c r="L386" s="161"/>
      <c r="M386" s="161"/>
      <c r="N386" s="161"/>
      <c r="O386" s="161"/>
    </row>
    <row r="387" spans="1:15" ht="15.75" thickBot="1" x14ac:dyDescent="0.3">
      <c r="A387" s="27"/>
      <c r="B387" s="27"/>
      <c r="C387" s="27"/>
      <c r="D387" s="27"/>
      <c r="E387" s="27"/>
      <c r="F387" s="27"/>
      <c r="G387" s="27"/>
      <c r="H387" s="27" t="s">
        <v>323</v>
      </c>
      <c r="I387" s="27"/>
      <c r="J387" s="256">
        <v>200342.93399999998</v>
      </c>
      <c r="K387" s="161"/>
      <c r="L387" s="161"/>
      <c r="M387" s="161"/>
      <c r="N387" s="161"/>
      <c r="O387" s="161"/>
    </row>
    <row r="388" spans="1:15" x14ac:dyDescent="0.25">
      <c r="A388" s="27"/>
      <c r="B388" s="27"/>
      <c r="C388" s="27"/>
      <c r="D388" s="27"/>
      <c r="E388" s="27"/>
      <c r="F388" s="27"/>
      <c r="G388" s="27" t="s">
        <v>324</v>
      </c>
      <c r="H388" s="27"/>
      <c r="I388" s="27"/>
      <c r="J388" s="252">
        <v>325585.36179999996</v>
      </c>
      <c r="K388" s="161"/>
      <c r="L388" s="161"/>
      <c r="M388" s="161"/>
      <c r="N388" s="161"/>
      <c r="O388" s="161"/>
    </row>
    <row r="389" spans="1:15" x14ac:dyDescent="0.25">
      <c r="A389" s="27"/>
      <c r="B389" s="27"/>
      <c r="C389" s="27"/>
      <c r="D389" s="27"/>
      <c r="E389" s="27"/>
      <c r="F389" s="27"/>
      <c r="G389" s="27" t="s">
        <v>325</v>
      </c>
      <c r="H389" s="27"/>
      <c r="I389" s="27"/>
      <c r="J389" s="252"/>
      <c r="K389" s="161"/>
      <c r="L389" s="161"/>
      <c r="M389" s="161"/>
      <c r="N389" s="161"/>
      <c r="O389" s="161"/>
    </row>
    <row r="390" spans="1:15" x14ac:dyDescent="0.25">
      <c r="A390" s="27"/>
      <c r="B390" s="27"/>
      <c r="C390" s="27"/>
      <c r="D390" s="27"/>
      <c r="E390" s="27"/>
      <c r="F390" s="27"/>
      <c r="G390" s="27"/>
      <c r="H390" s="27" t="s">
        <v>328</v>
      </c>
      <c r="I390" s="27"/>
      <c r="J390" s="252">
        <v>74949.560400000002</v>
      </c>
      <c r="K390" s="161"/>
      <c r="L390" s="161"/>
      <c r="M390" s="161"/>
      <c r="N390" s="161"/>
      <c r="O390" s="161"/>
    </row>
    <row r="391" spans="1:15" x14ac:dyDescent="0.25">
      <c r="A391" s="27"/>
      <c r="B391" s="27"/>
      <c r="C391" s="27"/>
      <c r="D391" s="27"/>
      <c r="E391" s="27"/>
      <c r="F391" s="27"/>
      <c r="G391" s="27"/>
      <c r="H391" s="27" t="s">
        <v>330</v>
      </c>
      <c r="I391" s="27"/>
      <c r="J391" s="252">
        <v>22482.12</v>
      </c>
      <c r="K391" s="161"/>
      <c r="L391" s="161"/>
      <c r="M391" s="161"/>
      <c r="N391" s="161"/>
      <c r="O391" s="161"/>
    </row>
    <row r="392" spans="1:15" x14ac:dyDescent="0.25">
      <c r="A392" s="27"/>
      <c r="B392" s="27"/>
      <c r="C392" s="27"/>
      <c r="D392" s="27"/>
      <c r="E392" s="27"/>
      <c r="F392" s="27"/>
      <c r="G392" s="27"/>
      <c r="H392" s="27" t="s">
        <v>680</v>
      </c>
      <c r="I392" s="27"/>
      <c r="J392" s="252"/>
      <c r="K392" s="161"/>
      <c r="L392" s="161"/>
      <c r="M392" s="161"/>
      <c r="N392" s="161"/>
      <c r="O392" s="161"/>
    </row>
    <row r="393" spans="1:15" x14ac:dyDescent="0.25">
      <c r="A393" s="27"/>
      <c r="B393" s="27"/>
      <c r="C393" s="27"/>
      <c r="D393" s="27"/>
      <c r="E393" s="27"/>
      <c r="F393" s="27"/>
      <c r="G393" s="27"/>
      <c r="H393" s="27"/>
      <c r="I393" s="27" t="s">
        <v>681</v>
      </c>
      <c r="J393" s="252">
        <v>1032</v>
      </c>
      <c r="K393" s="161"/>
      <c r="L393" s="161"/>
      <c r="M393" s="161"/>
      <c r="N393" s="161"/>
      <c r="O393" s="161"/>
    </row>
    <row r="394" spans="1:15" ht="15.75" thickBot="1" x14ac:dyDescent="0.3">
      <c r="A394" s="27"/>
      <c r="B394" s="27"/>
      <c r="C394" s="27"/>
      <c r="D394" s="27"/>
      <c r="E394" s="27"/>
      <c r="F394" s="27"/>
      <c r="G394" s="27"/>
      <c r="H394" s="27"/>
      <c r="I394" s="27" t="s">
        <v>728</v>
      </c>
      <c r="J394" s="253">
        <v>260</v>
      </c>
      <c r="K394" s="161"/>
      <c r="L394" s="161"/>
      <c r="M394" s="161"/>
      <c r="N394" s="161"/>
      <c r="O394" s="161"/>
    </row>
    <row r="395" spans="1:15" ht="15.75" thickBot="1" x14ac:dyDescent="0.3">
      <c r="A395" s="27"/>
      <c r="B395" s="27"/>
      <c r="C395" s="27"/>
      <c r="D395" s="27"/>
      <c r="E395" s="27"/>
      <c r="F395" s="27"/>
      <c r="G395" s="27"/>
      <c r="H395" s="27" t="s">
        <v>683</v>
      </c>
      <c r="I395" s="27"/>
      <c r="J395" s="255">
        <v>1292</v>
      </c>
      <c r="K395" s="161"/>
      <c r="L395" s="161"/>
      <c r="M395" s="161"/>
      <c r="N395" s="161"/>
      <c r="O395" s="161"/>
    </row>
    <row r="396" spans="1:15" x14ac:dyDescent="0.25">
      <c r="A396" s="27"/>
      <c r="B396" s="27"/>
      <c r="C396" s="27"/>
      <c r="D396" s="27"/>
      <c r="E396" s="27"/>
      <c r="F396" s="27"/>
      <c r="G396" s="27" t="s">
        <v>333</v>
      </c>
      <c r="H396" s="27"/>
      <c r="I396" s="27"/>
      <c r="J396" s="252">
        <v>98723.680399999997</v>
      </c>
      <c r="K396" s="161"/>
      <c r="L396" s="161"/>
      <c r="M396" s="161"/>
      <c r="N396" s="161"/>
      <c r="O396" s="161"/>
    </row>
    <row r="397" spans="1:15" x14ac:dyDescent="0.25">
      <c r="A397" s="27"/>
      <c r="B397" s="27"/>
      <c r="C397" s="27"/>
      <c r="D397" s="27"/>
      <c r="E397" s="27"/>
      <c r="F397" s="27"/>
      <c r="G397" s="27" t="s">
        <v>340</v>
      </c>
      <c r="H397" s="27"/>
      <c r="I397" s="27"/>
      <c r="J397" s="252"/>
      <c r="K397" s="161"/>
      <c r="L397" s="161"/>
      <c r="M397" s="161"/>
      <c r="N397" s="161"/>
      <c r="O397" s="161"/>
    </row>
    <row r="398" spans="1:15" ht="15.75" thickBot="1" x14ac:dyDescent="0.3">
      <c r="A398" s="27"/>
      <c r="B398" s="27"/>
      <c r="C398" s="27"/>
      <c r="D398" s="27"/>
      <c r="E398" s="27"/>
      <c r="F398" s="27"/>
      <c r="G398" s="27"/>
      <c r="H398" s="27" t="s">
        <v>341</v>
      </c>
      <c r="I398" s="27"/>
      <c r="J398" s="256">
        <v>4076.4</v>
      </c>
      <c r="K398" s="161"/>
      <c r="L398" s="161"/>
      <c r="M398" s="161"/>
      <c r="N398" s="161"/>
      <c r="O398" s="161"/>
    </row>
    <row r="399" spans="1:15" x14ac:dyDescent="0.25">
      <c r="B399" s="27"/>
      <c r="C399" s="27"/>
      <c r="D399" s="27"/>
      <c r="E399" s="27"/>
      <c r="F399" s="27"/>
      <c r="G399" s="27" t="s">
        <v>342</v>
      </c>
      <c r="H399" s="27"/>
      <c r="I399" s="27"/>
      <c r="J399" s="252">
        <v>4076.4</v>
      </c>
      <c r="K399" s="161"/>
      <c r="L399" s="161"/>
      <c r="M399" s="161"/>
      <c r="N399" s="161"/>
      <c r="O399" s="161"/>
    </row>
    <row r="400" spans="1:15" s="102" customFormat="1" x14ac:dyDescent="0.25">
      <c r="A400" s="31"/>
      <c r="B400" s="27"/>
      <c r="C400" s="27"/>
      <c r="D400" s="27"/>
      <c r="E400" s="27"/>
      <c r="F400" s="27"/>
      <c r="G400" s="27" t="s">
        <v>343</v>
      </c>
      <c r="H400" s="27"/>
      <c r="I400" s="27"/>
      <c r="J400" s="252"/>
      <c r="K400" s="161"/>
      <c r="L400" s="161"/>
      <c r="M400" s="161"/>
      <c r="N400" s="161"/>
      <c r="O400" s="161"/>
    </row>
    <row r="401" spans="1:15" x14ac:dyDescent="0.25">
      <c r="A401" s="27"/>
      <c r="B401" s="27"/>
      <c r="C401" s="27"/>
      <c r="D401" s="27"/>
      <c r="E401" s="27"/>
      <c r="F401" s="27"/>
      <c r="G401" s="27"/>
      <c r="H401" s="27" t="s">
        <v>344</v>
      </c>
      <c r="I401" s="27"/>
      <c r="J401" s="252">
        <v>0</v>
      </c>
      <c r="K401" s="161"/>
      <c r="L401" s="161"/>
      <c r="M401" s="161"/>
      <c r="N401" s="161"/>
      <c r="O401" s="161"/>
    </row>
    <row r="402" spans="1:15" x14ac:dyDescent="0.25">
      <c r="A402" s="27"/>
      <c r="B402" s="27"/>
      <c r="C402" s="27"/>
      <c r="D402" s="27"/>
      <c r="E402" s="27"/>
      <c r="F402" s="27"/>
      <c r="G402" s="27"/>
      <c r="H402" s="27" t="s">
        <v>345</v>
      </c>
      <c r="I402" s="27"/>
      <c r="J402" s="252">
        <v>0</v>
      </c>
      <c r="K402" s="161"/>
      <c r="L402" s="161"/>
      <c r="M402" s="161"/>
      <c r="N402" s="161"/>
      <c r="O402" s="161"/>
    </row>
    <row r="403" spans="1:15" x14ac:dyDescent="0.25">
      <c r="A403" s="27"/>
      <c r="B403" s="27"/>
      <c r="C403" s="27"/>
      <c r="D403" s="27"/>
      <c r="E403" s="27"/>
      <c r="F403" s="27"/>
      <c r="G403" s="27"/>
      <c r="H403" s="27" t="s">
        <v>346</v>
      </c>
      <c r="I403" s="27"/>
      <c r="J403" s="252">
        <v>0</v>
      </c>
      <c r="K403" s="161"/>
      <c r="L403" s="161"/>
      <c r="M403" s="161"/>
      <c r="N403" s="161"/>
      <c r="O403" s="161"/>
    </row>
    <row r="404" spans="1:15" ht="15.75" thickBot="1" x14ac:dyDescent="0.3">
      <c r="A404" s="27"/>
      <c r="B404" s="27"/>
      <c r="C404" s="27"/>
      <c r="D404" s="27"/>
      <c r="E404" s="27"/>
      <c r="F404" s="27"/>
      <c r="G404" s="27"/>
      <c r="H404" s="27" t="s">
        <v>347</v>
      </c>
      <c r="I404" s="27"/>
      <c r="J404" s="253">
        <v>0</v>
      </c>
      <c r="K404" s="161"/>
      <c r="L404" s="161"/>
      <c r="M404" s="161"/>
      <c r="N404" s="161"/>
      <c r="O404" s="161"/>
    </row>
    <row r="405" spans="1:15" ht="15.75" thickBot="1" x14ac:dyDescent="0.3">
      <c r="A405" s="27"/>
      <c r="B405" s="27"/>
      <c r="C405" s="27"/>
      <c r="D405" s="27"/>
      <c r="E405" s="27"/>
      <c r="F405" s="27"/>
      <c r="G405" s="27" t="s">
        <v>353</v>
      </c>
      <c r="H405" s="27"/>
      <c r="I405" s="27"/>
      <c r="J405" s="254">
        <v>0</v>
      </c>
      <c r="K405" s="161"/>
      <c r="L405" s="161"/>
      <c r="M405" s="161"/>
      <c r="N405" s="161"/>
      <c r="O405" s="161"/>
    </row>
    <row r="406" spans="1:15" ht="15.75" thickBot="1" x14ac:dyDescent="0.3">
      <c r="A406" s="27"/>
      <c r="B406" s="27"/>
      <c r="C406" s="27"/>
      <c r="D406" s="27"/>
      <c r="E406" s="27"/>
      <c r="F406" s="27" t="s">
        <v>355</v>
      </c>
      <c r="G406" s="27"/>
      <c r="H406" s="27"/>
      <c r="I406" s="27"/>
      <c r="J406" s="254">
        <f>J365+J375+J382+J388+J396+J405+J399</f>
        <v>803398.58379999991</v>
      </c>
      <c r="K406" s="161"/>
      <c r="L406" s="161"/>
      <c r="M406" s="161"/>
      <c r="N406" s="161"/>
      <c r="O406" s="161"/>
    </row>
    <row r="407" spans="1:15" ht="15.75" thickBot="1" x14ac:dyDescent="0.3">
      <c r="A407" s="27"/>
      <c r="B407" s="27" t="s">
        <v>358</v>
      </c>
      <c r="C407" s="27"/>
      <c r="D407" s="27"/>
      <c r="E407" s="27"/>
      <c r="F407" s="27"/>
      <c r="G407" s="27"/>
      <c r="H407" s="27"/>
      <c r="I407" s="27"/>
      <c r="J407" s="278">
        <f>ROUND(J280+J287-J361,5)-J406</f>
        <v>-803331.4537999999</v>
      </c>
      <c r="K407" s="161"/>
      <c r="L407" s="161"/>
      <c r="M407" s="161"/>
      <c r="N407" s="161"/>
      <c r="O407" s="161"/>
    </row>
    <row r="408" spans="1:15" s="104" customFormat="1" ht="12" thickBot="1" x14ac:dyDescent="0.25">
      <c r="A408" s="27" t="s">
        <v>372</v>
      </c>
      <c r="B408" s="27"/>
      <c r="C408" s="27"/>
      <c r="D408" s="27"/>
      <c r="E408" s="27"/>
      <c r="F408" s="27"/>
      <c r="G408" s="27"/>
      <c r="H408" s="27"/>
      <c r="I408" s="27"/>
      <c r="J408" s="279">
        <f>J407</f>
        <v>-803331.4537999999</v>
      </c>
      <c r="K408" s="161"/>
      <c r="L408" s="161"/>
      <c r="M408" s="161"/>
      <c r="N408" s="161"/>
      <c r="O408" s="161"/>
    </row>
    <row r="409" spans="1:15" ht="15.75" thickTop="1" x14ac:dyDescent="0.25">
      <c r="A409" s="27"/>
      <c r="K409" s="161"/>
      <c r="L409" s="161"/>
      <c r="M409" s="161"/>
      <c r="N409" s="161"/>
      <c r="O409" s="161"/>
    </row>
  </sheetData>
  <pageMargins left="0.7" right="0.7" top="0.75" bottom="0.75" header="0.25" footer="0.3"/>
  <pageSetup orientation="portrait" horizontalDpi="4294967292" r:id="rId1"/>
  <headerFooter>
    <oddHeader>&amp;L&amp;"Arial,Bold"&amp;8 2:07 AM
&amp;"Arial,Bold"&amp;8 03/09/15
&amp;"Arial,Bold"&amp;8 Accrual Basis&amp;C&amp;"Arial,Bold"&amp;12 Tropical Fish International (Pvt) Limited
&amp;"Arial,Bold"&amp;14 Profit &amp;&amp; Loss
&amp;"Arial,Bold"&amp;10 January 30 through February 26, 2015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232450" r:id="rId4" name="HEADER">
          <controlPr defaultSize="0" autoLine="0" r:id="rId5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2</xdr:col>
                <xdr:colOff>57150</xdr:colOff>
                <xdr:row>4</xdr:row>
                <xdr:rowOff>28575</xdr:rowOff>
              </to>
            </anchor>
          </controlPr>
        </control>
      </mc:Choice>
      <mc:Fallback>
        <control shapeId="232450" r:id="rId4" name="HEADER"/>
      </mc:Fallback>
    </mc:AlternateContent>
    <mc:AlternateContent xmlns:mc="http://schemas.openxmlformats.org/markup-compatibility/2006">
      <mc:Choice Requires="x14">
        <control shapeId="232449" r:id="rId6" name="FILTER">
          <controlPr defaultSize="0" autoLine="0" r:id="rId7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2</xdr:col>
                <xdr:colOff>57150</xdr:colOff>
                <xdr:row>4</xdr:row>
                <xdr:rowOff>28575</xdr:rowOff>
              </to>
            </anchor>
          </controlPr>
        </control>
      </mc:Choice>
      <mc:Fallback>
        <control shapeId="232449" r:id="rId6" name="FILTER"/>
      </mc:Fallback>
    </mc:AlternateContent>
  </control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197"/>
  <sheetViews>
    <sheetView topLeftCell="A190" workbookViewId="0">
      <selection activeCell="J209" sqref="J209"/>
    </sheetView>
  </sheetViews>
  <sheetFormatPr defaultRowHeight="15" x14ac:dyDescent="0.25"/>
  <cols>
    <col min="2" max="5" width="1.28515625" customWidth="1"/>
    <col min="6" max="8" width="1.85546875" customWidth="1"/>
    <col min="9" max="9" width="38.7109375" customWidth="1"/>
    <col min="10" max="10" width="12" bestFit="1" customWidth="1"/>
    <col min="11" max="11" width="10.42578125" hidden="1" customWidth="1"/>
  </cols>
  <sheetData>
    <row r="1" spans="1:11" ht="44.25" customHeight="1" x14ac:dyDescent="0.25">
      <c r="A1" s="50"/>
      <c r="B1" s="50"/>
      <c r="C1" s="50"/>
      <c r="D1" s="50"/>
      <c r="E1" s="50"/>
      <c r="F1" s="50"/>
      <c r="G1" s="50"/>
      <c r="H1" s="50"/>
      <c r="I1" s="50"/>
      <c r="J1" s="259"/>
      <c r="K1" s="259"/>
    </row>
    <row r="2" spans="1:11" ht="46.5" customHeight="1" thickBot="1" x14ac:dyDescent="0.3">
      <c r="A2" s="248" t="s">
        <v>629</v>
      </c>
      <c r="B2" s="249"/>
      <c r="C2" s="249"/>
      <c r="D2" s="102"/>
      <c r="E2" s="31"/>
      <c r="F2" s="31"/>
      <c r="G2" s="31"/>
      <c r="H2" s="31"/>
      <c r="I2" s="31"/>
      <c r="J2" s="250" t="s">
        <v>690</v>
      </c>
      <c r="K2" s="102"/>
    </row>
    <row r="3" spans="1:11" ht="15.75" thickTop="1" x14ac:dyDescent="0.25">
      <c r="A3" s="27"/>
      <c r="B3" s="27" t="s">
        <v>53</v>
      </c>
      <c r="C3" s="27"/>
      <c r="D3" s="27"/>
      <c r="E3" s="27"/>
      <c r="F3" s="27"/>
      <c r="G3" s="27"/>
      <c r="H3" s="27"/>
      <c r="I3" s="27"/>
      <c r="J3" s="28"/>
      <c r="K3" s="266"/>
    </row>
    <row r="4" spans="1:11" x14ac:dyDescent="0.25">
      <c r="A4" s="27"/>
      <c r="B4" s="27"/>
      <c r="C4" s="27"/>
      <c r="D4" s="27" t="s">
        <v>54</v>
      </c>
      <c r="E4" s="27"/>
      <c r="F4" s="27"/>
      <c r="G4" s="27"/>
      <c r="H4" s="27"/>
      <c r="I4" s="27"/>
      <c r="J4" s="28"/>
      <c r="K4" s="266"/>
    </row>
    <row r="5" spans="1:11" x14ac:dyDescent="0.25">
      <c r="A5" s="27"/>
      <c r="B5" s="27"/>
      <c r="C5" s="27"/>
      <c r="D5" s="27"/>
      <c r="E5" s="27" t="s">
        <v>55</v>
      </c>
      <c r="F5" s="27"/>
      <c r="G5" s="27"/>
      <c r="H5" s="27"/>
      <c r="I5" s="27"/>
      <c r="J5" s="28"/>
      <c r="K5" s="266"/>
    </row>
    <row r="6" spans="1:11" x14ac:dyDescent="0.25">
      <c r="A6" s="27"/>
      <c r="B6" s="27"/>
      <c r="C6" s="27"/>
      <c r="D6" s="27"/>
      <c r="E6" s="27"/>
      <c r="F6" s="27" t="s">
        <v>56</v>
      </c>
      <c r="G6" s="27"/>
      <c r="H6" s="27"/>
      <c r="I6" s="27"/>
      <c r="J6" s="28">
        <v>3223230</v>
      </c>
      <c r="K6" s="266"/>
    </row>
    <row r="7" spans="1:11" x14ac:dyDescent="0.25">
      <c r="A7" s="27"/>
      <c r="B7" s="27"/>
      <c r="C7" s="27"/>
      <c r="D7" s="27"/>
      <c r="E7" s="27"/>
      <c r="F7" s="27" t="s">
        <v>58</v>
      </c>
      <c r="G7" s="27"/>
      <c r="H7" s="27"/>
      <c r="I7" s="27"/>
      <c r="J7" s="28">
        <v>912689</v>
      </c>
      <c r="K7" s="266"/>
    </row>
    <row r="8" spans="1:11" x14ac:dyDescent="0.25">
      <c r="A8" s="27"/>
      <c r="B8" s="27"/>
      <c r="C8" s="27"/>
      <c r="D8" s="27"/>
      <c r="E8" s="27"/>
      <c r="F8" s="27" t="s">
        <v>59</v>
      </c>
      <c r="G8" s="27"/>
      <c r="H8" s="27"/>
      <c r="I8" s="27"/>
      <c r="J8" s="28">
        <v>119518</v>
      </c>
      <c r="K8" s="266"/>
    </row>
    <row r="9" spans="1:11" x14ac:dyDescent="0.25">
      <c r="A9" s="27"/>
      <c r="B9" s="27"/>
      <c r="C9" s="27"/>
      <c r="D9" s="27"/>
      <c r="E9" s="27"/>
      <c r="F9" s="27" t="s">
        <v>60</v>
      </c>
      <c r="G9" s="27"/>
      <c r="H9" s="27"/>
      <c r="I9" s="27"/>
      <c r="J9" s="28">
        <v>1851281</v>
      </c>
      <c r="K9" s="266"/>
    </row>
    <row r="10" spans="1:11" x14ac:dyDescent="0.25">
      <c r="A10" s="27"/>
      <c r="B10" s="27"/>
      <c r="C10" s="27"/>
      <c r="D10" s="27"/>
      <c r="E10" s="27"/>
      <c r="F10" s="27" t="s">
        <v>61</v>
      </c>
      <c r="G10" s="27"/>
      <c r="H10" s="27"/>
      <c r="I10" s="27"/>
      <c r="J10" s="28">
        <v>63076</v>
      </c>
      <c r="K10" s="266"/>
    </row>
    <row r="11" spans="1:11" x14ac:dyDescent="0.25">
      <c r="A11" s="27"/>
      <c r="B11" s="27"/>
      <c r="C11" s="27"/>
      <c r="D11" s="27"/>
      <c r="E11" s="27"/>
      <c r="F11" s="27" t="s">
        <v>62</v>
      </c>
      <c r="G11" s="27"/>
      <c r="H11" s="27"/>
      <c r="I11" s="27"/>
      <c r="J11" s="28"/>
      <c r="K11" s="266"/>
    </row>
    <row r="12" spans="1:11" ht="15.75" thickBot="1" x14ac:dyDescent="0.3">
      <c r="A12" s="27"/>
      <c r="B12" s="27"/>
      <c r="C12" s="27"/>
      <c r="D12" s="27"/>
      <c r="E12" s="27"/>
      <c r="F12" s="27"/>
      <c r="G12" s="27" t="s">
        <v>79</v>
      </c>
      <c r="H12" s="27"/>
      <c r="I12" s="27"/>
      <c r="J12" s="30">
        <v>-65000</v>
      </c>
      <c r="K12" s="263"/>
    </row>
    <row r="13" spans="1:11" ht="15.75" thickBot="1" x14ac:dyDescent="0.3">
      <c r="A13" s="27"/>
      <c r="B13" s="27"/>
      <c r="C13" s="27"/>
      <c r="D13" s="27"/>
      <c r="E13" s="27"/>
      <c r="F13" s="27" t="s">
        <v>81</v>
      </c>
      <c r="G13" s="27"/>
      <c r="H13" s="27"/>
      <c r="I13" s="27"/>
      <c r="J13" s="34">
        <f>ROUND(SUM(J11:J12),5)</f>
        <v>-65000</v>
      </c>
      <c r="K13" s="263"/>
    </row>
    <row r="14" spans="1:11" ht="15.75" thickBot="1" x14ac:dyDescent="0.3">
      <c r="A14" s="27"/>
      <c r="B14" s="27"/>
      <c r="C14" s="27"/>
      <c r="D14" s="27"/>
      <c r="E14" s="27" t="s">
        <v>82</v>
      </c>
      <c r="F14" s="27"/>
      <c r="G14" s="27"/>
      <c r="H14" s="27"/>
      <c r="I14" s="27"/>
      <c r="J14" s="33">
        <f>ROUND(SUM(J5:J10)+J13,5)</f>
        <v>6104794</v>
      </c>
      <c r="K14" s="263"/>
    </row>
    <row r="15" spans="1:11" x14ac:dyDescent="0.25">
      <c r="A15" s="27"/>
      <c r="B15" s="27"/>
      <c r="C15" s="27"/>
      <c r="D15" s="27" t="s">
        <v>88</v>
      </c>
      <c r="E15" s="27"/>
      <c r="F15" s="27"/>
      <c r="G15" s="27"/>
      <c r="H15" s="27"/>
      <c r="I15" s="27"/>
      <c r="J15" s="28">
        <f>ROUND(J4+J14,5)</f>
        <v>6104794</v>
      </c>
      <c r="K15" s="266"/>
    </row>
    <row r="16" spans="1:11" x14ac:dyDescent="0.25">
      <c r="A16" s="27"/>
      <c r="B16" s="27"/>
      <c r="C16" s="27"/>
      <c r="D16" s="27" t="s">
        <v>89</v>
      </c>
      <c r="E16" s="27"/>
      <c r="F16" s="27"/>
      <c r="G16" s="27"/>
      <c r="H16" s="27"/>
      <c r="I16" s="27"/>
      <c r="J16" s="28"/>
      <c r="K16" s="266"/>
    </row>
    <row r="17" spans="1:11" x14ac:dyDescent="0.25">
      <c r="A17" s="27"/>
      <c r="B17" s="27"/>
      <c r="C17" s="27"/>
      <c r="D17" s="27"/>
      <c r="E17" s="27" t="s">
        <v>90</v>
      </c>
      <c r="F17" s="27"/>
      <c r="G17" s="27"/>
      <c r="H17" s="27"/>
      <c r="I17" s="27"/>
      <c r="J17" s="28"/>
      <c r="K17" s="266"/>
    </row>
    <row r="18" spans="1:11" x14ac:dyDescent="0.25">
      <c r="A18" s="27"/>
      <c r="B18" s="27"/>
      <c r="C18" s="27"/>
      <c r="D18" s="27"/>
      <c r="E18" s="27"/>
      <c r="F18" s="27" t="s">
        <v>99</v>
      </c>
      <c r="G18" s="27"/>
      <c r="H18" s="27"/>
      <c r="I18" s="27"/>
      <c r="J18" s="28"/>
      <c r="K18" s="266"/>
    </row>
    <row r="19" spans="1:11" x14ac:dyDescent="0.25">
      <c r="A19" s="27"/>
      <c r="B19" s="27"/>
      <c r="C19" s="27"/>
      <c r="D19" s="27"/>
      <c r="E19" s="27"/>
      <c r="F19" s="27"/>
      <c r="G19" s="27" t="s">
        <v>100</v>
      </c>
      <c r="H19" s="27"/>
      <c r="I19" s="27"/>
      <c r="J19" s="28">
        <v>1139950.96</v>
      </c>
      <c r="K19" s="266"/>
    </row>
    <row r="20" spans="1:11" x14ac:dyDescent="0.25">
      <c r="A20" s="27"/>
      <c r="B20" s="27"/>
      <c r="C20" s="27"/>
      <c r="D20" s="27"/>
      <c r="E20" s="27"/>
      <c r="F20" s="27"/>
      <c r="G20" s="27" t="s">
        <v>101</v>
      </c>
      <c r="H20" s="27"/>
      <c r="I20" s="27"/>
      <c r="J20" s="28">
        <v>375311.24</v>
      </c>
      <c r="K20" s="266"/>
    </row>
    <row r="21" spans="1:11" x14ac:dyDescent="0.25">
      <c r="A21" s="27"/>
      <c r="B21" s="27"/>
      <c r="C21" s="27"/>
      <c r="D21" s="27"/>
      <c r="E21" s="27"/>
      <c r="F21" s="27"/>
      <c r="G21" s="27" t="s">
        <v>102</v>
      </c>
      <c r="H21" s="27"/>
      <c r="I21" s="27"/>
      <c r="J21" s="28">
        <v>8000</v>
      </c>
      <c r="K21" s="266"/>
    </row>
    <row r="22" spans="1:11" ht="15.75" thickBot="1" x14ac:dyDescent="0.3">
      <c r="A22" s="27"/>
      <c r="B22" s="27"/>
      <c r="C22" s="27"/>
      <c r="D22" s="27"/>
      <c r="E22" s="27"/>
      <c r="F22" s="27"/>
      <c r="G22" s="27" t="s">
        <v>103</v>
      </c>
      <c r="H22" s="27"/>
      <c r="I22" s="27"/>
      <c r="J22" s="29">
        <v>206545</v>
      </c>
      <c r="K22" s="263"/>
    </row>
    <row r="23" spans="1:11" ht="30" customHeight="1" x14ac:dyDescent="0.25">
      <c r="A23" s="27"/>
      <c r="B23" s="27"/>
      <c r="C23" s="27"/>
      <c r="D23" s="27"/>
      <c r="E23" s="27"/>
      <c r="F23" s="27" t="s">
        <v>105</v>
      </c>
      <c r="G23" s="27"/>
      <c r="H23" s="27"/>
      <c r="I23" s="27"/>
      <c r="J23" s="28">
        <f>ROUND(SUM(J18:J22),5)</f>
        <v>1729807.2</v>
      </c>
      <c r="K23" s="266"/>
    </row>
    <row r="24" spans="1:11" ht="30" customHeight="1" x14ac:dyDescent="0.25">
      <c r="A24" s="27"/>
      <c r="B24" s="27"/>
      <c r="C24" s="27"/>
      <c r="D24" s="27"/>
      <c r="E24" s="27"/>
      <c r="F24" s="27" t="s">
        <v>106</v>
      </c>
      <c r="G24" s="27"/>
      <c r="H24" s="27"/>
      <c r="I24" s="27"/>
      <c r="J24" s="28"/>
      <c r="K24" s="266"/>
    </row>
    <row r="25" spans="1:11" ht="30" customHeight="1" x14ac:dyDescent="0.25">
      <c r="A25" s="27"/>
      <c r="B25" s="27"/>
      <c r="C25" s="27"/>
      <c r="D25" s="27"/>
      <c r="E25" s="27"/>
      <c r="F25" s="27"/>
      <c r="G25" s="27" t="s">
        <v>107</v>
      </c>
      <c r="H25" s="27"/>
      <c r="I25" s="27"/>
      <c r="J25" s="28">
        <v>20500</v>
      </c>
      <c r="K25" s="266"/>
    </row>
    <row r="26" spans="1:11" x14ac:dyDescent="0.25">
      <c r="A26" s="27"/>
      <c r="B26" s="27"/>
      <c r="C26" s="27"/>
      <c r="D26" s="27"/>
      <c r="E26" s="27"/>
      <c r="F26" s="27"/>
      <c r="G26" s="27" t="s">
        <v>108</v>
      </c>
      <c r="H26" s="27"/>
      <c r="I26" s="27"/>
      <c r="J26" s="28">
        <v>0</v>
      </c>
      <c r="K26" s="266"/>
    </row>
    <row r="27" spans="1:11" x14ac:dyDescent="0.25">
      <c r="A27" s="27"/>
      <c r="B27" s="27"/>
      <c r="C27" s="27"/>
      <c r="D27" s="27"/>
      <c r="E27" s="27"/>
      <c r="F27" s="27"/>
      <c r="G27" s="27" t="s">
        <v>109</v>
      </c>
      <c r="H27" s="27"/>
      <c r="I27" s="27"/>
      <c r="J27" s="28">
        <v>4500</v>
      </c>
      <c r="K27" s="266"/>
    </row>
    <row r="28" spans="1:11" x14ac:dyDescent="0.25">
      <c r="A28" s="27"/>
      <c r="B28" s="27"/>
      <c r="C28" s="27"/>
      <c r="D28" s="27"/>
      <c r="E28" s="27"/>
      <c r="F28" s="27"/>
      <c r="G28" s="27" t="s">
        <v>110</v>
      </c>
      <c r="H28" s="27"/>
      <c r="I28" s="27"/>
      <c r="J28" s="28">
        <v>2275</v>
      </c>
      <c r="K28" s="266"/>
    </row>
    <row r="29" spans="1:11" x14ac:dyDescent="0.25">
      <c r="A29" s="27"/>
      <c r="B29" s="27"/>
      <c r="C29" s="27"/>
      <c r="D29" s="27"/>
      <c r="E29" s="27"/>
      <c r="F29" s="27"/>
      <c r="G29" s="27" t="s">
        <v>111</v>
      </c>
      <c r="H29" s="27"/>
      <c r="I29" s="27"/>
      <c r="J29" s="28">
        <v>1110</v>
      </c>
      <c r="K29" s="266"/>
    </row>
    <row r="30" spans="1:11" x14ac:dyDescent="0.25">
      <c r="A30" s="27"/>
      <c r="B30" s="27"/>
      <c r="C30" s="27"/>
      <c r="D30" s="27"/>
      <c r="E30" s="27"/>
      <c r="F30" s="27"/>
      <c r="G30" s="27" t="s">
        <v>112</v>
      </c>
      <c r="H30" s="27"/>
      <c r="I30" s="27"/>
      <c r="J30" s="28">
        <v>3000</v>
      </c>
      <c r="K30" s="266"/>
    </row>
    <row r="31" spans="1:11" x14ac:dyDescent="0.25">
      <c r="A31" s="27"/>
      <c r="B31" s="27"/>
      <c r="C31" s="27"/>
      <c r="D31" s="27"/>
      <c r="E31" s="27"/>
      <c r="F31" s="27"/>
      <c r="G31" s="27" t="s">
        <v>113</v>
      </c>
      <c r="H31" s="27"/>
      <c r="I31" s="27"/>
      <c r="J31" s="28">
        <v>75</v>
      </c>
      <c r="K31" s="266"/>
    </row>
    <row r="32" spans="1:11" x14ac:dyDescent="0.25">
      <c r="A32" s="27"/>
      <c r="B32" s="27"/>
      <c r="C32" s="27"/>
      <c r="D32" s="27"/>
      <c r="E32" s="27"/>
      <c r="F32" s="27"/>
      <c r="G32" s="27" t="s">
        <v>115</v>
      </c>
      <c r="H32" s="27"/>
      <c r="I32" s="27"/>
      <c r="J32" s="28">
        <v>39000</v>
      </c>
      <c r="K32" s="266"/>
    </row>
    <row r="33" spans="1:11" ht="15.75" thickBot="1" x14ac:dyDescent="0.3">
      <c r="A33" s="27"/>
      <c r="B33" s="27"/>
      <c r="C33" s="27"/>
      <c r="D33" s="27"/>
      <c r="E33" s="27"/>
      <c r="F33" s="27"/>
      <c r="G33" s="27" t="s">
        <v>119</v>
      </c>
      <c r="H33" s="27"/>
      <c r="I33" s="27"/>
      <c r="J33" s="29">
        <v>613763.13</v>
      </c>
      <c r="K33" s="263"/>
    </row>
    <row r="34" spans="1:11" ht="30" customHeight="1" x14ac:dyDescent="0.25">
      <c r="A34" s="27"/>
      <c r="B34" s="27"/>
      <c r="C34" s="27"/>
      <c r="D34" s="27"/>
      <c r="E34" s="27"/>
      <c r="F34" s="27" t="s">
        <v>121</v>
      </c>
      <c r="G34" s="27"/>
      <c r="H34" s="27"/>
      <c r="I34" s="27"/>
      <c r="J34" s="28">
        <f>ROUND(SUM(J24:J33),5)</f>
        <v>684223.13</v>
      </c>
      <c r="K34" s="266"/>
    </row>
    <row r="35" spans="1:11" x14ac:dyDescent="0.25">
      <c r="A35" s="27"/>
      <c r="B35" s="27"/>
      <c r="C35" s="27"/>
      <c r="D35" s="27"/>
      <c r="E35" s="27"/>
      <c r="F35" s="27" t="s">
        <v>122</v>
      </c>
      <c r="G35" s="27"/>
      <c r="H35" s="27"/>
      <c r="I35" s="27"/>
      <c r="J35" s="28"/>
      <c r="K35" s="266"/>
    </row>
    <row r="36" spans="1:11" x14ac:dyDescent="0.25">
      <c r="A36" s="27"/>
      <c r="B36" s="27"/>
      <c r="C36" s="27"/>
      <c r="D36" s="27"/>
      <c r="E36" s="27"/>
      <c r="F36" s="27"/>
      <c r="G36" s="27" t="s">
        <v>123</v>
      </c>
      <c r="H36" s="27"/>
      <c r="I36" s="27"/>
      <c r="J36" s="28">
        <v>1320796.3999999999</v>
      </c>
      <c r="K36" s="266"/>
    </row>
    <row r="37" spans="1:11" x14ac:dyDescent="0.25">
      <c r="A37" s="27"/>
      <c r="B37" s="27"/>
      <c r="C37" s="27"/>
      <c r="D37" s="27"/>
      <c r="E37" s="27"/>
      <c r="F37" s="27"/>
      <c r="G37" s="27" t="s">
        <v>125</v>
      </c>
      <c r="H37" s="27"/>
      <c r="I37" s="27"/>
      <c r="J37" s="28">
        <v>306055.75</v>
      </c>
      <c r="K37" s="266"/>
    </row>
    <row r="38" spans="1:11" x14ac:dyDescent="0.25">
      <c r="A38" s="27"/>
      <c r="B38" s="27"/>
      <c r="C38" s="27"/>
      <c r="D38" s="27"/>
      <c r="E38" s="27"/>
      <c r="F38" s="27"/>
      <c r="G38" s="27" t="s">
        <v>126</v>
      </c>
      <c r="H38" s="27"/>
      <c r="I38" s="27"/>
      <c r="J38" s="28">
        <v>38935.5</v>
      </c>
      <c r="K38" s="266"/>
    </row>
    <row r="39" spans="1:11" ht="15.75" thickBot="1" x14ac:dyDescent="0.3">
      <c r="A39" s="27"/>
      <c r="B39" s="27"/>
      <c r="C39" s="27"/>
      <c r="D39" s="27"/>
      <c r="E39" s="27"/>
      <c r="F39" s="27"/>
      <c r="G39" s="27" t="s">
        <v>691</v>
      </c>
      <c r="H39" s="27"/>
      <c r="I39" s="27"/>
      <c r="J39" s="29">
        <v>0</v>
      </c>
      <c r="K39" s="263"/>
    </row>
    <row r="40" spans="1:11" x14ac:dyDescent="0.25">
      <c r="A40" s="27"/>
      <c r="B40" s="27"/>
      <c r="C40" s="27"/>
      <c r="D40" s="27"/>
      <c r="E40" s="27"/>
      <c r="F40" s="27" t="s">
        <v>128</v>
      </c>
      <c r="G40" s="27"/>
      <c r="H40" s="27"/>
      <c r="I40" s="27"/>
      <c r="J40" s="28">
        <f>ROUND(SUM(J35:J39),5)</f>
        <v>1665787.65</v>
      </c>
      <c r="K40" s="266"/>
    </row>
    <row r="41" spans="1:11" x14ac:dyDescent="0.25">
      <c r="A41" s="27"/>
      <c r="B41" s="27"/>
      <c r="C41" s="27"/>
      <c r="D41" s="27"/>
      <c r="E41" s="27"/>
      <c r="F41" s="27" t="s">
        <v>129</v>
      </c>
      <c r="G41" s="27"/>
      <c r="H41" s="27"/>
      <c r="I41" s="27"/>
      <c r="J41" s="28"/>
      <c r="K41" s="266"/>
    </row>
    <row r="42" spans="1:11" x14ac:dyDescent="0.25">
      <c r="A42" s="27"/>
      <c r="B42" s="27"/>
      <c r="C42" s="27"/>
      <c r="D42" s="27"/>
      <c r="E42" s="27"/>
      <c r="F42" s="27"/>
      <c r="G42" s="27" t="s">
        <v>130</v>
      </c>
      <c r="H42" s="27"/>
      <c r="I42" s="27"/>
      <c r="J42" s="28">
        <v>745333.68</v>
      </c>
      <c r="K42" s="266"/>
    </row>
    <row r="43" spans="1:11" x14ac:dyDescent="0.25">
      <c r="A43" s="27"/>
      <c r="B43" s="27"/>
      <c r="C43" s="27"/>
      <c r="D43" s="27"/>
      <c r="E43" s="27"/>
      <c r="F43" s="27"/>
      <c r="G43" s="27" t="s">
        <v>131</v>
      </c>
      <c r="H43" s="27"/>
      <c r="I43" s="27"/>
      <c r="J43" s="28">
        <v>89440.04</v>
      </c>
      <c r="K43" s="266"/>
    </row>
    <row r="44" spans="1:11" x14ac:dyDescent="0.25">
      <c r="A44" s="27"/>
      <c r="B44" s="27"/>
      <c r="C44" s="27"/>
      <c r="D44" s="27"/>
      <c r="E44" s="27"/>
      <c r="F44" s="27"/>
      <c r="G44" s="27" t="s">
        <v>132</v>
      </c>
      <c r="H44" s="27"/>
      <c r="I44" s="27"/>
      <c r="J44" s="28">
        <v>22360.01</v>
      </c>
      <c r="K44" s="266"/>
    </row>
    <row r="45" spans="1:11" x14ac:dyDescent="0.25">
      <c r="A45" s="27"/>
      <c r="B45" s="27"/>
      <c r="C45" s="27"/>
      <c r="D45" s="27"/>
      <c r="E45" s="27"/>
      <c r="F45" s="27"/>
      <c r="G45" s="27" t="s">
        <v>133</v>
      </c>
      <c r="H45" s="27"/>
      <c r="I45" s="27"/>
      <c r="J45" s="28">
        <v>195466.67</v>
      </c>
      <c r="K45" s="266"/>
    </row>
    <row r="46" spans="1:11" x14ac:dyDescent="0.25">
      <c r="A46" s="27"/>
      <c r="B46" s="27"/>
      <c r="C46" s="27"/>
      <c r="D46" s="27"/>
      <c r="E46" s="27"/>
      <c r="F46" s="27"/>
      <c r="G46" s="27" t="s">
        <v>134</v>
      </c>
      <c r="H46" s="27"/>
      <c r="I46" s="27"/>
      <c r="J46" s="28">
        <v>76937.45</v>
      </c>
      <c r="K46" s="266"/>
    </row>
    <row r="47" spans="1:11" ht="30" customHeight="1" thickBot="1" x14ac:dyDescent="0.3">
      <c r="A47" s="27"/>
      <c r="B47" s="27"/>
      <c r="C47" s="27"/>
      <c r="D47" s="27"/>
      <c r="E47" s="27"/>
      <c r="F47" s="27"/>
      <c r="G47" s="27" t="s">
        <v>135</v>
      </c>
      <c r="H47" s="27"/>
      <c r="I47" s="27"/>
      <c r="J47" s="30">
        <v>18586.48</v>
      </c>
      <c r="K47" s="263"/>
    </row>
    <row r="48" spans="1:11" ht="15.75" thickBot="1" x14ac:dyDescent="0.3">
      <c r="A48" s="27"/>
      <c r="B48" s="27"/>
      <c r="C48" s="27"/>
      <c r="D48" s="27"/>
      <c r="E48" s="27"/>
      <c r="F48" s="27" t="s">
        <v>136</v>
      </c>
      <c r="G48" s="27"/>
      <c r="H48" s="27"/>
      <c r="I48" s="27"/>
      <c r="J48" s="34">
        <f>ROUND(SUM(J41:J47),5)</f>
        <v>1148124.33</v>
      </c>
      <c r="K48" s="263"/>
    </row>
    <row r="49" spans="1:11" ht="15.75" thickBot="1" x14ac:dyDescent="0.3">
      <c r="A49" s="27"/>
      <c r="B49" s="27"/>
      <c r="C49" s="27"/>
      <c r="D49" s="27"/>
      <c r="E49" s="27" t="s">
        <v>145</v>
      </c>
      <c r="F49" s="27"/>
      <c r="G49" s="27"/>
      <c r="H49" s="27"/>
      <c r="I49" s="27"/>
      <c r="J49" s="34">
        <f>ROUND(J17+J23+J34+J40+J48,5)</f>
        <v>5227942.3099999996</v>
      </c>
      <c r="K49" s="263"/>
    </row>
    <row r="50" spans="1:11" ht="15.75" thickBot="1" x14ac:dyDescent="0.3">
      <c r="A50" s="27"/>
      <c r="B50" s="27"/>
      <c r="C50" s="27"/>
      <c r="D50" s="27" t="s">
        <v>146</v>
      </c>
      <c r="E50" s="27"/>
      <c r="F50" s="27"/>
      <c r="G50" s="27"/>
      <c r="H50" s="27"/>
      <c r="I50" s="27"/>
      <c r="J50" s="33">
        <f>ROUND(J16+J49,5)</f>
        <v>5227942.3099999996</v>
      </c>
      <c r="K50" s="263"/>
    </row>
    <row r="51" spans="1:11" x14ac:dyDescent="0.25">
      <c r="A51" s="27"/>
      <c r="B51" s="27"/>
      <c r="C51" s="27" t="s">
        <v>147</v>
      </c>
      <c r="D51" s="27"/>
      <c r="E51" s="27"/>
      <c r="F51" s="27"/>
      <c r="G51" s="27"/>
      <c r="H51" s="27"/>
      <c r="I51" s="27"/>
      <c r="J51" s="28">
        <f>ROUND(J15-J50,5)</f>
        <v>876851.69</v>
      </c>
      <c r="K51" s="266"/>
    </row>
    <row r="52" spans="1:11" x14ac:dyDescent="0.25">
      <c r="A52" s="27"/>
      <c r="B52" s="27"/>
      <c r="C52" s="27"/>
      <c r="D52" s="27" t="s">
        <v>148</v>
      </c>
      <c r="E52" s="27"/>
      <c r="F52" s="27"/>
      <c r="G52" s="27"/>
      <c r="H52" s="27"/>
      <c r="I52" s="27"/>
      <c r="J52" s="28"/>
      <c r="K52" s="266"/>
    </row>
    <row r="53" spans="1:11" x14ac:dyDescent="0.25">
      <c r="A53" s="27"/>
      <c r="B53" s="27"/>
      <c r="C53" s="27"/>
      <c r="D53" s="27"/>
      <c r="E53" s="27" t="s">
        <v>149</v>
      </c>
      <c r="F53" s="27"/>
      <c r="G53" s="27"/>
      <c r="H53" s="27"/>
      <c r="I53" s="27"/>
      <c r="J53" s="28"/>
      <c r="K53" s="266"/>
    </row>
    <row r="54" spans="1:11" ht="30" customHeight="1" x14ac:dyDescent="0.25">
      <c r="A54" s="27"/>
      <c r="B54" s="27"/>
      <c r="C54" s="27"/>
      <c r="D54" s="27"/>
      <c r="E54" s="27"/>
      <c r="F54" s="27" t="s">
        <v>389</v>
      </c>
      <c r="G54" s="27"/>
      <c r="H54" s="27"/>
      <c r="I54" s="27"/>
      <c r="J54" s="28"/>
      <c r="K54" s="266"/>
    </row>
    <row r="55" spans="1:11" x14ac:dyDescent="0.25">
      <c r="A55" s="27"/>
      <c r="B55" s="27"/>
      <c r="C55" s="27"/>
      <c r="D55" s="27"/>
      <c r="E55" s="27"/>
      <c r="F55" s="27"/>
      <c r="G55" s="27" t="s">
        <v>151</v>
      </c>
      <c r="H55" s="27"/>
      <c r="I55" s="27"/>
      <c r="J55" s="28"/>
      <c r="K55" s="266"/>
    </row>
    <row r="56" spans="1:11" x14ac:dyDescent="0.25">
      <c r="A56" s="27"/>
      <c r="B56" s="27"/>
      <c r="C56" s="27"/>
      <c r="D56" s="27"/>
      <c r="E56" s="27"/>
      <c r="F56" s="27"/>
      <c r="G56" s="27"/>
      <c r="H56" s="27" t="s">
        <v>152</v>
      </c>
      <c r="I56" s="27"/>
      <c r="J56" s="28">
        <v>3500</v>
      </c>
      <c r="K56" s="266"/>
    </row>
    <row r="57" spans="1:11" x14ac:dyDescent="0.25">
      <c r="A57" s="27"/>
      <c r="B57" s="27"/>
      <c r="C57" s="27"/>
      <c r="D57" s="27"/>
      <c r="E57" s="27"/>
      <c r="F57" s="27"/>
      <c r="G57" s="27"/>
      <c r="H57" s="27" t="s">
        <v>153</v>
      </c>
      <c r="I57" s="27"/>
      <c r="J57" s="28">
        <v>29602.2</v>
      </c>
      <c r="K57" s="266"/>
    </row>
    <row r="58" spans="1:11" x14ac:dyDescent="0.25">
      <c r="A58" s="27"/>
      <c r="B58" s="27"/>
      <c r="C58" s="27"/>
      <c r="D58" s="27"/>
      <c r="E58" s="27"/>
      <c r="F58" s="27"/>
      <c r="G58" s="27"/>
      <c r="H58" s="27" t="s">
        <v>154</v>
      </c>
      <c r="I58" s="27"/>
      <c r="J58" s="28">
        <v>2400</v>
      </c>
      <c r="K58" s="266"/>
    </row>
    <row r="59" spans="1:11" x14ac:dyDescent="0.25">
      <c r="A59" s="27"/>
      <c r="B59" s="27"/>
      <c r="C59" s="27"/>
      <c r="D59" s="27"/>
      <c r="E59" s="27"/>
      <c r="F59" s="27"/>
      <c r="G59" s="27"/>
      <c r="H59" s="27" t="s">
        <v>155</v>
      </c>
      <c r="I59" s="27"/>
      <c r="J59" s="28">
        <v>445</v>
      </c>
      <c r="K59" s="266"/>
    </row>
    <row r="60" spans="1:11" ht="30" customHeight="1" x14ac:dyDescent="0.25">
      <c r="A60" s="27"/>
      <c r="B60" s="27"/>
      <c r="C60" s="27"/>
      <c r="D60" s="27"/>
      <c r="E60" s="27"/>
      <c r="F60" s="27"/>
      <c r="G60" s="27"/>
      <c r="H60" s="27" t="s">
        <v>157</v>
      </c>
      <c r="I60" s="27"/>
      <c r="J60" s="28"/>
      <c r="K60" s="266"/>
    </row>
    <row r="61" spans="1:11" ht="15.75" thickBot="1" x14ac:dyDescent="0.3">
      <c r="A61" s="27"/>
      <c r="B61" s="27"/>
      <c r="C61" s="27"/>
      <c r="D61" s="27"/>
      <c r="E61" s="27"/>
      <c r="F61" s="27"/>
      <c r="G61" s="27"/>
      <c r="H61" s="27"/>
      <c r="I61" s="27" t="s">
        <v>159</v>
      </c>
      <c r="J61" s="29">
        <v>8780</v>
      </c>
      <c r="K61" s="263"/>
    </row>
    <row r="62" spans="1:11" x14ac:dyDescent="0.25">
      <c r="A62" s="27"/>
      <c r="B62" s="27"/>
      <c r="C62" s="27"/>
      <c r="D62" s="27"/>
      <c r="E62" s="27"/>
      <c r="F62" s="27"/>
      <c r="G62" s="27"/>
      <c r="H62" s="27" t="s">
        <v>160</v>
      </c>
      <c r="I62" s="27"/>
      <c r="J62" s="28">
        <f>ROUND(SUM(J60:J61),5)</f>
        <v>8780</v>
      </c>
      <c r="K62" s="266"/>
    </row>
    <row r="63" spans="1:11" x14ac:dyDescent="0.25">
      <c r="A63" s="27"/>
      <c r="B63" s="27"/>
      <c r="C63" s="27"/>
      <c r="D63" s="27"/>
      <c r="E63" s="27"/>
      <c r="F63" s="27"/>
      <c r="G63" s="27"/>
      <c r="H63" s="27" t="s">
        <v>390</v>
      </c>
      <c r="I63" s="27"/>
      <c r="J63" s="28">
        <v>57872</v>
      </c>
      <c r="K63" s="266"/>
    </row>
    <row r="64" spans="1:11" ht="30" customHeight="1" thickBot="1" x14ac:dyDescent="0.3">
      <c r="A64" s="27"/>
      <c r="B64" s="27"/>
      <c r="C64" s="27"/>
      <c r="D64" s="27"/>
      <c r="E64" s="27"/>
      <c r="F64" s="27"/>
      <c r="G64" s="27"/>
      <c r="H64" s="27" t="s">
        <v>162</v>
      </c>
      <c r="I64" s="27"/>
      <c r="J64" s="29">
        <v>1515</v>
      </c>
      <c r="K64" s="263"/>
    </row>
    <row r="65" spans="1:11" ht="30" customHeight="1" x14ac:dyDescent="0.25">
      <c r="A65" s="27"/>
      <c r="B65" s="27"/>
      <c r="C65" s="27"/>
      <c r="D65" s="27"/>
      <c r="E65" s="27"/>
      <c r="F65" s="27"/>
      <c r="G65" s="27" t="s">
        <v>168</v>
      </c>
      <c r="H65" s="27"/>
      <c r="I65" s="27"/>
      <c r="J65" s="28">
        <f>ROUND(SUM(J55:J59)+SUM(J62:J64),5)</f>
        <v>104114.2</v>
      </c>
      <c r="K65" s="266"/>
    </row>
    <row r="66" spans="1:11" ht="30" customHeight="1" x14ac:dyDescent="0.25">
      <c r="A66" s="27"/>
      <c r="B66" s="27"/>
      <c r="C66" s="27"/>
      <c r="D66" s="27"/>
      <c r="E66" s="27"/>
      <c r="F66" s="27"/>
      <c r="G66" s="27" t="s">
        <v>169</v>
      </c>
      <c r="H66" s="27"/>
      <c r="I66" s="27"/>
      <c r="J66" s="28"/>
      <c r="K66" s="266"/>
    </row>
    <row r="67" spans="1:11" ht="30" customHeight="1" x14ac:dyDescent="0.25">
      <c r="A67" s="27"/>
      <c r="B67" s="27"/>
      <c r="C67" s="27"/>
      <c r="D67" s="27"/>
      <c r="E67" s="27"/>
      <c r="F67" s="27"/>
      <c r="G67" s="27"/>
      <c r="H67" s="27" t="s">
        <v>170</v>
      </c>
      <c r="I67" s="27"/>
      <c r="J67" s="28">
        <v>265245</v>
      </c>
      <c r="K67" s="266"/>
    </row>
    <row r="68" spans="1:11" x14ac:dyDescent="0.25">
      <c r="A68" s="27"/>
      <c r="B68" s="27"/>
      <c r="C68" s="27"/>
      <c r="D68" s="27"/>
      <c r="E68" s="27"/>
      <c r="F68" s="27"/>
      <c r="G68" s="27"/>
      <c r="H68" s="27" t="s">
        <v>171</v>
      </c>
      <c r="I68" s="27"/>
      <c r="J68" s="28">
        <v>31829.4</v>
      </c>
      <c r="K68" s="266"/>
    </row>
    <row r="69" spans="1:11" x14ac:dyDescent="0.25">
      <c r="A69" s="27"/>
      <c r="B69" s="27"/>
      <c r="C69" s="27"/>
      <c r="D69" s="27"/>
      <c r="E69" s="27"/>
      <c r="F69" s="27"/>
      <c r="G69" s="27"/>
      <c r="H69" s="27" t="s">
        <v>172</v>
      </c>
      <c r="I69" s="27"/>
      <c r="J69" s="28">
        <v>7957.35</v>
      </c>
      <c r="K69" s="266"/>
    </row>
    <row r="70" spans="1:11" x14ac:dyDescent="0.25">
      <c r="A70" s="27"/>
      <c r="B70" s="27"/>
      <c r="C70" s="27"/>
      <c r="D70" s="27"/>
      <c r="E70" s="27"/>
      <c r="F70" s="27"/>
      <c r="G70" s="27"/>
      <c r="H70" s="27" t="s">
        <v>174</v>
      </c>
      <c r="I70" s="27"/>
      <c r="J70" s="28">
        <v>37925</v>
      </c>
      <c r="K70" s="266"/>
    </row>
    <row r="71" spans="1:11" x14ac:dyDescent="0.25">
      <c r="A71" s="27"/>
      <c r="B71" s="27"/>
      <c r="C71" s="27"/>
      <c r="D71" s="27"/>
      <c r="E71" s="27"/>
      <c r="F71" s="27"/>
      <c r="G71" s="27"/>
      <c r="H71" s="27" t="s">
        <v>175</v>
      </c>
      <c r="I71" s="27"/>
      <c r="J71" s="28">
        <v>539200</v>
      </c>
      <c r="K71" s="266"/>
    </row>
    <row r="72" spans="1:11" ht="15.75" thickBot="1" x14ac:dyDescent="0.3">
      <c r="A72" s="27"/>
      <c r="B72" s="27"/>
      <c r="C72" s="27"/>
      <c r="D72" s="27"/>
      <c r="E72" s="27"/>
      <c r="F72" s="27"/>
      <c r="G72" s="27"/>
      <c r="H72" s="27" t="s">
        <v>177</v>
      </c>
      <c r="I72" s="27"/>
      <c r="J72" s="29">
        <v>0</v>
      </c>
      <c r="K72" s="263"/>
    </row>
    <row r="73" spans="1:11" x14ac:dyDescent="0.25">
      <c r="A73" s="27"/>
      <c r="B73" s="27"/>
      <c r="C73" s="27"/>
      <c r="D73" s="27"/>
      <c r="E73" s="27"/>
      <c r="F73" s="27"/>
      <c r="G73" s="27" t="s">
        <v>178</v>
      </c>
      <c r="H73" s="27"/>
      <c r="I73" s="27"/>
      <c r="J73" s="28">
        <f>ROUND(SUM(J66:J72),5)</f>
        <v>882156.75</v>
      </c>
      <c r="K73" s="266"/>
    </row>
    <row r="74" spans="1:11" x14ac:dyDescent="0.25">
      <c r="A74" s="27"/>
      <c r="B74" s="27"/>
      <c r="C74" s="27"/>
      <c r="D74" s="27"/>
      <c r="E74" s="27"/>
      <c r="F74" s="27"/>
      <c r="G74" s="27" t="s">
        <v>186</v>
      </c>
      <c r="H74" s="27"/>
      <c r="I74" s="27"/>
      <c r="J74" s="28"/>
      <c r="K74" s="266"/>
    </row>
    <row r="75" spans="1:11" x14ac:dyDescent="0.25">
      <c r="A75" s="27"/>
      <c r="B75" s="27"/>
      <c r="C75" s="27"/>
      <c r="D75" s="27"/>
      <c r="E75" s="27"/>
      <c r="F75" s="27"/>
      <c r="G75" s="27"/>
      <c r="H75" s="27" t="s">
        <v>188</v>
      </c>
      <c r="I75" s="27"/>
      <c r="J75" s="28">
        <v>9150</v>
      </c>
      <c r="K75" s="266"/>
    </row>
    <row r="76" spans="1:11" x14ac:dyDescent="0.25">
      <c r="A76" s="27"/>
      <c r="B76" s="27"/>
      <c r="C76" s="27"/>
      <c r="D76" s="27"/>
      <c r="E76" s="27"/>
      <c r="F76" s="27"/>
      <c r="G76" s="27"/>
      <c r="H76" s="27" t="s">
        <v>191</v>
      </c>
      <c r="I76" s="27"/>
      <c r="J76" s="28">
        <v>2500</v>
      </c>
      <c r="K76" s="266"/>
    </row>
    <row r="77" spans="1:11" x14ac:dyDescent="0.25">
      <c r="A77" s="27"/>
      <c r="B77" s="27"/>
      <c r="C77" s="27"/>
      <c r="D77" s="27"/>
      <c r="E77" s="27"/>
      <c r="F77" s="27"/>
      <c r="G77" s="27"/>
      <c r="H77" s="27" t="s">
        <v>193</v>
      </c>
      <c r="I77" s="27"/>
      <c r="J77" s="28">
        <v>31400</v>
      </c>
      <c r="K77" s="266"/>
    </row>
    <row r="78" spans="1:11" ht="15.75" thickBot="1" x14ac:dyDescent="0.3">
      <c r="A78" s="27"/>
      <c r="B78" s="27"/>
      <c r="C78" s="27"/>
      <c r="D78" s="27"/>
      <c r="E78" s="27"/>
      <c r="F78" s="27"/>
      <c r="G78" s="27"/>
      <c r="H78" s="27" t="s">
        <v>692</v>
      </c>
      <c r="I78" s="27"/>
      <c r="J78" s="29">
        <v>3000</v>
      </c>
      <c r="K78" s="263"/>
    </row>
    <row r="79" spans="1:11" x14ac:dyDescent="0.25">
      <c r="A79" s="27"/>
      <c r="B79" s="27"/>
      <c r="C79" s="27"/>
      <c r="D79" s="27"/>
      <c r="E79" s="27"/>
      <c r="F79" s="27"/>
      <c r="G79" s="27" t="s">
        <v>195</v>
      </c>
      <c r="H79" s="27"/>
      <c r="I79" s="27"/>
      <c r="J79" s="28">
        <f>ROUND(SUM(J74:J78),5)</f>
        <v>46050</v>
      </c>
      <c r="K79" s="266"/>
    </row>
    <row r="80" spans="1:11" ht="30" customHeight="1" x14ac:dyDescent="0.25">
      <c r="A80" s="27"/>
      <c r="B80" s="27"/>
      <c r="C80" s="27"/>
      <c r="D80" s="27"/>
      <c r="E80" s="27"/>
      <c r="F80" s="27"/>
      <c r="G80" s="27" t="s">
        <v>196</v>
      </c>
      <c r="H80" s="27"/>
      <c r="I80" s="27"/>
      <c r="J80" s="28"/>
      <c r="K80" s="266"/>
    </row>
    <row r="81" spans="1:11" x14ac:dyDescent="0.25">
      <c r="A81" s="27"/>
      <c r="B81" s="27"/>
      <c r="C81" s="27"/>
      <c r="D81" s="27"/>
      <c r="E81" s="27"/>
      <c r="F81" s="27"/>
      <c r="G81" s="27"/>
      <c r="H81" s="27" t="s">
        <v>197</v>
      </c>
      <c r="I81" s="27"/>
      <c r="J81" s="28">
        <v>14941.76</v>
      </c>
      <c r="K81" s="266"/>
    </row>
    <row r="82" spans="1:11" x14ac:dyDescent="0.25">
      <c r="A82" s="27"/>
      <c r="B82" s="27"/>
      <c r="C82" s="27"/>
      <c r="D82" s="27"/>
      <c r="E82" s="27"/>
      <c r="F82" s="27"/>
      <c r="G82" s="27"/>
      <c r="H82" s="27" t="s">
        <v>200</v>
      </c>
      <c r="I82" s="27"/>
      <c r="J82" s="28">
        <v>6960</v>
      </c>
      <c r="K82" s="266"/>
    </row>
    <row r="83" spans="1:11" ht="30" customHeight="1" x14ac:dyDescent="0.25">
      <c r="A83" s="27"/>
      <c r="B83" s="27"/>
      <c r="C83" s="27"/>
      <c r="D83" s="27"/>
      <c r="E83" s="27"/>
      <c r="F83" s="27"/>
      <c r="G83" s="27"/>
      <c r="H83" s="27" t="s">
        <v>201</v>
      </c>
      <c r="I83" s="27"/>
      <c r="J83" s="28">
        <v>250</v>
      </c>
      <c r="K83" s="266"/>
    </row>
    <row r="84" spans="1:11" ht="15.75" thickBot="1" x14ac:dyDescent="0.3">
      <c r="A84" s="27"/>
      <c r="B84" s="27"/>
      <c r="C84" s="27"/>
      <c r="D84" s="27"/>
      <c r="E84" s="27"/>
      <c r="F84" s="27"/>
      <c r="G84" s="27"/>
      <c r="H84" s="27" t="s">
        <v>203</v>
      </c>
      <c r="I84" s="27"/>
      <c r="J84" s="29">
        <v>130</v>
      </c>
      <c r="K84" s="263"/>
    </row>
    <row r="85" spans="1:11" x14ac:dyDescent="0.25">
      <c r="A85" s="27"/>
      <c r="B85" s="27"/>
      <c r="C85" s="27"/>
      <c r="D85" s="27"/>
      <c r="E85" s="27"/>
      <c r="F85" s="27"/>
      <c r="G85" s="27" t="s">
        <v>208</v>
      </c>
      <c r="H85" s="27"/>
      <c r="I85" s="27"/>
      <c r="J85" s="28">
        <f>ROUND(SUM(J80:J84),5)</f>
        <v>22281.759999999998</v>
      </c>
      <c r="K85" s="266"/>
    </row>
    <row r="86" spans="1:11" ht="15.75" thickBot="1" x14ac:dyDescent="0.3">
      <c r="A86" s="27"/>
      <c r="B86" s="27"/>
      <c r="C86" s="27"/>
      <c r="D86" s="27"/>
      <c r="E86" s="27"/>
      <c r="F86" s="27"/>
      <c r="G86" s="27" t="s">
        <v>693</v>
      </c>
      <c r="H86" s="27"/>
      <c r="I86" s="27"/>
      <c r="J86" s="29">
        <v>1000</v>
      </c>
      <c r="K86" s="263"/>
    </row>
    <row r="87" spans="1:11" x14ac:dyDescent="0.25">
      <c r="A87" s="27"/>
      <c r="B87" s="27"/>
      <c r="C87" s="27"/>
      <c r="D87" s="27"/>
      <c r="E87" s="27"/>
      <c r="F87" s="27" t="s">
        <v>391</v>
      </c>
      <c r="G87" s="27"/>
      <c r="H87" s="27"/>
      <c r="I87" s="27"/>
      <c r="J87" s="28">
        <f>ROUND(J54+J65+J73+J79+SUM(J85:J86),5)</f>
        <v>1055602.71</v>
      </c>
      <c r="K87" s="266"/>
    </row>
    <row r="88" spans="1:11" x14ac:dyDescent="0.25">
      <c r="A88" s="27"/>
      <c r="B88" s="27"/>
      <c r="C88" s="27"/>
      <c r="D88" s="27"/>
      <c r="E88" s="27"/>
      <c r="F88" s="27" t="s">
        <v>218</v>
      </c>
      <c r="G88" s="27"/>
      <c r="H88" s="27"/>
      <c r="I88" s="27"/>
      <c r="J88" s="28"/>
      <c r="K88" s="266"/>
    </row>
    <row r="89" spans="1:11" x14ac:dyDescent="0.25">
      <c r="A89" s="27"/>
      <c r="B89" s="27"/>
      <c r="C89" s="27"/>
      <c r="D89" s="27"/>
      <c r="E89" s="27"/>
      <c r="F89" s="27"/>
      <c r="G89" s="27" t="s">
        <v>219</v>
      </c>
      <c r="H89" s="27"/>
      <c r="I89" s="27"/>
      <c r="J89" s="28"/>
      <c r="K89" s="266"/>
    </row>
    <row r="90" spans="1:11" x14ac:dyDescent="0.25">
      <c r="A90" s="27"/>
      <c r="B90" s="27"/>
      <c r="C90" s="27"/>
      <c r="D90" s="27"/>
      <c r="E90" s="27"/>
      <c r="F90" s="27"/>
      <c r="G90" s="27"/>
      <c r="H90" s="27" t="s">
        <v>222</v>
      </c>
      <c r="I90" s="27"/>
      <c r="J90" s="28">
        <v>86572.4</v>
      </c>
      <c r="K90" s="266"/>
    </row>
    <row r="91" spans="1:11" x14ac:dyDescent="0.25">
      <c r="A91" s="27"/>
      <c r="B91" s="27"/>
      <c r="C91" s="27"/>
      <c r="D91" s="27"/>
      <c r="E91" s="27"/>
      <c r="F91" s="27"/>
      <c r="G91" s="27"/>
      <c r="H91" s="27" t="s">
        <v>224</v>
      </c>
      <c r="I91" s="27"/>
      <c r="J91" s="28">
        <v>64905</v>
      </c>
      <c r="K91" s="266"/>
    </row>
    <row r="92" spans="1:11" x14ac:dyDescent="0.25">
      <c r="A92" s="27"/>
      <c r="B92" s="27"/>
      <c r="C92" s="27"/>
      <c r="D92" s="27"/>
      <c r="E92" s="27"/>
      <c r="F92" s="27"/>
      <c r="G92" s="27"/>
      <c r="H92" s="27" t="s">
        <v>225</v>
      </c>
      <c r="I92" s="27"/>
      <c r="J92" s="28">
        <v>1071.1500000000001</v>
      </c>
      <c r="K92" s="266"/>
    </row>
    <row r="93" spans="1:11" ht="15.75" thickBot="1" x14ac:dyDescent="0.3">
      <c r="A93" s="27"/>
      <c r="B93" s="27"/>
      <c r="C93" s="27"/>
      <c r="D93" s="27"/>
      <c r="E93" s="27"/>
      <c r="F93" s="27"/>
      <c r="G93" s="27"/>
      <c r="H93" s="27" t="s">
        <v>229</v>
      </c>
      <c r="I93" s="27"/>
      <c r="J93" s="29">
        <v>10127</v>
      </c>
      <c r="K93" s="263"/>
    </row>
    <row r="94" spans="1:11" ht="30" customHeight="1" x14ac:dyDescent="0.25">
      <c r="A94" s="27"/>
      <c r="B94" s="27"/>
      <c r="C94" s="27"/>
      <c r="D94" s="27"/>
      <c r="E94" s="27"/>
      <c r="F94" s="27"/>
      <c r="G94" s="27" t="s">
        <v>230</v>
      </c>
      <c r="H94" s="27"/>
      <c r="I94" s="27"/>
      <c r="J94" s="28">
        <f>ROUND(SUM(J89:J93),5)</f>
        <v>162675.54999999999</v>
      </c>
      <c r="K94" s="266"/>
    </row>
    <row r="95" spans="1:11" x14ac:dyDescent="0.25">
      <c r="A95" s="27"/>
      <c r="B95" s="27"/>
      <c r="C95" s="27"/>
      <c r="D95" s="27"/>
      <c r="E95" s="27"/>
      <c r="F95" s="27"/>
      <c r="G95" s="27" t="s">
        <v>231</v>
      </c>
      <c r="H95" s="27"/>
      <c r="I95" s="27"/>
      <c r="J95" s="28"/>
      <c r="K95" s="266"/>
    </row>
    <row r="96" spans="1:11" x14ac:dyDescent="0.25">
      <c r="A96" s="27"/>
      <c r="B96" s="27"/>
      <c r="C96" s="27"/>
      <c r="D96" s="27"/>
      <c r="E96" s="27"/>
      <c r="F96" s="27"/>
      <c r="G96" s="27"/>
      <c r="H96" s="27" t="s">
        <v>232</v>
      </c>
      <c r="I96" s="27"/>
      <c r="J96" s="28">
        <v>105000</v>
      </c>
      <c r="K96" s="266"/>
    </row>
    <row r="97" spans="1:11" x14ac:dyDescent="0.25">
      <c r="A97" s="27"/>
      <c r="B97" s="27"/>
      <c r="C97" s="27"/>
      <c r="D97" s="27"/>
      <c r="E97" s="27"/>
      <c r="F97" s="27"/>
      <c r="G97" s="27"/>
      <c r="H97" s="27" t="s">
        <v>233</v>
      </c>
      <c r="I97" s="27"/>
      <c r="J97" s="28">
        <v>12600</v>
      </c>
      <c r="K97" s="266"/>
    </row>
    <row r="98" spans="1:11" x14ac:dyDescent="0.25">
      <c r="A98" s="27"/>
      <c r="B98" s="27"/>
      <c r="C98" s="27"/>
      <c r="D98" s="27"/>
      <c r="E98" s="27"/>
      <c r="F98" s="27"/>
      <c r="G98" s="27"/>
      <c r="H98" s="27" t="s">
        <v>234</v>
      </c>
      <c r="I98" s="27"/>
      <c r="J98" s="28">
        <v>3150</v>
      </c>
      <c r="K98" s="266"/>
    </row>
    <row r="99" spans="1:11" ht="15.75" thickBot="1" x14ac:dyDescent="0.3">
      <c r="A99" s="27"/>
      <c r="B99" s="27"/>
      <c r="C99" s="27"/>
      <c r="D99" s="27"/>
      <c r="E99" s="27"/>
      <c r="F99" s="27"/>
      <c r="G99" s="27"/>
      <c r="H99" s="27" t="s">
        <v>235</v>
      </c>
      <c r="I99" s="27"/>
      <c r="J99" s="29">
        <v>353000</v>
      </c>
      <c r="K99" s="263"/>
    </row>
    <row r="100" spans="1:11" ht="30" customHeight="1" x14ac:dyDescent="0.25">
      <c r="A100" s="27"/>
      <c r="B100" s="27"/>
      <c r="C100" s="27"/>
      <c r="D100" s="27"/>
      <c r="E100" s="27"/>
      <c r="F100" s="27"/>
      <c r="G100" s="27" t="s">
        <v>237</v>
      </c>
      <c r="H100" s="27"/>
      <c r="I100" s="27"/>
      <c r="J100" s="28">
        <f>ROUND(SUM(J95:J99),5)</f>
        <v>473750</v>
      </c>
      <c r="K100" s="266"/>
    </row>
    <row r="101" spans="1:11" x14ac:dyDescent="0.25">
      <c r="A101" s="27"/>
      <c r="B101" s="27"/>
      <c r="C101" s="27"/>
      <c r="D101" s="27"/>
      <c r="E101" s="27"/>
      <c r="F101" s="27"/>
      <c r="G101" s="27" t="s">
        <v>243</v>
      </c>
      <c r="H101" s="27"/>
      <c r="I101" s="27"/>
      <c r="J101" s="28"/>
      <c r="K101" s="266"/>
    </row>
    <row r="102" spans="1:11" x14ac:dyDescent="0.25">
      <c r="A102" s="27"/>
      <c r="B102" s="27"/>
      <c r="C102" s="27"/>
      <c r="D102" s="27"/>
      <c r="E102" s="27"/>
      <c r="F102" s="27"/>
      <c r="G102" s="27"/>
      <c r="H102" s="27" t="s">
        <v>244</v>
      </c>
      <c r="I102" s="27"/>
      <c r="J102" s="28">
        <v>1900</v>
      </c>
      <c r="K102" s="266"/>
    </row>
    <row r="103" spans="1:11" ht="15.75" thickBot="1" x14ac:dyDescent="0.3">
      <c r="A103" s="27"/>
      <c r="B103" s="27"/>
      <c r="C103" s="27"/>
      <c r="D103" s="27"/>
      <c r="E103" s="27"/>
      <c r="F103" s="27"/>
      <c r="G103" s="27"/>
      <c r="H103" s="27" t="s">
        <v>248</v>
      </c>
      <c r="I103" s="27"/>
      <c r="J103" s="29">
        <v>25500</v>
      </c>
      <c r="K103" s="263"/>
    </row>
    <row r="104" spans="1:11" x14ac:dyDescent="0.25">
      <c r="A104" s="27"/>
      <c r="B104" s="27"/>
      <c r="C104" s="27"/>
      <c r="D104" s="27"/>
      <c r="E104" s="27"/>
      <c r="F104" s="27"/>
      <c r="G104" s="27" t="s">
        <v>249</v>
      </c>
      <c r="H104" s="27"/>
      <c r="I104" s="27"/>
      <c r="J104" s="28">
        <f>ROUND(SUM(J101:J103),5)</f>
        <v>27400</v>
      </c>
      <c r="K104" s="266"/>
    </row>
    <row r="105" spans="1:11" x14ac:dyDescent="0.25">
      <c r="A105" s="27"/>
      <c r="B105" s="27"/>
      <c r="C105" s="27"/>
      <c r="D105" s="27"/>
      <c r="E105" s="27"/>
      <c r="F105" s="27"/>
      <c r="G105" s="27" t="s">
        <v>250</v>
      </c>
      <c r="H105" s="27"/>
      <c r="I105" s="27"/>
      <c r="J105" s="28"/>
      <c r="K105" s="266"/>
    </row>
    <row r="106" spans="1:11" x14ac:dyDescent="0.25">
      <c r="A106" s="27"/>
      <c r="B106" s="27"/>
      <c r="C106" s="27"/>
      <c r="D106" s="27"/>
      <c r="E106" s="27"/>
      <c r="F106" s="27"/>
      <c r="G106" s="27"/>
      <c r="H106" s="27" t="s">
        <v>252</v>
      </c>
      <c r="I106" s="27"/>
      <c r="J106" s="28">
        <v>8460</v>
      </c>
      <c r="K106" s="266"/>
    </row>
    <row r="107" spans="1:11" ht="15.75" thickBot="1" x14ac:dyDescent="0.3">
      <c r="A107" s="27"/>
      <c r="B107" s="27"/>
      <c r="C107" s="27"/>
      <c r="D107" s="27"/>
      <c r="E107" s="27"/>
      <c r="F107" s="27"/>
      <c r="G107" s="27"/>
      <c r="H107" s="27" t="s">
        <v>253</v>
      </c>
      <c r="I107" s="27"/>
      <c r="J107" s="29">
        <v>3995</v>
      </c>
      <c r="K107" s="263"/>
    </row>
    <row r="108" spans="1:11" ht="30" customHeight="1" x14ac:dyDescent="0.25">
      <c r="A108" s="27"/>
      <c r="B108" s="27"/>
      <c r="C108" s="27"/>
      <c r="D108" s="27"/>
      <c r="E108" s="27"/>
      <c r="F108" s="27"/>
      <c r="G108" s="27" t="s">
        <v>258</v>
      </c>
      <c r="H108" s="27"/>
      <c r="I108" s="27"/>
      <c r="J108" s="28">
        <f>ROUND(SUM(J105:J107),5)</f>
        <v>12455</v>
      </c>
      <c r="K108" s="266"/>
    </row>
    <row r="109" spans="1:11" x14ac:dyDescent="0.25">
      <c r="A109" s="27"/>
      <c r="B109" s="27"/>
      <c r="C109" s="27"/>
      <c r="D109" s="27"/>
      <c r="E109" s="27"/>
      <c r="F109" s="27"/>
      <c r="G109" s="27" t="s">
        <v>259</v>
      </c>
      <c r="H109" s="27"/>
      <c r="I109" s="27"/>
      <c r="J109" s="28"/>
      <c r="K109" s="266"/>
    </row>
    <row r="110" spans="1:11" ht="15.75" thickBot="1" x14ac:dyDescent="0.3">
      <c r="A110" s="27"/>
      <c r="B110" s="27"/>
      <c r="C110" s="27"/>
      <c r="D110" s="27"/>
      <c r="E110" s="27"/>
      <c r="F110" s="27"/>
      <c r="G110" s="27"/>
      <c r="H110" s="27" t="s">
        <v>260</v>
      </c>
      <c r="I110" s="27"/>
      <c r="J110" s="30">
        <v>7277</v>
      </c>
      <c r="K110" s="263"/>
    </row>
    <row r="111" spans="1:11" ht="15.75" thickBot="1" x14ac:dyDescent="0.3">
      <c r="A111" s="27"/>
      <c r="B111" s="27"/>
      <c r="C111" s="27"/>
      <c r="D111" s="27"/>
      <c r="E111" s="27"/>
      <c r="F111" s="27"/>
      <c r="G111" s="27" t="s">
        <v>263</v>
      </c>
      <c r="H111" s="27"/>
      <c r="I111" s="27"/>
      <c r="J111" s="33">
        <f>ROUND(SUM(J109:J110),5)</f>
        <v>7277</v>
      </c>
      <c r="K111" s="263"/>
    </row>
    <row r="112" spans="1:11" ht="30" customHeight="1" x14ac:dyDescent="0.25">
      <c r="A112" s="27"/>
      <c r="B112" s="27"/>
      <c r="C112" s="27"/>
      <c r="D112" s="27"/>
      <c r="E112" s="27"/>
      <c r="F112" s="27" t="s">
        <v>264</v>
      </c>
      <c r="G112" s="27"/>
      <c r="H112" s="27"/>
      <c r="I112" s="27"/>
      <c r="J112" s="28">
        <f>ROUND(J88+J94+J100+J104+J108+J111,5)</f>
        <v>683557.55</v>
      </c>
      <c r="K112" s="266"/>
    </row>
    <row r="113" spans="1:11" ht="30" customHeight="1" x14ac:dyDescent="0.25">
      <c r="A113" s="27"/>
      <c r="B113" s="27"/>
      <c r="C113" s="27"/>
      <c r="D113" s="27"/>
      <c r="E113" s="27"/>
      <c r="F113" s="27" t="s">
        <v>265</v>
      </c>
      <c r="G113" s="27"/>
      <c r="H113" s="27"/>
      <c r="I113" s="27"/>
      <c r="J113" s="28"/>
      <c r="K113" s="266"/>
    </row>
    <row r="114" spans="1:11" x14ac:dyDescent="0.25">
      <c r="A114" s="27"/>
      <c r="B114" s="27"/>
      <c r="C114" s="27"/>
      <c r="D114" s="27"/>
      <c r="E114" s="27"/>
      <c r="F114" s="27"/>
      <c r="G114" s="27" t="s">
        <v>392</v>
      </c>
      <c r="H114" s="27"/>
      <c r="I114" s="27"/>
      <c r="J114" s="28"/>
      <c r="K114" s="266"/>
    </row>
    <row r="115" spans="1:11" ht="15.75" thickBot="1" x14ac:dyDescent="0.3">
      <c r="A115" s="27"/>
      <c r="B115" s="27"/>
      <c r="C115" s="27"/>
      <c r="D115" s="27"/>
      <c r="E115" s="27"/>
      <c r="F115" s="27"/>
      <c r="G115" s="27"/>
      <c r="H115" s="27" t="s">
        <v>393</v>
      </c>
      <c r="I115" s="27"/>
      <c r="J115" s="30">
        <v>0</v>
      </c>
      <c r="K115" s="263"/>
    </row>
    <row r="116" spans="1:11" ht="15.75" thickBot="1" x14ac:dyDescent="0.3">
      <c r="A116" s="27"/>
      <c r="B116" s="27"/>
      <c r="C116" s="27"/>
      <c r="D116" s="27"/>
      <c r="E116" s="27"/>
      <c r="F116" s="27"/>
      <c r="G116" s="27" t="s">
        <v>396</v>
      </c>
      <c r="H116" s="27"/>
      <c r="I116" s="27"/>
      <c r="J116" s="33">
        <f>ROUND(SUM(J114:J115),5)</f>
        <v>0</v>
      </c>
      <c r="K116" s="263"/>
    </row>
    <row r="117" spans="1:11" x14ac:dyDescent="0.25">
      <c r="A117" s="27"/>
      <c r="B117" s="27"/>
      <c r="C117" s="27"/>
      <c r="D117" s="27"/>
      <c r="E117" s="27"/>
      <c r="F117" s="27" t="s">
        <v>271</v>
      </c>
      <c r="G117" s="27"/>
      <c r="H117" s="27"/>
      <c r="I117" s="27"/>
      <c r="J117" s="28">
        <f>ROUND(J113+J116,5)</f>
        <v>0</v>
      </c>
      <c r="K117" s="266"/>
    </row>
    <row r="118" spans="1:11" x14ac:dyDescent="0.25">
      <c r="A118" s="27"/>
      <c r="B118" s="27"/>
      <c r="C118" s="27"/>
      <c r="D118" s="27"/>
      <c r="E118" s="27"/>
      <c r="F118" s="27" t="s">
        <v>375</v>
      </c>
      <c r="G118" s="27"/>
      <c r="H118" s="27"/>
      <c r="I118" s="27"/>
      <c r="J118" s="28"/>
      <c r="K118" s="266"/>
    </row>
    <row r="119" spans="1:11" x14ac:dyDescent="0.25">
      <c r="A119" s="27"/>
      <c r="B119" s="27"/>
      <c r="C119" s="27"/>
      <c r="D119" s="27"/>
      <c r="E119" s="27"/>
      <c r="F119" s="27"/>
      <c r="G119" s="27" t="s">
        <v>401</v>
      </c>
      <c r="H119" s="27"/>
      <c r="I119" s="27"/>
      <c r="J119" s="28"/>
      <c r="K119" s="266"/>
    </row>
    <row r="120" spans="1:11" x14ac:dyDescent="0.25">
      <c r="A120" s="27"/>
      <c r="B120" s="27"/>
      <c r="C120" s="27"/>
      <c r="D120" s="27"/>
      <c r="E120" s="27"/>
      <c r="F120" s="27"/>
      <c r="G120" s="27"/>
      <c r="H120" s="27" t="s">
        <v>403</v>
      </c>
      <c r="I120" s="27"/>
      <c r="J120" s="28">
        <v>8815</v>
      </c>
      <c r="K120" s="266"/>
    </row>
    <row r="121" spans="1:11" x14ac:dyDescent="0.25">
      <c r="A121" s="27"/>
      <c r="B121" s="27"/>
      <c r="C121" s="27"/>
      <c r="D121" s="27"/>
      <c r="E121" s="27"/>
      <c r="F121" s="27"/>
      <c r="G121" s="27"/>
      <c r="H121" s="27" t="s">
        <v>694</v>
      </c>
      <c r="I121" s="27"/>
      <c r="J121" s="28">
        <v>6000</v>
      </c>
      <c r="K121" s="266"/>
    </row>
    <row r="122" spans="1:11" ht="15.75" thickBot="1" x14ac:dyDescent="0.3">
      <c r="A122" s="27"/>
      <c r="B122" s="27"/>
      <c r="C122" s="27"/>
      <c r="D122" s="27"/>
      <c r="E122" s="27"/>
      <c r="F122" s="27"/>
      <c r="G122" s="27"/>
      <c r="H122" s="27" t="s">
        <v>404</v>
      </c>
      <c r="I122" s="27"/>
      <c r="J122" s="29">
        <v>250</v>
      </c>
      <c r="K122" s="263"/>
    </row>
    <row r="123" spans="1:11" x14ac:dyDescent="0.25">
      <c r="A123" s="27"/>
      <c r="B123" s="27"/>
      <c r="C123" s="27"/>
      <c r="D123" s="27"/>
      <c r="E123" s="27"/>
      <c r="F123" s="27"/>
      <c r="G123" s="27" t="s">
        <v>405</v>
      </c>
      <c r="H123" s="27"/>
      <c r="I123" s="27"/>
      <c r="J123" s="28">
        <f>ROUND(SUM(J119:J122),5)</f>
        <v>15065</v>
      </c>
      <c r="K123" s="266"/>
    </row>
    <row r="124" spans="1:11" x14ac:dyDescent="0.25">
      <c r="A124" s="27"/>
      <c r="B124" s="27"/>
      <c r="C124" s="27"/>
      <c r="D124" s="27"/>
      <c r="E124" s="27"/>
      <c r="F124" s="27"/>
      <c r="G124" s="27" t="s">
        <v>376</v>
      </c>
      <c r="H124" s="27"/>
      <c r="I124" s="27"/>
      <c r="J124" s="28"/>
      <c r="K124" s="266"/>
    </row>
    <row r="125" spans="1:11" x14ac:dyDescent="0.25">
      <c r="A125" s="27"/>
      <c r="B125" s="27"/>
      <c r="C125" s="27"/>
      <c r="D125" s="27"/>
      <c r="E125" s="27"/>
      <c r="F125" s="27"/>
      <c r="G125" s="27"/>
      <c r="H125" s="27" t="s">
        <v>377</v>
      </c>
      <c r="I125" s="27"/>
      <c r="J125" s="28">
        <v>48110</v>
      </c>
      <c r="K125" s="266"/>
    </row>
    <row r="126" spans="1:11" x14ac:dyDescent="0.25">
      <c r="A126" s="27"/>
      <c r="B126" s="27"/>
      <c r="C126" s="27"/>
      <c r="D126" s="27"/>
      <c r="E126" s="27"/>
      <c r="F126" s="27"/>
      <c r="G126" s="27"/>
      <c r="H126" s="27" t="s">
        <v>378</v>
      </c>
      <c r="I126" s="27"/>
      <c r="J126" s="28">
        <v>5773.2</v>
      </c>
      <c r="K126" s="266"/>
    </row>
    <row r="127" spans="1:11" x14ac:dyDescent="0.25">
      <c r="A127" s="27"/>
      <c r="B127" s="27"/>
      <c r="C127" s="27"/>
      <c r="D127" s="27"/>
      <c r="E127" s="27"/>
      <c r="F127" s="27"/>
      <c r="G127" s="27"/>
      <c r="H127" s="27" t="s">
        <v>379</v>
      </c>
      <c r="I127" s="27"/>
      <c r="J127" s="28">
        <v>1443.3</v>
      </c>
      <c r="K127" s="266"/>
    </row>
    <row r="128" spans="1:11" ht="15.75" thickBot="1" x14ac:dyDescent="0.3">
      <c r="A128" s="27"/>
      <c r="B128" s="27"/>
      <c r="C128" s="27"/>
      <c r="D128" s="27"/>
      <c r="E128" s="27"/>
      <c r="F128" s="27"/>
      <c r="G128" s="27"/>
      <c r="H128" s="27" t="s">
        <v>380</v>
      </c>
      <c r="I128" s="27"/>
      <c r="J128" s="29">
        <v>56212</v>
      </c>
      <c r="K128" s="263"/>
    </row>
    <row r="129" spans="1:11" x14ac:dyDescent="0.25">
      <c r="A129" s="27"/>
      <c r="B129" s="27"/>
      <c r="C129" s="27"/>
      <c r="D129" s="27"/>
      <c r="E129" s="27"/>
      <c r="F129" s="27"/>
      <c r="G129" s="27" t="s">
        <v>381</v>
      </c>
      <c r="H129" s="27"/>
      <c r="I129" s="27"/>
      <c r="J129" s="28">
        <f>ROUND(SUM(J124:J128),5)</f>
        <v>111538.5</v>
      </c>
      <c r="K129" s="266"/>
    </row>
    <row r="130" spans="1:11" x14ac:dyDescent="0.25">
      <c r="A130" s="27"/>
      <c r="B130" s="27"/>
      <c r="C130" s="27"/>
      <c r="D130" s="27"/>
      <c r="E130" s="27"/>
      <c r="F130" s="27"/>
      <c r="G130" s="27" t="s">
        <v>411</v>
      </c>
      <c r="H130" s="27"/>
      <c r="I130" s="27"/>
      <c r="J130" s="28"/>
      <c r="K130" s="266"/>
    </row>
    <row r="131" spans="1:11" ht="15.75" thickBot="1" x14ac:dyDescent="0.3">
      <c r="A131" s="27"/>
      <c r="B131" s="27"/>
      <c r="C131" s="27"/>
      <c r="D131" s="27"/>
      <c r="E131" s="27"/>
      <c r="F131" s="27"/>
      <c r="G131" s="27"/>
      <c r="H131" s="27" t="s">
        <v>679</v>
      </c>
      <c r="I131" s="27"/>
      <c r="J131" s="30">
        <v>50000</v>
      </c>
      <c r="K131" s="263"/>
    </row>
    <row r="132" spans="1:11" ht="15.75" thickBot="1" x14ac:dyDescent="0.3">
      <c r="A132" s="27"/>
      <c r="B132" s="27"/>
      <c r="C132" s="27"/>
      <c r="D132" s="27"/>
      <c r="E132" s="27"/>
      <c r="F132" s="27"/>
      <c r="G132" s="27" t="s">
        <v>414</v>
      </c>
      <c r="H132" s="27"/>
      <c r="I132" s="27"/>
      <c r="J132" s="33">
        <f>ROUND(SUM(J130:J131),5)</f>
        <v>50000</v>
      </c>
      <c r="K132" s="263"/>
    </row>
    <row r="133" spans="1:11" x14ac:dyDescent="0.25">
      <c r="A133" s="27"/>
      <c r="B133" s="27"/>
      <c r="C133" s="27"/>
      <c r="D133" s="27"/>
      <c r="E133" s="27"/>
      <c r="F133" s="27" t="s">
        <v>382</v>
      </c>
      <c r="G133" s="27"/>
      <c r="H133" s="27"/>
      <c r="I133" s="27"/>
      <c r="J133" s="28">
        <f>ROUND(J118+J123+J129+J132,5)</f>
        <v>176603.5</v>
      </c>
      <c r="K133" s="266"/>
    </row>
    <row r="134" spans="1:11" x14ac:dyDescent="0.25">
      <c r="A134" s="27"/>
      <c r="B134" s="27"/>
      <c r="C134" s="27"/>
      <c r="D134" s="27"/>
      <c r="E134" s="27"/>
      <c r="F134" s="27" t="s">
        <v>415</v>
      </c>
      <c r="G134" s="27"/>
      <c r="H134" s="27"/>
      <c r="I134" s="27"/>
      <c r="J134" s="28"/>
      <c r="K134" s="266"/>
    </row>
    <row r="135" spans="1:11" x14ac:dyDescent="0.25">
      <c r="A135" s="27"/>
      <c r="B135" s="27"/>
      <c r="C135" s="27"/>
      <c r="D135" s="27"/>
      <c r="E135" s="27"/>
      <c r="F135" s="27"/>
      <c r="G135" s="27" t="s">
        <v>383</v>
      </c>
      <c r="H135" s="27"/>
      <c r="I135" s="27"/>
      <c r="J135" s="28"/>
      <c r="K135" s="266"/>
    </row>
    <row r="136" spans="1:11" x14ac:dyDescent="0.25">
      <c r="A136" s="27"/>
      <c r="B136" s="27"/>
      <c r="C136" s="27"/>
      <c r="D136" s="27"/>
      <c r="E136" s="27"/>
      <c r="F136" s="27"/>
      <c r="G136" s="27"/>
      <c r="H136" s="27" t="s">
        <v>384</v>
      </c>
      <c r="I136" s="27"/>
      <c r="J136" s="28"/>
      <c r="K136" s="266"/>
    </row>
    <row r="137" spans="1:11" ht="30" customHeight="1" x14ac:dyDescent="0.25">
      <c r="A137" s="27"/>
      <c r="B137" s="27"/>
      <c r="C137" s="27"/>
      <c r="D137" s="27"/>
      <c r="E137" s="27"/>
      <c r="F137" s="27"/>
      <c r="G137" s="27"/>
      <c r="H137" s="27"/>
      <c r="I137" s="27" t="s">
        <v>472</v>
      </c>
      <c r="J137" s="28">
        <v>21612</v>
      </c>
      <c r="K137" s="266"/>
    </row>
    <row r="138" spans="1:11" ht="15.75" thickBot="1" x14ac:dyDescent="0.3">
      <c r="A138" s="27"/>
      <c r="B138" s="27"/>
      <c r="C138" s="27"/>
      <c r="D138" s="27"/>
      <c r="E138" s="27"/>
      <c r="F138" s="27"/>
      <c r="G138" s="27"/>
      <c r="H138" s="27"/>
      <c r="I138" s="27" t="s">
        <v>473</v>
      </c>
      <c r="J138" s="30">
        <v>300</v>
      </c>
      <c r="K138" s="263"/>
    </row>
    <row r="139" spans="1:11" ht="15.75" thickBot="1" x14ac:dyDescent="0.3">
      <c r="A139" s="27"/>
      <c r="B139" s="27"/>
      <c r="C139" s="27"/>
      <c r="D139" s="27"/>
      <c r="E139" s="27"/>
      <c r="F139" s="27"/>
      <c r="G139" s="27"/>
      <c r="H139" s="27" t="s">
        <v>475</v>
      </c>
      <c r="I139" s="27"/>
      <c r="J139" s="33">
        <f>ROUND(SUM(J136:J138),5)</f>
        <v>21912</v>
      </c>
      <c r="K139" s="263"/>
    </row>
    <row r="140" spans="1:11" x14ac:dyDescent="0.25">
      <c r="A140" s="27"/>
      <c r="B140" s="27"/>
      <c r="C140" s="27"/>
      <c r="D140" s="27"/>
      <c r="E140" s="27"/>
      <c r="F140" s="27"/>
      <c r="G140" s="27" t="s">
        <v>385</v>
      </c>
      <c r="H140" s="27"/>
      <c r="I140" s="27"/>
      <c r="J140" s="28">
        <f>ROUND(J135+J139,5)</f>
        <v>21912</v>
      </c>
      <c r="K140" s="266"/>
    </row>
    <row r="141" spans="1:11" x14ac:dyDescent="0.25">
      <c r="A141" s="27"/>
      <c r="B141" s="27"/>
      <c r="C141" s="27"/>
      <c r="D141" s="27"/>
      <c r="E141" s="27"/>
      <c r="F141" s="27"/>
      <c r="G141" s="27" t="s">
        <v>416</v>
      </c>
      <c r="H141" s="27"/>
      <c r="I141" s="27"/>
      <c r="J141" s="28"/>
      <c r="K141" s="266"/>
    </row>
    <row r="142" spans="1:11" ht="30" customHeight="1" x14ac:dyDescent="0.25">
      <c r="A142" s="27"/>
      <c r="B142" s="27"/>
      <c r="C142" s="27"/>
      <c r="D142" s="27"/>
      <c r="E142" s="27"/>
      <c r="F142" s="27"/>
      <c r="G142" s="27"/>
      <c r="H142" s="27" t="s">
        <v>422</v>
      </c>
      <c r="I142" s="27"/>
      <c r="J142" s="28">
        <v>126250</v>
      </c>
      <c r="K142" s="266"/>
    </row>
    <row r="143" spans="1:11" x14ac:dyDescent="0.25">
      <c r="A143" s="27"/>
      <c r="B143" s="27"/>
      <c r="C143" s="27"/>
      <c r="D143" s="27"/>
      <c r="E143" s="27"/>
      <c r="F143" s="27"/>
      <c r="G143" s="27"/>
      <c r="H143" s="27" t="s">
        <v>417</v>
      </c>
      <c r="I143" s="27"/>
      <c r="J143" s="28">
        <v>7200</v>
      </c>
      <c r="K143" s="266"/>
    </row>
    <row r="144" spans="1:11" ht="15.75" thickBot="1" x14ac:dyDescent="0.3">
      <c r="A144" s="27"/>
      <c r="B144" s="27"/>
      <c r="C144" s="27"/>
      <c r="D144" s="27"/>
      <c r="E144" s="27"/>
      <c r="F144" s="27"/>
      <c r="G144" s="27"/>
      <c r="H144" s="27" t="s">
        <v>418</v>
      </c>
      <c r="I144" s="27"/>
      <c r="J144" s="29">
        <v>1800</v>
      </c>
      <c r="K144" s="263"/>
    </row>
    <row r="145" spans="1:11" x14ac:dyDescent="0.25">
      <c r="A145" s="27"/>
      <c r="B145" s="27"/>
      <c r="C145" s="27"/>
      <c r="D145" s="27"/>
      <c r="E145" s="27"/>
      <c r="F145" s="27"/>
      <c r="G145" s="27" t="s">
        <v>419</v>
      </c>
      <c r="H145" s="27"/>
      <c r="I145" s="27"/>
      <c r="J145" s="28">
        <f>ROUND(SUM(J141:J144),5)</f>
        <v>135250</v>
      </c>
      <c r="K145" s="266"/>
    </row>
    <row r="146" spans="1:11" x14ac:dyDescent="0.25">
      <c r="A146" s="27"/>
      <c r="B146" s="27"/>
      <c r="C146" s="27"/>
      <c r="D146" s="27"/>
      <c r="E146" s="27"/>
      <c r="F146" s="27"/>
      <c r="G146" s="27" t="s">
        <v>386</v>
      </c>
      <c r="H146" s="27"/>
      <c r="I146" s="27"/>
      <c r="J146" s="28"/>
      <c r="K146" s="266"/>
    </row>
    <row r="147" spans="1:11" ht="15.75" thickBot="1" x14ac:dyDescent="0.3">
      <c r="A147" s="27"/>
      <c r="B147" s="27"/>
      <c r="C147" s="27"/>
      <c r="D147" s="27"/>
      <c r="E147" s="27"/>
      <c r="F147" s="27"/>
      <c r="G147" s="27"/>
      <c r="H147" s="27" t="s">
        <v>387</v>
      </c>
      <c r="I147" s="27"/>
      <c r="J147" s="30">
        <v>640</v>
      </c>
      <c r="K147" s="263"/>
    </row>
    <row r="148" spans="1:11" ht="15.75" thickBot="1" x14ac:dyDescent="0.3">
      <c r="A148" s="27"/>
      <c r="B148" s="27"/>
      <c r="C148" s="27"/>
      <c r="D148" s="27"/>
      <c r="E148" s="27"/>
      <c r="F148" s="27"/>
      <c r="G148" s="27" t="s">
        <v>388</v>
      </c>
      <c r="H148" s="27"/>
      <c r="I148" s="27"/>
      <c r="J148" s="33">
        <f>ROUND(SUM(J146:J147),5)</f>
        <v>640</v>
      </c>
      <c r="K148" s="263"/>
    </row>
    <row r="149" spans="1:11" x14ac:dyDescent="0.25">
      <c r="A149" s="27"/>
      <c r="B149" s="27"/>
      <c r="C149" s="27"/>
      <c r="D149" s="27"/>
      <c r="E149" s="27"/>
      <c r="F149" s="27" t="s">
        <v>421</v>
      </c>
      <c r="G149" s="27"/>
      <c r="H149" s="27"/>
      <c r="I149" s="27"/>
      <c r="J149" s="28">
        <f>ROUND(J134+J140+J145+J148,5)</f>
        <v>157802</v>
      </c>
      <c r="K149" s="266"/>
    </row>
    <row r="150" spans="1:11" x14ac:dyDescent="0.25">
      <c r="A150" s="27"/>
      <c r="B150" s="27"/>
      <c r="C150" s="27"/>
      <c r="D150" s="27"/>
      <c r="E150" s="27"/>
      <c r="F150" s="27" t="s">
        <v>281</v>
      </c>
      <c r="G150" s="27"/>
      <c r="H150" s="27"/>
      <c r="I150" s="27"/>
      <c r="J150" s="28"/>
      <c r="K150" s="266"/>
    </row>
    <row r="151" spans="1:11" x14ac:dyDescent="0.25">
      <c r="A151" s="27"/>
      <c r="B151" s="27"/>
      <c r="C151" s="27"/>
      <c r="D151" s="27"/>
      <c r="E151" s="27"/>
      <c r="F151" s="27"/>
      <c r="G151" s="27" t="s">
        <v>282</v>
      </c>
      <c r="H151" s="27"/>
      <c r="I151" s="27"/>
      <c r="J151" s="28"/>
      <c r="K151" s="266"/>
    </row>
    <row r="152" spans="1:11" ht="15.75" thickBot="1" x14ac:dyDescent="0.3">
      <c r="A152" s="27"/>
      <c r="B152" s="27"/>
      <c r="C152" s="27"/>
      <c r="D152" s="27"/>
      <c r="E152" s="27"/>
      <c r="F152" s="27"/>
      <c r="G152" s="27"/>
      <c r="H152" s="27" t="s">
        <v>290</v>
      </c>
      <c r="I152" s="27"/>
      <c r="J152" s="29">
        <v>225000</v>
      </c>
      <c r="K152" s="263">
        <v>-98659.269443256053</v>
      </c>
    </row>
    <row r="153" spans="1:11" x14ac:dyDescent="0.25">
      <c r="A153" s="27"/>
      <c r="B153" s="27"/>
      <c r="C153" s="27"/>
      <c r="D153" s="27"/>
      <c r="E153" s="27"/>
      <c r="F153" s="27"/>
      <c r="G153" s="27" t="s">
        <v>292</v>
      </c>
      <c r="H153" s="27"/>
      <c r="I153" s="27"/>
      <c r="J153" s="28">
        <f>ROUND(SUM(J151:J152),5)</f>
        <v>225000</v>
      </c>
      <c r="K153" s="266"/>
    </row>
    <row r="154" spans="1:11" x14ac:dyDescent="0.25">
      <c r="A154" s="27"/>
      <c r="B154" s="27"/>
      <c r="C154" s="27"/>
      <c r="D154" s="27"/>
      <c r="E154" s="27"/>
      <c r="F154" s="27"/>
      <c r="G154" s="27" t="s">
        <v>293</v>
      </c>
      <c r="H154" s="27"/>
      <c r="I154" s="27"/>
      <c r="J154" s="28"/>
      <c r="K154" s="266"/>
    </row>
    <row r="155" spans="1:11" x14ac:dyDescent="0.25">
      <c r="A155" s="27"/>
      <c r="B155" s="27"/>
      <c r="C155" s="27"/>
      <c r="D155" s="27"/>
      <c r="E155" s="27"/>
      <c r="F155" s="27"/>
      <c r="G155" s="27"/>
      <c r="H155" s="27" t="s">
        <v>295</v>
      </c>
      <c r="I155" s="27"/>
      <c r="J155" s="28">
        <v>4716</v>
      </c>
      <c r="K155" s="266"/>
    </row>
    <row r="156" spans="1:11" x14ac:dyDescent="0.25">
      <c r="A156" s="27"/>
      <c r="B156" s="27"/>
      <c r="C156" s="27"/>
      <c r="D156" s="27"/>
      <c r="E156" s="27"/>
      <c r="F156" s="27"/>
      <c r="G156" s="27"/>
      <c r="H156" s="27" t="s">
        <v>296</v>
      </c>
      <c r="I156" s="27"/>
      <c r="J156" s="28">
        <v>94706.04</v>
      </c>
      <c r="K156" s="266"/>
    </row>
    <row r="157" spans="1:11" x14ac:dyDescent="0.25">
      <c r="A157" s="27"/>
      <c r="B157" s="27"/>
      <c r="C157" s="27"/>
      <c r="D157" s="27"/>
      <c r="E157" s="27"/>
      <c r="F157" s="27"/>
      <c r="G157" s="27"/>
      <c r="H157" s="27" t="s">
        <v>304</v>
      </c>
      <c r="I157" s="27"/>
      <c r="J157" s="28">
        <v>2330</v>
      </c>
      <c r="K157" s="266"/>
    </row>
    <row r="158" spans="1:11" x14ac:dyDescent="0.25">
      <c r="A158" s="27"/>
      <c r="B158" s="27"/>
      <c r="C158" s="27"/>
      <c r="D158" s="27"/>
      <c r="E158" s="27"/>
      <c r="F158" s="27"/>
      <c r="G158" s="27"/>
      <c r="H158" s="27" t="s">
        <v>306</v>
      </c>
      <c r="I158" s="27"/>
      <c r="J158" s="28">
        <v>76943</v>
      </c>
      <c r="K158" s="266"/>
    </row>
    <row r="159" spans="1:11" ht="15.75" thickBot="1" x14ac:dyDescent="0.3">
      <c r="A159" s="27"/>
      <c r="B159" s="27"/>
      <c r="C159" s="27"/>
      <c r="D159" s="27"/>
      <c r="E159" s="27"/>
      <c r="F159" s="27"/>
      <c r="G159" s="27"/>
      <c r="H159" s="27" t="s">
        <v>309</v>
      </c>
      <c r="I159" s="27"/>
      <c r="J159" s="29">
        <v>33000</v>
      </c>
      <c r="K159" s="263"/>
    </row>
    <row r="160" spans="1:11" x14ac:dyDescent="0.25">
      <c r="A160" s="27"/>
      <c r="B160" s="27"/>
      <c r="C160" s="27"/>
      <c r="D160" s="27"/>
      <c r="E160" s="27"/>
      <c r="F160" s="27"/>
      <c r="G160" s="27" t="s">
        <v>310</v>
      </c>
      <c r="H160" s="27"/>
      <c r="I160" s="27"/>
      <c r="J160" s="28">
        <f>ROUND(SUM(J154:J159),5)</f>
        <v>211695.04</v>
      </c>
      <c r="K160" s="266">
        <v>-155175.68130122926</v>
      </c>
    </row>
    <row r="161" spans="1:11" x14ac:dyDescent="0.25">
      <c r="A161" s="27"/>
      <c r="B161" s="27"/>
      <c r="C161" s="27"/>
      <c r="D161" s="27"/>
      <c r="E161" s="27"/>
      <c r="F161" s="27"/>
      <c r="G161" s="27" t="s">
        <v>311</v>
      </c>
      <c r="H161" s="27"/>
      <c r="I161" s="27"/>
      <c r="J161" s="28"/>
      <c r="K161" s="266"/>
    </row>
    <row r="162" spans="1:11" s="23" customFormat="1" x14ac:dyDescent="0.25">
      <c r="A162" s="27"/>
      <c r="B162" s="27"/>
      <c r="C162" s="27"/>
      <c r="D162" s="27"/>
      <c r="E162" s="27"/>
      <c r="F162" s="27"/>
      <c r="G162" s="27"/>
      <c r="H162" s="27" t="s">
        <v>312</v>
      </c>
      <c r="I162" s="27"/>
      <c r="J162" s="265">
        <v>17000</v>
      </c>
      <c r="K162" s="270">
        <v>0.56151435802997318</v>
      </c>
    </row>
    <row r="163" spans="1:11" s="23" customFormat="1" x14ac:dyDescent="0.25">
      <c r="A163" s="27"/>
      <c r="B163" s="27"/>
      <c r="C163" s="27"/>
      <c r="D163" s="27"/>
      <c r="E163" s="27"/>
      <c r="F163" s="27"/>
      <c r="G163" s="27"/>
      <c r="H163" s="27" t="s">
        <v>313</v>
      </c>
      <c r="I163" s="27"/>
      <c r="J163" s="265">
        <v>7500</v>
      </c>
      <c r="K163" s="270">
        <v>0.56151435802997318</v>
      </c>
    </row>
    <row r="164" spans="1:11" s="23" customFormat="1" x14ac:dyDescent="0.25">
      <c r="A164" s="27"/>
      <c r="B164" s="27"/>
      <c r="C164" s="27"/>
      <c r="D164" s="27"/>
      <c r="E164" s="27"/>
      <c r="F164" s="27"/>
      <c r="G164" s="27"/>
      <c r="H164" s="27" t="s">
        <v>314</v>
      </c>
      <c r="I164" s="27"/>
      <c r="J164" s="265">
        <v>120000</v>
      </c>
      <c r="K164" s="271">
        <v>0.26027397260273971</v>
      </c>
    </row>
    <row r="165" spans="1:11" s="23" customFormat="1" x14ac:dyDescent="0.25">
      <c r="A165" s="27"/>
      <c r="B165" s="27"/>
      <c r="C165" s="27"/>
      <c r="D165" s="27"/>
      <c r="E165" s="27"/>
      <c r="F165" s="27"/>
      <c r="G165" s="27"/>
      <c r="H165" s="27" t="s">
        <v>316</v>
      </c>
      <c r="I165" s="27"/>
      <c r="J165" s="265">
        <v>30000</v>
      </c>
      <c r="K165" s="270">
        <v>0.56151435802997318</v>
      </c>
    </row>
    <row r="166" spans="1:11" s="23" customFormat="1" x14ac:dyDescent="0.25">
      <c r="A166" s="27"/>
      <c r="B166" s="27"/>
      <c r="C166" s="27"/>
      <c r="D166" s="27"/>
      <c r="E166" s="27"/>
      <c r="F166" s="27"/>
      <c r="G166" s="27"/>
      <c r="H166" s="27" t="s">
        <v>674</v>
      </c>
      <c r="I166" s="27"/>
      <c r="J166" s="265">
        <v>3750</v>
      </c>
      <c r="K166" s="270">
        <v>0.56151435802997318</v>
      </c>
    </row>
    <row r="167" spans="1:11" s="23" customFormat="1" x14ac:dyDescent="0.25">
      <c r="A167" s="27"/>
      <c r="B167" s="27"/>
      <c r="C167" s="27"/>
      <c r="D167" s="27"/>
      <c r="E167" s="27"/>
      <c r="F167" s="27"/>
      <c r="G167" s="27"/>
      <c r="H167" s="27" t="s">
        <v>695</v>
      </c>
      <c r="I167" s="27"/>
      <c r="J167" s="265">
        <v>5000</v>
      </c>
      <c r="K167" s="270">
        <v>0.56151435802997318</v>
      </c>
    </row>
    <row r="168" spans="1:11" x14ac:dyDescent="0.25">
      <c r="A168" s="27"/>
      <c r="B168" s="27"/>
      <c r="C168" s="27"/>
      <c r="D168" s="27"/>
      <c r="E168" s="27"/>
      <c r="F168" s="27"/>
      <c r="G168" s="27"/>
      <c r="H168" s="27" t="s">
        <v>314</v>
      </c>
      <c r="I168" s="27"/>
      <c r="J168" s="28">
        <v>0</v>
      </c>
      <c r="K168" s="266"/>
    </row>
    <row r="169" spans="1:11" ht="15.75" thickBot="1" x14ac:dyDescent="0.3">
      <c r="A169" s="27"/>
      <c r="B169" s="27"/>
      <c r="C169" s="27"/>
      <c r="D169" s="27"/>
      <c r="E169" s="27"/>
      <c r="F169" s="27"/>
      <c r="G169" s="27"/>
      <c r="H169" s="27" t="s">
        <v>315</v>
      </c>
      <c r="I169" s="27"/>
      <c r="J169" s="29">
        <v>4500.92</v>
      </c>
      <c r="K169" s="263"/>
    </row>
    <row r="170" spans="1:11" x14ac:dyDescent="0.25">
      <c r="A170" s="27"/>
      <c r="B170" s="27"/>
      <c r="C170" s="27"/>
      <c r="D170" s="27"/>
      <c r="E170" s="27"/>
      <c r="F170" s="27"/>
      <c r="G170" s="27" t="s">
        <v>318</v>
      </c>
      <c r="H170" s="27"/>
      <c r="I170" s="27"/>
      <c r="J170" s="28">
        <f>ROUND(SUM(J161:J169),5)</f>
        <v>187750.92</v>
      </c>
      <c r="K170" s="266">
        <v>-3329.4476712328765</v>
      </c>
    </row>
    <row r="171" spans="1:11" x14ac:dyDescent="0.25">
      <c r="A171" s="27"/>
      <c r="B171" s="27"/>
      <c r="C171" s="27"/>
      <c r="D171" s="27"/>
      <c r="E171" s="27"/>
      <c r="F171" s="27"/>
      <c r="G171" s="27" t="s">
        <v>319</v>
      </c>
      <c r="H171" s="27"/>
      <c r="I171" s="27"/>
      <c r="J171" s="28"/>
      <c r="K171" s="266"/>
    </row>
    <row r="172" spans="1:11" s="23" customFormat="1" x14ac:dyDescent="0.25">
      <c r="A172" s="27"/>
      <c r="B172" s="27"/>
      <c r="C172" s="27"/>
      <c r="D172" s="27"/>
      <c r="E172" s="27"/>
      <c r="F172" s="27"/>
      <c r="G172" s="27"/>
      <c r="H172" s="27" t="s">
        <v>320</v>
      </c>
      <c r="I172" s="27"/>
      <c r="J172" s="265">
        <v>8000</v>
      </c>
      <c r="K172" s="271">
        <v>0.26027397260273971</v>
      </c>
    </row>
    <row r="173" spans="1:11" s="23" customFormat="1" x14ac:dyDescent="0.25">
      <c r="A173" s="27"/>
      <c r="B173" s="27"/>
      <c r="C173" s="27"/>
      <c r="D173" s="27"/>
      <c r="E173" s="27"/>
      <c r="F173" s="27"/>
      <c r="G173" s="27"/>
      <c r="H173" s="27" t="s">
        <v>322</v>
      </c>
      <c r="I173" s="27"/>
      <c r="J173" s="265">
        <v>90000</v>
      </c>
      <c r="K173" s="271">
        <v>0.26027397260273971</v>
      </c>
    </row>
    <row r="174" spans="1:11" x14ac:dyDescent="0.25">
      <c r="A174" s="27"/>
      <c r="B174" s="27"/>
      <c r="C174" s="27"/>
      <c r="D174" s="27"/>
      <c r="E174" s="27"/>
      <c r="F174" s="27"/>
      <c r="G174" s="27"/>
      <c r="H174" s="27" t="s">
        <v>321</v>
      </c>
      <c r="I174" s="27"/>
      <c r="J174" s="28">
        <v>12115.65</v>
      </c>
      <c r="K174" s="266"/>
    </row>
    <row r="175" spans="1:11" ht="15.75" thickBot="1" x14ac:dyDescent="0.3">
      <c r="A175" s="27"/>
      <c r="B175" s="27"/>
      <c r="C175" s="27"/>
      <c r="D175" s="27"/>
      <c r="E175" s="27"/>
      <c r="F175" s="27"/>
      <c r="G175" s="27"/>
      <c r="H175" s="27" t="s">
        <v>323</v>
      </c>
      <c r="I175" s="27"/>
      <c r="J175" s="29">
        <v>119275.35</v>
      </c>
      <c r="K175" s="263"/>
    </row>
    <row r="176" spans="1:11" x14ac:dyDescent="0.25">
      <c r="A176" s="27"/>
      <c r="B176" s="27"/>
      <c r="C176" s="27"/>
      <c r="D176" s="27"/>
      <c r="E176" s="27"/>
      <c r="F176" s="27"/>
      <c r="G176" s="27" t="s">
        <v>324</v>
      </c>
      <c r="H176" s="27"/>
      <c r="I176" s="27"/>
      <c r="J176" s="28">
        <f>ROUND(SUM(J171:J175),5)</f>
        <v>229391</v>
      </c>
      <c r="K176" s="266">
        <v>-97193.342465753434</v>
      </c>
    </row>
    <row r="177" spans="1:11" x14ac:dyDescent="0.25">
      <c r="A177" s="27"/>
      <c r="B177" s="27"/>
      <c r="C177" s="27"/>
      <c r="D177" s="27"/>
      <c r="E177" s="27"/>
      <c r="F177" s="27"/>
      <c r="G177" s="27" t="s">
        <v>325</v>
      </c>
      <c r="H177" s="27"/>
      <c r="I177" s="27"/>
      <c r="J177" s="28"/>
      <c r="K177" s="266"/>
    </row>
    <row r="178" spans="1:11" x14ac:dyDescent="0.25">
      <c r="A178" s="27"/>
      <c r="B178" s="27"/>
      <c r="C178" s="27"/>
      <c r="D178" s="27"/>
      <c r="E178" s="27"/>
      <c r="F178" s="27"/>
      <c r="G178" s="27"/>
      <c r="H178" s="27" t="s">
        <v>328</v>
      </c>
      <c r="I178" s="27"/>
      <c r="J178" s="28">
        <v>39613.29</v>
      </c>
      <c r="K178" s="266"/>
    </row>
    <row r="179" spans="1:11" x14ac:dyDescent="0.25">
      <c r="A179" s="27"/>
      <c r="B179" s="27"/>
      <c r="C179" s="27"/>
      <c r="D179" s="27"/>
      <c r="E179" s="27"/>
      <c r="F179" s="27"/>
      <c r="G179" s="27"/>
      <c r="H179" s="27" t="s">
        <v>330</v>
      </c>
      <c r="I179" s="27"/>
      <c r="J179" s="28">
        <v>22832</v>
      </c>
      <c r="K179" s="266"/>
    </row>
    <row r="180" spans="1:11" x14ac:dyDescent="0.25">
      <c r="A180" s="27"/>
      <c r="B180" s="27"/>
      <c r="C180" s="27"/>
      <c r="D180" s="27"/>
      <c r="E180" s="27"/>
      <c r="F180" s="27"/>
      <c r="G180" s="27"/>
      <c r="H180" s="27" t="s">
        <v>680</v>
      </c>
      <c r="I180" s="27"/>
      <c r="J180" s="28"/>
      <c r="K180" s="266"/>
    </row>
    <row r="181" spans="1:11" x14ac:dyDescent="0.25">
      <c r="A181" s="27"/>
      <c r="B181" s="27"/>
      <c r="C181" s="27"/>
      <c r="D181" s="27"/>
      <c r="E181" s="27"/>
      <c r="F181" s="27"/>
      <c r="G181" s="27"/>
      <c r="H181" s="27"/>
      <c r="I181" s="27" t="s">
        <v>681</v>
      </c>
      <c r="J181" s="28">
        <v>1125</v>
      </c>
      <c r="K181" s="266"/>
    </row>
    <row r="182" spans="1:11" ht="15.75" thickBot="1" x14ac:dyDescent="0.3">
      <c r="A182" s="27"/>
      <c r="B182" s="27"/>
      <c r="C182" s="27"/>
      <c r="D182" s="27"/>
      <c r="E182" s="27"/>
      <c r="F182" s="27"/>
      <c r="G182" s="27"/>
      <c r="H182" s="27"/>
      <c r="I182" s="27" t="s">
        <v>682</v>
      </c>
      <c r="J182" s="30">
        <v>5000</v>
      </c>
      <c r="K182" s="263"/>
    </row>
    <row r="183" spans="1:11" ht="15.75" thickBot="1" x14ac:dyDescent="0.3">
      <c r="A183" s="27"/>
      <c r="B183" s="27"/>
      <c r="C183" s="27"/>
      <c r="D183" s="27"/>
      <c r="E183" s="27"/>
      <c r="F183" s="27"/>
      <c r="G183" s="27"/>
      <c r="H183" s="27" t="s">
        <v>683</v>
      </c>
      <c r="I183" s="27"/>
      <c r="J183" s="33">
        <f>ROUND(SUM(J180:J182),5)</f>
        <v>6125</v>
      </c>
      <c r="K183" s="263"/>
    </row>
    <row r="184" spans="1:11" x14ac:dyDescent="0.25">
      <c r="A184" s="27"/>
      <c r="B184" s="27"/>
      <c r="C184" s="27"/>
      <c r="D184" s="27"/>
      <c r="E184" s="27"/>
      <c r="F184" s="27"/>
      <c r="G184" s="27" t="s">
        <v>333</v>
      </c>
      <c r="H184" s="27"/>
      <c r="I184" s="27"/>
      <c r="J184" s="28">
        <f>ROUND(SUM(J177:J179)+J183,5)</f>
        <v>68570.289999999994</v>
      </c>
      <c r="K184" s="266">
        <v>-30067.087630720918</v>
      </c>
    </row>
    <row r="185" spans="1:11" x14ac:dyDescent="0.25">
      <c r="A185" s="27"/>
      <c r="B185" s="27"/>
      <c r="C185" s="27"/>
      <c r="D185" s="27"/>
      <c r="E185" s="27"/>
      <c r="F185" s="27"/>
      <c r="G185" s="27" t="s">
        <v>343</v>
      </c>
      <c r="H185" s="27"/>
      <c r="I185" s="27"/>
      <c r="J185" s="28"/>
      <c r="K185" s="266"/>
    </row>
    <row r="186" spans="1:11" x14ac:dyDescent="0.25">
      <c r="A186" s="27"/>
      <c r="B186" s="27"/>
      <c r="C186" s="27"/>
      <c r="D186" s="27"/>
      <c r="E186" s="27"/>
      <c r="F186" s="27"/>
      <c r="G186" s="27"/>
      <c r="H186" s="27" t="s">
        <v>344</v>
      </c>
      <c r="I186" s="27"/>
      <c r="J186" s="28">
        <v>30729.54</v>
      </c>
      <c r="K186" s="266"/>
    </row>
    <row r="187" spans="1:11" x14ac:dyDescent="0.25">
      <c r="A187" s="27"/>
      <c r="B187" s="27"/>
      <c r="C187" s="27"/>
      <c r="D187" s="27"/>
      <c r="E187" s="27"/>
      <c r="F187" s="27"/>
      <c r="G187" s="27"/>
      <c r="H187" s="27" t="s">
        <v>345</v>
      </c>
      <c r="I187" s="27"/>
      <c r="J187" s="28">
        <v>102205.16</v>
      </c>
      <c r="K187" s="266"/>
    </row>
    <row r="188" spans="1:11" x14ac:dyDescent="0.25">
      <c r="A188" s="27"/>
      <c r="B188" s="27"/>
      <c r="C188" s="27"/>
      <c r="D188" s="27"/>
      <c r="E188" s="27"/>
      <c r="F188" s="27"/>
      <c r="G188" s="27"/>
      <c r="H188" s="27" t="s">
        <v>346</v>
      </c>
      <c r="I188" s="27"/>
      <c r="J188" s="28">
        <v>675662.23</v>
      </c>
      <c r="K188" s="266"/>
    </row>
    <row r="189" spans="1:11" x14ac:dyDescent="0.25">
      <c r="A189" s="27"/>
      <c r="B189" s="27"/>
      <c r="C189" s="27"/>
      <c r="D189" s="27"/>
      <c r="E189" s="27"/>
      <c r="F189" s="27"/>
      <c r="G189" s="27"/>
      <c r="H189" s="27" t="s">
        <v>349</v>
      </c>
      <c r="I189" s="27"/>
      <c r="J189" s="28">
        <v>4500</v>
      </c>
      <c r="K189" s="266"/>
    </row>
    <row r="190" spans="1:11" ht="15.75" thickBot="1" x14ac:dyDescent="0.3">
      <c r="A190" s="27"/>
      <c r="B190" s="27"/>
      <c r="C190" s="27"/>
      <c r="D190" s="27"/>
      <c r="E190" s="27"/>
      <c r="F190" s="27"/>
      <c r="G190" s="27"/>
      <c r="H190" s="27" t="s">
        <v>351</v>
      </c>
      <c r="I190" s="27"/>
      <c r="J190" s="30">
        <v>11716</v>
      </c>
      <c r="K190" s="263"/>
    </row>
    <row r="191" spans="1:11" ht="15.75" thickBot="1" x14ac:dyDescent="0.3">
      <c r="A191" s="27"/>
      <c r="B191" s="27"/>
      <c r="C191" s="27"/>
      <c r="D191" s="27"/>
      <c r="E191" s="27"/>
      <c r="F191" s="27"/>
      <c r="G191" s="27" t="s">
        <v>353</v>
      </c>
      <c r="H191" s="27"/>
      <c r="I191" s="27"/>
      <c r="J191" s="34">
        <f>ROUND(SUM(J185:J190),5)</f>
        <v>824812.93</v>
      </c>
      <c r="K191" s="263">
        <v>-8666.6301369863013</v>
      </c>
    </row>
    <row r="192" spans="1:11" ht="15.75" thickBot="1" x14ac:dyDescent="0.3">
      <c r="A192" s="27"/>
      <c r="B192" s="27"/>
      <c r="C192" s="27"/>
      <c r="D192" s="27"/>
      <c r="E192" s="27"/>
      <c r="F192" s="27" t="s">
        <v>355</v>
      </c>
      <c r="G192" s="27"/>
      <c r="H192" s="27"/>
      <c r="I192" s="27"/>
      <c r="J192" s="34">
        <f>ROUND(J150+J153+J160+J170+J176+J184+J191,5)</f>
        <v>1747220.18</v>
      </c>
      <c r="K192" s="263"/>
    </row>
    <row r="193" spans="1:11" ht="15.75" thickBot="1" x14ac:dyDescent="0.3">
      <c r="A193" s="27"/>
      <c r="B193" s="27"/>
      <c r="C193" s="27"/>
      <c r="D193" s="27"/>
      <c r="E193" s="27" t="s">
        <v>356</v>
      </c>
      <c r="F193" s="27"/>
      <c r="G193" s="27"/>
      <c r="H193" s="27"/>
      <c r="I193" s="27"/>
      <c r="J193" s="34">
        <f>ROUND(J53+J87+J112+J117+J133+J149+J192,5)</f>
        <v>3820785.94</v>
      </c>
      <c r="K193" s="263"/>
    </row>
    <row r="194" spans="1:11" ht="15.75" thickBot="1" x14ac:dyDescent="0.3">
      <c r="A194" s="27"/>
      <c r="B194" s="27"/>
      <c r="C194" s="27"/>
      <c r="D194" s="27" t="s">
        <v>357</v>
      </c>
      <c r="E194" s="27"/>
      <c r="F194" s="27"/>
      <c r="G194" s="27"/>
      <c r="H194" s="27"/>
      <c r="I194" s="27"/>
      <c r="J194" s="34">
        <f>ROUND(J52+J193,5)</f>
        <v>3820785.94</v>
      </c>
      <c r="K194" s="263"/>
    </row>
    <row r="195" spans="1:11" ht="15.75" thickBot="1" x14ac:dyDescent="0.3">
      <c r="A195" s="27"/>
      <c r="B195" s="27" t="s">
        <v>358</v>
      </c>
      <c r="C195" s="27"/>
      <c r="D195" s="27"/>
      <c r="E195" s="27"/>
      <c r="F195" s="27"/>
      <c r="G195" s="27"/>
      <c r="H195" s="27"/>
      <c r="I195" s="27"/>
      <c r="J195" s="34">
        <f>ROUND(J3+J51-J194,5)</f>
        <v>-2943934.25</v>
      </c>
      <c r="K195" s="263"/>
    </row>
    <row r="196" spans="1:11" ht="15.75" thickBot="1" x14ac:dyDescent="0.3">
      <c r="A196" s="27"/>
      <c r="B196" s="27"/>
      <c r="C196" s="27"/>
      <c r="D196" s="27"/>
      <c r="E196" s="27"/>
      <c r="F196" s="27"/>
      <c r="G196" s="27"/>
      <c r="H196" s="27"/>
      <c r="I196" s="27"/>
      <c r="J196" s="35">
        <f>J195</f>
        <v>-2943934.25</v>
      </c>
      <c r="K196" s="267">
        <v>-393091.45864917891</v>
      </c>
    </row>
    <row r="197" spans="1:11" ht="15.75" thickTop="1" x14ac:dyDescent="0.25">
      <c r="A197" s="23"/>
      <c r="B197" s="23"/>
      <c r="C197" s="23"/>
      <c r="D197" s="23"/>
      <c r="E197" s="23"/>
      <c r="F197" s="23"/>
      <c r="G197" s="23"/>
      <c r="H197" s="23"/>
      <c r="I197" s="23"/>
      <c r="J197" s="259"/>
      <c r="K197" s="259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499984740745262"/>
  </sheetPr>
  <dimension ref="A2:R33"/>
  <sheetViews>
    <sheetView topLeftCell="A9" workbookViewId="0">
      <pane xSplit="1" topLeftCell="E1" activePane="topRight" state="frozen"/>
      <selection activeCell="A4" sqref="A4"/>
      <selection pane="topRight" activeCell="O28" activeCellId="1" sqref="O28 O28"/>
    </sheetView>
  </sheetViews>
  <sheetFormatPr defaultRowHeight="15" x14ac:dyDescent="0.25"/>
  <cols>
    <col min="1" max="1" width="32" style="23" customWidth="1"/>
    <col min="2" max="2" width="9.140625" style="23"/>
    <col min="3" max="3" width="8.85546875" style="23" customWidth="1"/>
    <col min="4" max="4" width="9.140625" style="23"/>
    <col min="5" max="5" width="11.85546875" style="23" customWidth="1"/>
    <col min="6" max="6" width="13.5703125" style="23" customWidth="1"/>
    <col min="7" max="7" width="15.28515625" style="23" customWidth="1"/>
    <col min="8" max="8" width="11.85546875" style="23" customWidth="1"/>
    <col min="9" max="9" width="11.5703125" style="23" customWidth="1"/>
    <col min="10" max="10" width="16" style="23" customWidth="1"/>
    <col min="11" max="11" width="10.7109375" style="23" customWidth="1"/>
    <col min="12" max="12" width="14.28515625" style="23" bestFit="1" customWidth="1"/>
    <col min="13" max="13" width="10.28515625" style="23" customWidth="1"/>
    <col min="14" max="14" width="11.140625" style="23" customWidth="1"/>
    <col min="15" max="15" width="14.5703125" style="23" customWidth="1"/>
    <col min="16" max="16" width="15.28515625" style="23" bestFit="1" customWidth="1"/>
    <col min="17" max="17" width="14.28515625" style="23" bestFit="1" customWidth="1"/>
    <col min="18" max="16384" width="9.140625" style="23"/>
  </cols>
  <sheetData>
    <row r="2" spans="1:18" ht="23.25" x14ac:dyDescent="0.35">
      <c r="A2" s="37" t="s">
        <v>34</v>
      </c>
      <c r="K2" s="111"/>
      <c r="L2" s="111"/>
      <c r="N2" s="111"/>
      <c r="P2" s="111"/>
    </row>
    <row r="3" spans="1:18" ht="18.75" x14ac:dyDescent="0.3">
      <c r="A3" s="38" t="s">
        <v>35</v>
      </c>
      <c r="B3" s="4"/>
      <c r="L3" s="108"/>
      <c r="N3" s="111"/>
    </row>
    <row r="4" spans="1:18" ht="15.75" thickBot="1" x14ac:dyDescent="0.3">
      <c r="A4" s="5"/>
      <c r="B4" s="110">
        <v>2012</v>
      </c>
      <c r="C4" s="110">
        <v>2013</v>
      </c>
      <c r="D4" s="110">
        <v>2014</v>
      </c>
      <c r="E4" s="123"/>
      <c r="F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5">
        <v>2014</v>
      </c>
    </row>
    <row r="5" spans="1:18" x14ac:dyDescent="0.25">
      <c r="A5" s="19"/>
      <c r="B5" s="126" t="s">
        <v>5</v>
      </c>
      <c r="C5" s="126" t="s">
        <v>5</v>
      </c>
      <c r="D5" s="127" t="s">
        <v>12</v>
      </c>
      <c r="E5" s="128" t="s">
        <v>485</v>
      </c>
      <c r="F5" s="129" t="s">
        <v>486</v>
      </c>
      <c r="G5" s="130" t="s">
        <v>487</v>
      </c>
      <c r="H5" s="130" t="s">
        <v>488</v>
      </c>
      <c r="I5" s="131" t="s">
        <v>489</v>
      </c>
      <c r="J5" s="132" t="s">
        <v>490</v>
      </c>
      <c r="K5" s="131" t="s">
        <v>491</v>
      </c>
      <c r="L5" s="131" t="s">
        <v>492</v>
      </c>
      <c r="M5" s="131" t="s">
        <v>493</v>
      </c>
      <c r="N5" s="131" t="s">
        <v>494</v>
      </c>
      <c r="O5" s="131" t="s">
        <v>495</v>
      </c>
      <c r="P5" s="133" t="s">
        <v>496</v>
      </c>
      <c r="Q5" s="8" t="s">
        <v>25</v>
      </c>
      <c r="R5" s="21" t="s">
        <v>30</v>
      </c>
    </row>
    <row r="6" spans="1:18" x14ac:dyDescent="0.25">
      <c r="A6" s="20" t="s">
        <v>6</v>
      </c>
      <c r="B6" s="134">
        <f>SUM([2]Summary!C8)/1000</f>
        <v>1472.3371912225707</v>
      </c>
      <c r="C6" s="134">
        <f>SUM('[2]Summary Update 27.1.14'!E8/1000)</f>
        <v>1857.2744767667368</v>
      </c>
      <c r="D6" s="135">
        <f>SUM('[2]Sri L Jan''14'!J24)/130000</f>
        <v>156.60992992307692</v>
      </c>
      <c r="E6" s="135">
        <f>SUM('[2]Jan3rd-Feb6th''14'!J23/130000)</f>
        <v>168.705286</v>
      </c>
      <c r="F6" s="135">
        <f>SUM('[2]Feb 7th-March 6th''14'!J23/130000)</f>
        <v>164.18341376923075</v>
      </c>
      <c r="G6" s="136">
        <f>SUM('[2]March 7th-April3rd''14'!J30/130/1000)</f>
        <v>161.14106746153846</v>
      </c>
      <c r="H6" s="136">
        <f>SUM('[2]Apr 4th - May 1st'!J28/130000)</f>
        <v>192.05028253846154</v>
      </c>
      <c r="I6" s="136">
        <f>SUM('[2]May 2nd - June 5th'!U27+'[2]TeKSS-May 2nd-June 5th-P&amp;L'!H8)/130000</f>
        <v>176.724593</v>
      </c>
      <c r="J6" s="136">
        <f>SUM('[2]June 6th - July 3rd'!U26+'[2]TeKSS-June 6th-July 3rd-P&amp;L'!F4)/130000</f>
        <v>125.91645338461538</v>
      </c>
      <c r="K6" s="136">
        <f>SUM('[2]July 4th - July 31st'!U28+'[2]TeKSS-July 4th-July 31st-P &amp;L'!G9)/130000</f>
        <v>163.77805430769232</v>
      </c>
      <c r="L6" s="136">
        <f>SUM('[2]Aug 1st - Sep 4th'!J24/130000)+SUM('[2]TeKSS-Aug 1st-4th Sep-frm QB'!H8/130000)</f>
        <v>124.29783546153847</v>
      </c>
      <c r="M6" s="136">
        <f>SUM('[2]Sep 5th to Oct 2nd'!U26/130000)+SUM('[2]TeKSS - Sep 5th to Oct 2nd'!O5/130000)</f>
        <v>118.61869007692307</v>
      </c>
      <c r="N6" s="137">
        <f>SUM('[2]Oct 3rd to Nov 6th'!J24/130000)+SUM('[2]TeKSS - Oct 3rd to Nov 6th'!F4/130000)</f>
        <v>143.93473046153846</v>
      </c>
      <c r="O6" s="137">
        <f>SUM('[2]7th Nov to 4th Dec'!U25/130000)+SUM('[2]TeKSS - 7th Nov to 4th Dec'!F2/130000)</f>
        <v>105.87358392307692</v>
      </c>
      <c r="P6" s="137">
        <f>SUM('[2]Dec 5th to 1st Jan'!J24/130000)+SUM('[2]TeKSS - Dec 5th to Jan 1st'!H8/130000)</f>
        <v>104.30286138461538</v>
      </c>
      <c r="Q6" s="114">
        <f>SUM(E6:P6)</f>
        <v>1749.5268517692307</v>
      </c>
      <c r="R6" s="135">
        <v>2300</v>
      </c>
    </row>
    <row r="7" spans="1:18" x14ac:dyDescent="0.25">
      <c r="A7" s="20"/>
      <c r="B7" s="134"/>
      <c r="C7" s="134"/>
      <c r="D7" s="135"/>
      <c r="E7" s="135"/>
      <c r="F7" s="135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14"/>
      <c r="R7" s="135"/>
    </row>
    <row r="8" spans="1:18" x14ac:dyDescent="0.25">
      <c r="A8" s="20" t="s">
        <v>27</v>
      </c>
      <c r="B8" s="135">
        <f>SUM([2]Summary!C10)/1000</f>
        <v>290.28873017241381</v>
      </c>
      <c r="C8" s="135">
        <f>SUM('[2]Summary Update 27.1.14'!E10/1000)</f>
        <v>430.09818904662171</v>
      </c>
      <c r="D8" s="136">
        <f>SUM('[2]Sri L Jan''14'!J70-'[2]Sri L Jan''14'!J63-'[2]Sri L Jan''14'!J55)/130000</f>
        <v>35.629046461538458</v>
      </c>
      <c r="E8" s="136">
        <f>SUM('[2]Jan3rd-Feb6th''14'!J68-'[2]Jan3rd-Feb6th''14'!J61-'[2]Jan3rd-Feb6th''14'!J53)/130000</f>
        <v>36.14065638461539</v>
      </c>
      <c r="F8" s="136">
        <f>SUM('[2]Feb 7th-March 6th''14'!J66-'[2]Feb 7th-March 6th''14'!J53-'[2]Feb 7th-March 6th''14'!J61)/130000</f>
        <v>39.107878384615383</v>
      </c>
      <c r="G8" s="136">
        <f>SUM('[2]March 7th-April3rd''14'!J72-'[2]March 7th-April3rd''14'!J66-'[2]March 7th-April3rd''14'!J58)/130/1000</f>
        <v>29.28788453846154</v>
      </c>
      <c r="H8" s="136">
        <f>SUM('[2]Apr 4th - May 1st'!J64-'[2]Apr 4th - May 1st'!J59-'[2]Apr 4th - May 1st'!J53)/130/1000</f>
        <v>23.677699153846145</v>
      </c>
      <c r="I8" s="136">
        <f>SUM('[2]May 2nd - June 5th'!U71-'[2]May 2nd - June 5th'!U64-'[2]May 2nd - June 5th'!U56)/130/1000</f>
        <v>38.163190307692311</v>
      </c>
      <c r="J8" s="136">
        <f>SUM('[2]June 6th - July 3rd'!U69-'[2]June 6th - July 3rd'!U63-'[2]June 6th - July 3rd'!U55)/130/1000</f>
        <v>26.709600769230779</v>
      </c>
      <c r="K8" s="136">
        <f>SUM('[2]July 4th - July 31st'!U67-'[2]July 4th - July 31st'!U54-'[2]July 4th - July 31st'!U62)/130/1000</f>
        <v>24.382987076923076</v>
      </c>
      <c r="L8" s="136">
        <f>SUM('[2]Aug 1st - Sep 4th'!J59-'[2]Aug 1st - Sep 4th'!J54-'[2]Aug 1st - Sep 4th'!J46)/130/1000</f>
        <v>31.722288384615378</v>
      </c>
      <c r="M8" s="136">
        <f>SUM('[2]Sep 5th to Oct 2nd'!U63-'[2]Sep 5th to Oct 2nd'!U59-'[2]Sep 5th to Oct 2nd'!U51)/130/1000</f>
        <v>24.433772769230767</v>
      </c>
      <c r="N8" s="136">
        <f>SUM('[2]Oct 3rd to Nov 6th'!J55-'[2]Oct 3rd to Nov 6th'!J54-'[2]Oct 3rd to Nov 6th'!J46)/130/1000</f>
        <v>35.063909000000002</v>
      </c>
      <c r="O8" s="136">
        <f>SUM('[2]7th Nov to 4th Dec'!U63-'[2]7th Nov to 4th Dec'!U58-'[2]7th Nov to 4th Dec'!U50)/130/1000</f>
        <v>18.868298384615386</v>
      </c>
      <c r="P8" s="136">
        <f>SUM('[2]Dec 5th to 1st Jan'!J62-'[2]Dec 5th to 1st Jan'!J57-'[2]Dec 5th to 1st Jan'!J49)/130/1000</f>
        <v>24.201041307692311</v>
      </c>
      <c r="Q8" s="114">
        <f t="shared" ref="Q8:Q25" si="0">SUM(E8:P8)</f>
        <v>351.7592064615385</v>
      </c>
      <c r="R8" s="135">
        <v>587</v>
      </c>
    </row>
    <row r="9" spans="1:18" x14ac:dyDescent="0.25">
      <c r="A9" s="20" t="s">
        <v>28</v>
      </c>
      <c r="B9" s="139">
        <f t="shared" ref="B9:H9" si="1">SUM(B8/B6)</f>
        <v>0.19716185388984808</v>
      </c>
      <c r="C9" s="139">
        <f t="shared" si="1"/>
        <v>0.23157492036145588</v>
      </c>
      <c r="D9" s="139">
        <f t="shared" si="1"/>
        <v>0.22750183515846409</v>
      </c>
      <c r="E9" s="139">
        <f t="shared" si="1"/>
        <v>0.21422361587778221</v>
      </c>
      <c r="F9" s="139">
        <f t="shared" si="1"/>
        <v>0.23819627992133091</v>
      </c>
      <c r="G9" s="139">
        <f t="shared" si="1"/>
        <v>0.18175307511508229</v>
      </c>
      <c r="H9" s="139">
        <f t="shared" si="1"/>
        <v>0.1232890618065311</v>
      </c>
      <c r="I9" s="139">
        <f t="shared" ref="I9:Q9" si="2">SUM(I8/I6)</f>
        <v>0.21594725250091429</v>
      </c>
      <c r="J9" s="139">
        <f t="shared" si="2"/>
        <v>0.21212160961717644</v>
      </c>
      <c r="K9" s="139">
        <f t="shared" si="2"/>
        <v>0.14887823145776533</v>
      </c>
      <c r="L9" s="139">
        <f t="shared" si="2"/>
        <v>0.25521191311840036</v>
      </c>
      <c r="M9" s="139">
        <f t="shared" si="2"/>
        <v>0.20598585900236888</v>
      </c>
      <c r="N9" s="139">
        <f t="shared" si="2"/>
        <v>0.24360978679408865</v>
      </c>
      <c r="O9" s="139">
        <f t="shared" si="2"/>
        <v>0.17821535538387234</v>
      </c>
      <c r="P9" s="139">
        <f t="shared" si="2"/>
        <v>0.23202662886161196</v>
      </c>
      <c r="Q9" s="139">
        <f t="shared" si="2"/>
        <v>0.20105962140896416</v>
      </c>
      <c r="R9" s="139">
        <f>SUM(R8/R6)</f>
        <v>0.25521739130434784</v>
      </c>
    </row>
    <row r="10" spans="1:18" x14ac:dyDescent="0.25">
      <c r="A10" s="20" t="s">
        <v>31</v>
      </c>
      <c r="B10" s="135">
        <f>SUM([2]Summary!C12)/1000</f>
        <v>285.1489631661442</v>
      </c>
      <c r="C10" s="135">
        <f>SUM('[2]Summary Update 27.1.14'!E12)/1000</f>
        <v>400.27859716080991</v>
      </c>
      <c r="D10" s="136">
        <f>SUM('[2]Sri L Jan''14'!J55/130000)</f>
        <v>35.141771307692302</v>
      </c>
      <c r="E10" s="136">
        <f>SUM('[2]Jan3rd-Feb6th''14'!J53/130000)</f>
        <v>38.407792692307687</v>
      </c>
      <c r="F10" s="136">
        <f>SUM('[2]Feb 7th-March 6th''14'!J53/130000)</f>
        <v>40.029472692307692</v>
      </c>
      <c r="G10" s="136">
        <f>SUM('[2]March 7th-April3rd''14'!J58/130/1000)</f>
        <v>38.0802123076923</v>
      </c>
      <c r="H10" s="136">
        <f>SUM('[2]Apr 4th - May 1st'!J53/130/1000)</f>
        <v>47.274905000000004</v>
      </c>
      <c r="I10" s="136">
        <f>SUM('[2]May 2nd - June 5th'!U56/130/1000)</f>
        <v>44.04485523076923</v>
      </c>
      <c r="J10" s="136">
        <f>SUM('[2]June 6th - July 3rd'!U55/130/1000)</f>
        <v>40.668070461538463</v>
      </c>
      <c r="K10" s="136">
        <f>SUM('[2]July 4th - July 31st'!U54/130/1000)</f>
        <v>21.966316769230769</v>
      </c>
      <c r="L10" s="136">
        <f>SUM('[2]Aug 1st - Sep 4th'!J46/130/1000)</f>
        <v>28.525933999999999</v>
      </c>
      <c r="M10" s="136">
        <f>SUM('[2]Sep 5th to Oct 2nd'!U51/130/1000)</f>
        <v>30.730715769230766</v>
      </c>
      <c r="N10" s="136">
        <f>SUM('[2]Oct 3rd to Nov 6th'!J46/130/1000)</f>
        <v>33.008288538461535</v>
      </c>
      <c r="O10" s="136">
        <f>SUM('[2]7th Nov to 4th Dec'!U50/130/1000)</f>
        <v>22.319203615384616</v>
      </c>
      <c r="P10" s="136">
        <f>SUM('[2]Dec 5th to 1st Jan'!J49/130/1000)</f>
        <v>22.785138307692307</v>
      </c>
      <c r="Q10" s="114">
        <f t="shared" si="0"/>
        <v>407.84090538461538</v>
      </c>
      <c r="R10" s="135">
        <v>498</v>
      </c>
    </row>
    <row r="11" spans="1:18" x14ac:dyDescent="0.25">
      <c r="A11" s="20" t="s">
        <v>0</v>
      </c>
      <c r="B11" s="139">
        <f t="shared" ref="B11:H11" si="3">SUM(B10/B6)</f>
        <v>0.19367096400612399</v>
      </c>
      <c r="C11" s="139">
        <f t="shared" si="3"/>
        <v>0.2155193549300482</v>
      </c>
      <c r="D11" s="139">
        <f t="shared" si="3"/>
        <v>0.22439044142956394</v>
      </c>
      <c r="E11" s="139">
        <f t="shared" si="3"/>
        <v>0.22766205851017429</v>
      </c>
      <c r="F11" s="139">
        <f t="shared" si="3"/>
        <v>0.2438094797357023</v>
      </c>
      <c r="G11" s="139">
        <f t="shared" si="3"/>
        <v>0.23631599881750429</v>
      </c>
      <c r="H11" s="139">
        <f t="shared" si="3"/>
        <v>0.24615899739971664</v>
      </c>
      <c r="I11" s="139">
        <f t="shared" ref="I11:Q11" si="4">SUM(I10/I6)</f>
        <v>0.24922878295025544</v>
      </c>
      <c r="J11" s="139">
        <f t="shared" si="4"/>
        <v>0.32297661956310575</v>
      </c>
      <c r="K11" s="139">
        <f t="shared" si="4"/>
        <v>0.13412246751913609</v>
      </c>
      <c r="L11" s="139">
        <f t="shared" si="4"/>
        <v>0.22949662714622887</v>
      </c>
      <c r="M11" s="139">
        <f t="shared" si="4"/>
        <v>0.25907144775669161</v>
      </c>
      <c r="N11" s="139">
        <f t="shared" si="4"/>
        <v>0.2293281714053152</v>
      </c>
      <c r="O11" s="139">
        <f t="shared" si="4"/>
        <v>0.21080993755345775</v>
      </c>
      <c r="P11" s="139">
        <f t="shared" si="4"/>
        <v>0.21845170885266915</v>
      </c>
      <c r="Q11" s="139">
        <f t="shared" si="4"/>
        <v>0.23311497332674902</v>
      </c>
      <c r="R11" s="139">
        <f>SUM(R10/R6)</f>
        <v>0.21652173913043479</v>
      </c>
    </row>
    <row r="12" spans="1:18" x14ac:dyDescent="0.25">
      <c r="A12" s="20" t="s">
        <v>32</v>
      </c>
      <c r="B12" s="140">
        <f t="shared" ref="B12:L12" si="5">SUM(B8+B10)</f>
        <v>575.43769333855801</v>
      </c>
      <c r="C12" s="140">
        <f t="shared" si="5"/>
        <v>830.37678620743168</v>
      </c>
      <c r="D12" s="140">
        <f t="shared" si="5"/>
        <v>70.77081776923076</v>
      </c>
      <c r="E12" s="140">
        <f t="shared" si="5"/>
        <v>74.548449076923077</v>
      </c>
      <c r="F12" s="140">
        <f t="shared" si="5"/>
        <v>79.137351076923068</v>
      </c>
      <c r="G12" s="140">
        <f t="shared" si="5"/>
        <v>67.368096846153833</v>
      </c>
      <c r="H12" s="140">
        <f t="shared" si="5"/>
        <v>70.952604153846153</v>
      </c>
      <c r="I12" s="140">
        <f t="shared" si="5"/>
        <v>82.208045538461533</v>
      </c>
      <c r="J12" s="140">
        <f t="shared" si="5"/>
        <v>67.377671230769238</v>
      </c>
      <c r="K12" s="140">
        <f t="shared" si="5"/>
        <v>46.349303846153845</v>
      </c>
      <c r="L12" s="140">
        <f t="shared" si="5"/>
        <v>60.248222384615374</v>
      </c>
      <c r="M12" s="140">
        <f>SUM(M8+M10)</f>
        <v>55.164488538461534</v>
      </c>
      <c r="N12" s="140">
        <f>SUM(N8+N10)</f>
        <v>68.072197538461538</v>
      </c>
      <c r="O12" s="140">
        <f>SUM(O8+O10)</f>
        <v>41.187502000000002</v>
      </c>
      <c r="P12" s="140">
        <f>SUM(P8+P10)</f>
        <v>46.986179615384614</v>
      </c>
      <c r="Q12" s="114">
        <f t="shared" si="0"/>
        <v>759.60011184615371</v>
      </c>
      <c r="R12" s="135">
        <v>1086</v>
      </c>
    </row>
    <row r="13" spans="1:18" x14ac:dyDescent="0.25">
      <c r="A13" s="20" t="s">
        <v>29</v>
      </c>
      <c r="B13" s="139">
        <f t="shared" ref="B13:P13" si="6">SUM(B12/B6)</f>
        <v>0.39083281789597207</v>
      </c>
      <c r="C13" s="139">
        <f t="shared" si="6"/>
        <v>0.44709427529150408</v>
      </c>
      <c r="D13" s="139">
        <f t="shared" si="6"/>
        <v>0.451892276588028</v>
      </c>
      <c r="E13" s="139">
        <f t="shared" si="6"/>
        <v>0.44188567438795651</v>
      </c>
      <c r="F13" s="139">
        <f t="shared" si="6"/>
        <v>0.48200575965703318</v>
      </c>
      <c r="G13" s="139">
        <f t="shared" si="6"/>
        <v>0.41806907393258652</v>
      </c>
      <c r="H13" s="139">
        <f t="shared" si="6"/>
        <v>0.36944805920624779</v>
      </c>
      <c r="I13" s="139">
        <f t="shared" si="6"/>
        <v>0.4651760354511697</v>
      </c>
      <c r="J13" s="139">
        <f t="shared" si="6"/>
        <v>0.53509822918028216</v>
      </c>
      <c r="K13" s="139">
        <f t="shared" si="6"/>
        <v>0.28300069897690139</v>
      </c>
      <c r="L13" s="139">
        <f t="shared" si="6"/>
        <v>0.48470854026462923</v>
      </c>
      <c r="M13" s="139">
        <f t="shared" si="6"/>
        <v>0.46505730675906043</v>
      </c>
      <c r="N13" s="139">
        <f t="shared" si="6"/>
        <v>0.47293795819940382</v>
      </c>
      <c r="O13" s="139">
        <f t="shared" si="6"/>
        <v>0.38902529293733012</v>
      </c>
      <c r="P13" s="139">
        <f t="shared" si="6"/>
        <v>0.45047833771428109</v>
      </c>
      <c r="Q13" s="139">
        <f>SUM(Q12/Q6)</f>
        <v>0.43417459473571307</v>
      </c>
      <c r="R13" s="139">
        <f>SUM(R12/R6)</f>
        <v>0.47217391304347828</v>
      </c>
    </row>
    <row r="14" spans="1:18" x14ac:dyDescent="0.25">
      <c r="A14" s="20"/>
      <c r="B14" s="141"/>
      <c r="C14" s="141"/>
      <c r="D14" s="138"/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14"/>
      <c r="R14" s="139"/>
    </row>
    <row r="15" spans="1:18" x14ac:dyDescent="0.25">
      <c r="A15" s="20" t="s">
        <v>10</v>
      </c>
      <c r="B15" s="135">
        <f>SUM([2]Summary!C17)/1000</f>
        <v>37.013351175548593</v>
      </c>
      <c r="C15" s="135">
        <f>SUM('[2]Summary Update 27.1.14'!E17/1000)</f>
        <v>63.090415561244278</v>
      </c>
      <c r="D15" s="135">
        <f>SUM('[2]Sri L Jan''14'!J63+'[2]Sri L Jan''14'!J132)/130000</f>
        <v>6.205115076923077</v>
      </c>
      <c r="E15" s="135">
        <f>SUM('[2]Jan3rd-Feb6th''14'!J61+'[2]Jan3rd-Feb6th''14'!J76+'[2]Jan3rd-Feb6th''14'!J132+'[2]Jan3rd-Feb6th''14'!J150+'[2]Jan3rd-Feb6th''14'!J171)/130000</f>
        <v>5.9077424615384615</v>
      </c>
      <c r="F15" s="135">
        <f>SUM('[2]Feb 7th-March 6th''14'!J61+'[2]Feb 7th-March 6th''14'!J130)/130000</f>
        <v>5.7201393846153845</v>
      </c>
      <c r="G15" s="136">
        <f>SUM('[2]March 7th-April3rd''14'!J66+'[2]March 7th-April3rd''14'!J132+'[2]March 7th-April3rd''14'!M188)/130/1000</f>
        <v>7.8274236153846148</v>
      </c>
      <c r="H15" s="136">
        <f>SUM('[2]Apr 4th - May 1st'!J59+'[2]Apr 4th - May 1st'!J126)/130/1000</f>
        <v>5.9168519230769236</v>
      </c>
      <c r="I15" s="136">
        <f>SUM('[2]May 2nd - June 5th'!U64+'[2]May 2nd - June 5th'!U79+'[2]May 2nd - June 5th'!U177)/130/1000</f>
        <v>6.1221832307692301</v>
      </c>
      <c r="J15" s="136">
        <f>SUM('[2]June 6th - July 3rd'!U77+'[2]June 6th - July 3rd'!U63)/130/1000</f>
        <v>6.1123118461538457</v>
      </c>
      <c r="K15" s="136">
        <f>SUM('[2]July 4th - July 31st'!U75+'[2]July 4th - July 31st'!U127+'[2]July 4th - July 31st'!U62)/130/1000</f>
        <v>7.0104179999999996</v>
      </c>
      <c r="L15" s="136">
        <f>SUM('[2]Aug 1st - Sep 4th'!J54+'[2]Aug 1st - Sep 4th'!J115)/130/1000</f>
        <v>6.850970076923077</v>
      </c>
      <c r="M15" s="142">
        <f>SUM('[2]Sep 5th to Oct 2nd'!U59+'[2]Sep 5th to Oct 2nd'!U112)/130/1000</f>
        <v>6.8686623846153845</v>
      </c>
      <c r="N15" s="136">
        <f>SUM('[2]Oct 3rd to Nov 6th'!J54+'[2]Oct 3rd to Nov 6th'!J105)/130/1000</f>
        <v>6.8625085384615385</v>
      </c>
      <c r="O15" s="136">
        <f>SUM('[2]7th Nov to 4th Dec'!U58+'[2]7th Nov to 4th Dec'!J119)/130/1000</f>
        <v>6.6495683846153844</v>
      </c>
      <c r="P15" s="136">
        <f>SUM('[2]Dec 5th to 1st Jan'!J57+'[2]Dec 5th to 1st Jan'!J109)/130/1000</f>
        <v>6.6595683846153841</v>
      </c>
      <c r="Q15" s="114">
        <f t="shared" si="0"/>
        <v>78.508348230769215</v>
      </c>
      <c r="R15" s="143">
        <v>74</v>
      </c>
    </row>
    <row r="16" spans="1:18" x14ac:dyDescent="0.25">
      <c r="A16" s="20" t="s">
        <v>1</v>
      </c>
      <c r="B16" s="139">
        <f t="shared" ref="B16:Q16" si="7">SUM(B15/B6)</f>
        <v>2.5139181021987339E-2</v>
      </c>
      <c r="C16" s="144">
        <f t="shared" si="7"/>
        <v>3.3969354745603426E-2</v>
      </c>
      <c r="D16" s="139">
        <f t="shared" si="7"/>
        <v>3.9621466403636618E-2</v>
      </c>
      <c r="E16" s="139">
        <f t="shared" si="7"/>
        <v>3.5018123033432762E-2</v>
      </c>
      <c r="F16" s="139">
        <f t="shared" si="7"/>
        <v>3.4839934517717913E-2</v>
      </c>
      <c r="G16" s="139">
        <f t="shared" si="7"/>
        <v>4.8574976811872513E-2</v>
      </c>
      <c r="H16" s="139">
        <f t="shared" si="7"/>
        <v>3.0808868619560437E-2</v>
      </c>
      <c r="I16" s="139">
        <f t="shared" si="7"/>
        <v>3.4642508588316454E-2</v>
      </c>
      <c r="J16" s="144">
        <f t="shared" si="7"/>
        <v>4.8542598539395132E-2</v>
      </c>
      <c r="K16" s="144">
        <f t="shared" si="7"/>
        <v>4.2804379558871918E-2</v>
      </c>
      <c r="L16" s="144">
        <f t="shared" si="7"/>
        <v>5.5117372329810004E-2</v>
      </c>
      <c r="M16" s="144">
        <f t="shared" si="7"/>
        <v>5.7905397371705282E-2</v>
      </c>
      <c r="N16" s="144">
        <f t="shared" si="7"/>
        <v>4.7677919821410335E-2</v>
      </c>
      <c r="O16" s="144">
        <f t="shared" si="7"/>
        <v>6.2806680743391741E-2</v>
      </c>
      <c r="P16" s="144">
        <f t="shared" si="7"/>
        <v>6.3848376700408216E-2</v>
      </c>
      <c r="Q16" s="144">
        <f t="shared" si="7"/>
        <v>4.4874045889250959E-2</v>
      </c>
      <c r="R16" s="139">
        <v>3.2000000000000001E-2</v>
      </c>
    </row>
    <row r="17" spans="1:18" x14ac:dyDescent="0.25">
      <c r="A17" s="20" t="s">
        <v>11</v>
      </c>
      <c r="B17" s="135">
        <f>SUM([2]Summary!C19)/1000</f>
        <v>222.05997711598746</v>
      </c>
      <c r="C17" s="135">
        <f>SUM('[2]Summary Update 27.1.14'!E19/1000)</f>
        <v>327.11948933364368</v>
      </c>
      <c r="D17" s="135">
        <f>SUM('[2]Sri L Jan''14'!J98+'[2]Sri L Jan''14'!J145+'[2]Sri L Jan''14'!J190)/130000</f>
        <v>30.818244923076925</v>
      </c>
      <c r="E17" s="135">
        <f>SUM('[2]Jan3rd-Feb6th''14'!J97+'[2]Jan3rd-Feb6th''14'!J146+'[2]Jan3rd-Feb6th''14'!J187+'[2]Jan3rd-Feb6th''14'!J206)/130000</f>
        <v>32.037793692307687</v>
      </c>
      <c r="F17" s="135">
        <f>SUM('[2]Feb 7th-March 6th''14'!J94+'[2]Feb 7th-March 6th''14'!J143+'[2]Feb 7th-March 6th''14'!J182+'[2]Feb 7th-March 6th''14'!J198)/130000</f>
        <v>27.689383769230766</v>
      </c>
      <c r="G17" s="136">
        <f>SUM('[2]March 7th-April3rd''14'!J99+'[2]March 7th-April3rd''14'!J144+'[2]March 7th-April3rd''14'!J183+'[2]March 7th-April3rd''14'!J208)/130/1000</f>
        <v>29.829693615384613</v>
      </c>
      <c r="H17" s="136">
        <f>SUM('[2]Apr 4th - May 1st'!J91+'[2]Apr 4th - May 1st'!J140+'[2]Apr 4th - May 1st'!J204)/130/1000</f>
        <v>31.800778615384612</v>
      </c>
      <c r="I17" s="136">
        <f>SUM('[2]May 2nd - June 5th'!U100+'[2]May 2nd - June 5th'!U151+'[2]May 2nd - June 5th'!U185+'[2]May 2nd - June 5th'!U203+'[2]May 2nd - June 5th'!U225+'[2]May 2nd - June 5th'!U240+'[2]TeKSS-May 2nd-June 5th-P&amp;L'!H49)/130/1000</f>
        <v>28.295908076923077</v>
      </c>
      <c r="J17" s="136">
        <f>SUM('[2]June 6th - July 3rd'!U98+'[2]June 6th - July 3rd'!U141+'[2]June 6th - July 3rd'!U173+'[2]June 6th - July 3rd'!U191+'[2]June 6th - July 3rd'!U207+'[2]June 6th - July 3rd'!U220+'[2]TeKSS-May 2nd-June 5th-P&amp;L'!H49)/130/1000</f>
        <v>27.896127076923076</v>
      </c>
      <c r="K17" s="136">
        <f>SUM('[2]July 4th - July 31st'!U96+'[2]July 4th - July 31st'!U140+'[2]July 4th - July 31st'!U181+'[2]July 4th - July 31st'!U202+'[2]July 4th - July 31st'!U215+'[2]TeKSS-May 2nd-June 5th-P&amp;L'!H49)/130/1000</f>
        <v>27.912479999999999</v>
      </c>
      <c r="L17" s="136">
        <f>SUM('[2]Aug 1st - Sep 4th'!J87+'[2]Aug 1st - Sep 4th'!J127+'[2]Aug 1st - Sep 4th'!J148+'[2]Aug 1st - Sep 4th'!J162+'[2]Aug 1st - Sep 4th'!J176+'[2]Aug 1st - Sep 4th'!J187+'[2]TeKSS-Aug 1st-4th Sep-frm QB'!H54)/130/1000</f>
        <v>28.045741615384618</v>
      </c>
      <c r="M17" s="142">
        <f>SUM('[2]Sep 5th to Oct 2nd'!U91+'[2]Sep 5th to Oct 2nd'!U123+'[2]Sep 5th to Oct 2nd'!U144+'[2]Sep 5th to Oct 2nd'!U161+'[2]Sep 5th to Oct 2nd'!U180+'[2]Sep 5th to Oct 2nd'!U193+'[2]TeKSS - Sep 5th to Oct 2nd'!O51)/130/1000</f>
        <v>29.690972384615385</v>
      </c>
      <c r="N17" s="136">
        <f>SUM('[2]Oct 3rd to Nov 6th'!J82+'[2]Oct 3rd to Nov 6th'!J115+'[2]Oct 3rd to Nov 6th'!J138+'[2]Oct 3rd to Nov 6th'!J155+'[2]Oct 3rd to Nov 6th'!J173+'[2]Oct 3rd to Nov 6th'!J180+'[2]TeKSS - Oct 3rd to Nov 6th'!F50)/130/1000</f>
        <v>28.207457692307692</v>
      </c>
      <c r="O17" s="136">
        <f>SUM('[2]7th Nov to 4th Dec'!U91+'[2]7th Nov to 4th Dec'!U136+'[2]7th Nov to 4th Dec'!U164+'[2]7th Nov to 4th Dec'!U180+'[2]7th Nov to 4th Dec'!U200+'[2]7th Nov to 4th Dec'!U212+'[2]TeKSS - 7th Nov to 4th Dec'!F49)/130/1000</f>
        <v>28.646860076923076</v>
      </c>
      <c r="P17" s="136">
        <f>SUM('[2]Dec 5th to 1st Jan'!J85+'[2]Dec 5th to 1st Jan'!J121+'[2]Dec 5th to 1st Jan'!J148+'[2]Dec 5th to 1st Jan'!J166+'[2]Dec 5th to 1st Jan'!J189+'[2]Dec 5th to 1st Jan'!J197+'[2]TeKSS - Dec 5th to Jan 1st'!G55)/130/1000</f>
        <v>28.33916776923077</v>
      </c>
      <c r="Q17" s="114">
        <f t="shared" si="0"/>
        <v>348.39236438461535</v>
      </c>
      <c r="R17" s="143">
        <v>321</v>
      </c>
    </row>
    <row r="18" spans="1:18" x14ac:dyDescent="0.25">
      <c r="A18" s="20" t="s">
        <v>2</v>
      </c>
      <c r="B18" s="139">
        <f t="shared" ref="B18:Q18" si="8">SUM(B17/B6)</f>
        <v>0.15082141403464625</v>
      </c>
      <c r="C18" s="139">
        <f t="shared" si="8"/>
        <v>0.17612878086986603</v>
      </c>
      <c r="D18" s="139">
        <f t="shared" si="8"/>
        <v>0.19678346665638707</v>
      </c>
      <c r="E18" s="139">
        <f t="shared" si="8"/>
        <v>0.18990391144180085</v>
      </c>
      <c r="F18" s="139">
        <f t="shared" si="8"/>
        <v>0.16864909270402789</v>
      </c>
      <c r="G18" s="139">
        <f t="shared" si="8"/>
        <v>0.1851154028286702</v>
      </c>
      <c r="H18" s="139">
        <f t="shared" si="8"/>
        <v>0.16558569034656812</v>
      </c>
      <c r="I18" s="139">
        <f t="shared" si="8"/>
        <v>0.16011301877448986</v>
      </c>
      <c r="J18" s="144">
        <f t="shared" si="8"/>
        <v>0.22154473325033675</v>
      </c>
      <c r="K18" s="144">
        <f t="shared" si="8"/>
        <v>0.17042869460129498</v>
      </c>
      <c r="L18" s="144">
        <f t="shared" si="8"/>
        <v>0.22563338702758684</v>
      </c>
      <c r="M18" s="144">
        <f t="shared" si="8"/>
        <v>0.25030602146559766</v>
      </c>
      <c r="N18" s="144">
        <f t="shared" si="8"/>
        <v>0.19597395014989208</v>
      </c>
      <c r="O18" s="144">
        <f t="shared" si="8"/>
        <v>0.27057608721110848</v>
      </c>
      <c r="P18" s="144">
        <f t="shared" si="8"/>
        <v>0.27170077017092054</v>
      </c>
      <c r="Q18" s="144">
        <f t="shared" si="8"/>
        <v>0.1991351913417615</v>
      </c>
      <c r="R18" s="139">
        <f>SUM(R17/R6)</f>
        <v>0.13956521739130434</v>
      </c>
    </row>
    <row r="19" spans="1:18" x14ac:dyDescent="0.25">
      <c r="A19" s="20" t="s">
        <v>33</v>
      </c>
      <c r="B19" s="140">
        <f t="shared" ref="B19:P19" si="9">SUM(B15+B17)</f>
        <v>259.07332829153609</v>
      </c>
      <c r="C19" s="140">
        <f t="shared" si="9"/>
        <v>390.20990489488798</v>
      </c>
      <c r="D19" s="140">
        <f t="shared" si="9"/>
        <v>37.023360000000004</v>
      </c>
      <c r="E19" s="140">
        <f t="shared" si="9"/>
        <v>37.945536153846149</v>
      </c>
      <c r="F19" s="140">
        <f t="shared" si="9"/>
        <v>33.409523153846152</v>
      </c>
      <c r="G19" s="140">
        <f t="shared" si="9"/>
        <v>37.657117230769231</v>
      </c>
      <c r="H19" s="140">
        <f t="shared" si="9"/>
        <v>37.717630538461535</v>
      </c>
      <c r="I19" s="140">
        <f t="shared" si="9"/>
        <v>34.418091307692308</v>
      </c>
      <c r="J19" s="140">
        <f t="shared" si="9"/>
        <v>34.008438923076923</v>
      </c>
      <c r="K19" s="140">
        <f t="shared" si="9"/>
        <v>34.922897999999996</v>
      </c>
      <c r="L19" s="140">
        <f t="shared" si="9"/>
        <v>34.896711692307697</v>
      </c>
      <c r="M19" s="145">
        <f t="shared" si="9"/>
        <v>36.559634769230769</v>
      </c>
      <c r="N19" s="145">
        <f t="shared" si="9"/>
        <v>35.069966230769232</v>
      </c>
      <c r="O19" s="145">
        <f t="shared" si="9"/>
        <v>35.296428461538461</v>
      </c>
      <c r="P19" s="145">
        <f t="shared" si="9"/>
        <v>34.998736153846153</v>
      </c>
      <c r="Q19" s="114">
        <f t="shared" si="0"/>
        <v>426.90071261538469</v>
      </c>
      <c r="R19" s="135">
        <f>SUM(R15+R17)</f>
        <v>395</v>
      </c>
    </row>
    <row r="20" spans="1:18" x14ac:dyDescent="0.25">
      <c r="A20" s="20" t="s">
        <v>3</v>
      </c>
      <c r="B20" s="139">
        <f t="shared" ref="B20:Q20" si="10">SUM(B19/B6)</f>
        <v>0.17596059505663361</v>
      </c>
      <c r="C20" s="139">
        <f t="shared" si="10"/>
        <v>0.21009813561546947</v>
      </c>
      <c r="D20" s="139">
        <f t="shared" si="10"/>
        <v>0.23640493306002372</v>
      </c>
      <c r="E20" s="139">
        <f t="shared" si="10"/>
        <v>0.22492203447523362</v>
      </c>
      <c r="F20" s="139">
        <f t="shared" si="10"/>
        <v>0.20348902722174581</v>
      </c>
      <c r="G20" s="139">
        <f t="shared" si="10"/>
        <v>0.23369037964054273</v>
      </c>
      <c r="H20" s="139">
        <f t="shared" si="10"/>
        <v>0.19639455896612856</v>
      </c>
      <c r="I20" s="139">
        <f t="shared" si="10"/>
        <v>0.1947555273628063</v>
      </c>
      <c r="J20" s="139">
        <f t="shared" si="10"/>
        <v>0.27008733178973188</v>
      </c>
      <c r="K20" s="144">
        <f t="shared" si="10"/>
        <v>0.2132330741601669</v>
      </c>
      <c r="L20" s="144">
        <f t="shared" si="10"/>
        <v>0.28075075935739685</v>
      </c>
      <c r="M20" s="144">
        <f t="shared" si="10"/>
        <v>0.30821141883730296</v>
      </c>
      <c r="N20" s="144">
        <f t="shared" si="10"/>
        <v>0.24365186997130242</v>
      </c>
      <c r="O20" s="144">
        <f t="shared" si="10"/>
        <v>0.33338276795450023</v>
      </c>
      <c r="P20" s="144">
        <f t="shared" si="10"/>
        <v>0.33554914687132875</v>
      </c>
      <c r="Q20" s="144">
        <f t="shared" si="10"/>
        <v>0.24400923723101253</v>
      </c>
      <c r="R20" s="146">
        <f>SUM(R19/R6)</f>
        <v>0.17173913043478262</v>
      </c>
    </row>
    <row r="21" spans="1:18" x14ac:dyDescent="0.25">
      <c r="A21" s="20"/>
      <c r="B21" s="141"/>
      <c r="C21" s="141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14"/>
      <c r="R21" s="135"/>
    </row>
    <row r="22" spans="1:18" x14ac:dyDescent="0.25">
      <c r="A22" s="20" t="s">
        <v>4</v>
      </c>
      <c r="B22" s="135">
        <f>SUM([2]Summary!C24)/1000</f>
        <v>242.48647876175548</v>
      </c>
      <c r="C22" s="135">
        <f>SUM('[2]Summary Update 27.1.14'!E24/1000)</f>
        <v>331.57862857807766</v>
      </c>
      <c r="D22" s="135">
        <f>SUM('[2]Sri L Jan''14'!J239-'[2]Sri L Jan''14'!J190-'[2]Sri L Jan''14'!J145-'[2]Sri L Jan''14'!J132-'[2]Sri L Jan''14'!J98)/130000</f>
        <v>32.079713692307699</v>
      </c>
      <c r="E22" s="135">
        <f>SUM('[2]Jan3rd-Feb6th''14'!J261-'[2]Jan3rd-Feb6th''14'!J76-'[2]Jan3rd-Feb6th''14'!J97-'[2]Jan3rd-Feb6th''14'!J132-'[2]Jan3rd-Feb6th''14'!J146-'[2]Jan3rd-Feb6th''14'!J171-'[2]Jan3rd-Feb6th''14'!J187-'[2]Jan3rd-Feb6th''14'!J206)/130000</f>
        <v>33.006407846153841</v>
      </c>
      <c r="F22" s="135">
        <f>SUM('[2]Feb 7th-March 6th''14'!J250-'[2]Feb 7th-March 6th''14'!J198-'[2]Feb 7th-March 6th''14'!J182-'[2]Feb 7th-March 6th''14'!J143-'[2]Feb 7th-March 6th''14'!J94)/130000</f>
        <v>21.028720384615383</v>
      </c>
      <c r="G22" s="136">
        <f>SUM('[2]March 7th-April3rd''14'!J252-'[2]March 7th-April3rd''14'!J99-'[2]March 7th-April3rd''14'!J132-'[2]March 7th-April3rd''14'!J144-'[2]March 7th-April3rd''14'!J183-'[2]March 7th-April3rd''14'!J208)/130/1000</f>
        <v>25.300753692307691</v>
      </c>
      <c r="H22" s="136">
        <f>SUM('[2]Apr 4th - May 1st'!J248-'[2]Apr 4th - May 1st'!J91-'[2]Apr 4th - May 1st'!J140-'[2]Apr 4th - May 1st'!J204-'[2]Apr 4th - May 1st'!J179-'[2]Apr 4th - May 1st'!J163)/130/1000</f>
        <v>27.872482923076923</v>
      </c>
      <c r="I22" s="136">
        <f>SUM('[2]May 2nd - June 5th'!U292+'[2]TeKSS-May 2nd-June 5th-P&amp;L'!H50+'[2]TeKSS-May 2nd-June 5th-P&amp;L'!H51+'[2]TeKSS-May 2nd-June 5th-P&amp;L'!H11-'[2]May 2nd - June 5th'!U100-'[2]May 2nd - June 5th'!U151-'[2]May 2nd - June 5th'!U203-'[2]May 2nd - June 5th'!U225-'[2]May 2nd - June 5th'!U240-'[2]May 2nd - June 5th'!U79-'[2]May 2nd - June 5th'!U177-'[2]May 2nd - June 5th'!U185)/130/1000</f>
        <v>43.390792384615381</v>
      </c>
      <c r="J22" s="136">
        <f>SUM('[2]June 6th - July 3rd'!U262+'[2]TeKSS-June 6th-July 3rd-P&amp;L'!F8+'[2]TeKSS-June 6th-July 3rd-P&amp;L'!F9+'[2]TeKSS-June 6th-July 3rd-P&amp;L'!F10-'[2]June 6th - July 3rd'!U220-'[2]June 6th - July 3rd'!U207-'[2]June 6th - July 3rd'!U191-'[2]June 6th - July 3rd'!U173-'[2]June 6th - July 3rd'!U141-'[2]June 6th - July 3rd'!U98)/130/1000</f>
        <v>22.351854769230769</v>
      </c>
      <c r="K22" s="136">
        <f>SUM('[2]July 4th - July 31st'!U253+'[2]TeKSS-July 4th-July 31st-P &amp;L'!G11-'[2]July 4th - July 31st'!U215-'[2]July 4th - July 31st'!U202-'[2]July 4th - July 31st'!U181-'[2]July 4th - July 31st'!U140-'[2]July 4th - July 31st'!U96-'[2]July 4th - July 31st'!U75-'[2]July 4th - July 31st'!U127)/130/1000</f>
        <v>14.371768384615384</v>
      </c>
      <c r="L22" s="136">
        <f>SUM('[2]Aug 1st - Sep 4th'!J229+'[2]TeKSS-Aug 1st-4th Sep-frm QB'!H55+'[2]TeKSS-Aug 1st-4th Sep-frm QB'!H56+'[2]TeKSS-Aug 1st-4th Sep-frm QB'!H57-'[2]Aug 1st - Sep 4th'!J187-'[2]Aug 1st - Sep 4th'!J176-'[2]Aug 1st - Sep 4th'!J162-'[2]Aug 1st - Sep 4th'!J148-'[2]Aug 1st - Sep 4th'!J127-'[2]Aug 1st - Sep 4th'!J87-'[2]Aug 1st - Sep 4th'!J115)/130/1000</f>
        <v>14.975696461538464</v>
      </c>
      <c r="M22" s="136">
        <f>SUM('[2]Sep 5th to Oct 2nd'!U222-'[2]Sep 5th to Oct 2nd'!U193-'[2]Sep 5th to Oct 2nd'!U180-'[2]Sep 5th to Oct 2nd'!U161-'[2]Sep 5th to Oct 2nd'!U145-'[2]Sep 5th to Oct 2nd'!U123-'[2]Sep 5th to Oct 2nd'!U112-'[2]Sep 5th to Oct 2nd'!U91+'[2]TeKSS - Sep 5th to Oct 2nd'!O52)/130/1000</f>
        <v>10.229754307692311</v>
      </c>
      <c r="N22" s="136">
        <f>SUM('[2]Oct 3rd to Nov 6th'!J213-'[2]Oct 3rd to Nov 6th'!J180-'[2]Oct 3rd to Nov 6th'!J173-'[2]Oct 3rd to Nov 6th'!J155-'[2]Oct 3rd to Nov 6th'!J138-'[2]Oct 3rd to Nov 6th'!J115-'[2]Oct 3rd to Nov 6th'!J82-'[2]Oct 3rd to Nov 6th'!J105+'[2]TeKSS - Oct 3rd to Nov 6th'!F51)/130/1000</f>
        <v>14.263300000000001</v>
      </c>
      <c r="O22" s="136">
        <f>SUM('[2]7th Nov to 4th Dec'!U252-'[2]7th Nov to 4th Dec'!U212-'[2]7th Nov to 4th Dec'!U200-'[2]7th Nov to 4th Dec'!U180-'[2]7th Nov to 4th Dec'!U164-'[2]7th Nov to 4th Dec'!U136-'[2]7th Nov to 4th Dec'!U91+'[2]TeKSS - 7th Nov to 4th Dec'!F50)/130/1000</f>
        <v>17.927409461538463</v>
      </c>
      <c r="P22" s="136">
        <f>SUM('[2]Dec 5th to 1st Jan'!J236-'[2]Dec 5th to 1st Jan'!J197-'[2]Dec 5th to 1st Jan'!J189-'[2]Dec 5th to 1st Jan'!J166-'[2]Dec 5th to 1st Jan'!J148-'[2]Dec 5th to 1st Jan'!J121-'[2]Dec 5th to 1st Jan'!J109+'[2]TeKSS - Dec 5th to Jan 1st'!G56)/130/1000</f>
        <v>18.760633615384616</v>
      </c>
      <c r="Q22" s="114">
        <f t="shared" si="0"/>
        <v>263.47957423076923</v>
      </c>
      <c r="R22" s="143">
        <v>383</v>
      </c>
    </row>
    <row r="23" spans="1:18" x14ac:dyDescent="0.25">
      <c r="A23" s="20" t="s">
        <v>7</v>
      </c>
      <c r="B23" s="139">
        <f t="shared" ref="B23:H23" si="11">SUM(B22/B6)</f>
        <v>0.16469493551297462</v>
      </c>
      <c r="C23" s="139">
        <f t="shared" si="11"/>
        <v>0.17852968569045924</v>
      </c>
      <c r="D23" s="139">
        <f t="shared" si="11"/>
        <v>0.20483831202826341</v>
      </c>
      <c r="E23" s="139">
        <f t="shared" si="11"/>
        <v>0.19564536849280373</v>
      </c>
      <c r="F23" s="139">
        <f t="shared" si="11"/>
        <v>0.12808066236320595</v>
      </c>
      <c r="G23" s="139">
        <f t="shared" si="11"/>
        <v>0.15700996704857087</v>
      </c>
      <c r="H23" s="139">
        <f t="shared" si="11"/>
        <v>0.1451311737460993</v>
      </c>
      <c r="I23" s="139">
        <f t="shared" ref="I23:Q23" si="12">SUM(I22/I6)</f>
        <v>0.24552775393640533</v>
      </c>
      <c r="J23" s="139">
        <f t="shared" si="12"/>
        <v>0.17751337627781172</v>
      </c>
      <c r="K23" s="139">
        <f t="shared" si="12"/>
        <v>8.7751490548391334E-2</v>
      </c>
      <c r="L23" s="139">
        <f t="shared" si="12"/>
        <v>0.12048235921350697</v>
      </c>
      <c r="M23" s="139">
        <f t="shared" si="12"/>
        <v>8.6240661577517114E-2</v>
      </c>
      <c r="N23" s="139">
        <f t="shared" si="12"/>
        <v>9.909561058865754E-2</v>
      </c>
      <c r="O23" s="139">
        <f t="shared" si="12"/>
        <v>0.16932844622095469</v>
      </c>
      <c r="P23" s="139">
        <f t="shared" si="12"/>
        <v>0.17986691224323209</v>
      </c>
      <c r="Q23" s="139">
        <f t="shared" si="12"/>
        <v>0.15060047461650689</v>
      </c>
      <c r="R23" s="139">
        <f>SUM(R22/R6)</f>
        <v>0.16652173913043478</v>
      </c>
    </row>
    <row r="24" spans="1:18" x14ac:dyDescent="0.25">
      <c r="A24" s="20"/>
      <c r="B24" s="141"/>
      <c r="C24" s="141"/>
      <c r="D24" s="138"/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14"/>
      <c r="R24" s="135"/>
    </row>
    <row r="25" spans="1:18" x14ac:dyDescent="0.25">
      <c r="A25" s="20" t="s">
        <v>8</v>
      </c>
      <c r="B25" s="135">
        <f>SUM([2]Summary!C27)/1000</f>
        <v>397.8352062695925</v>
      </c>
      <c r="C25" s="135">
        <f>SUM('[2]Summary Update 27.1.14'!E27/1000)</f>
        <v>305.10204134667595</v>
      </c>
      <c r="D25" s="135">
        <f>SUM('[2]Sri L Jan''14'!J242/130000)</f>
        <v>16.736038461538463</v>
      </c>
      <c r="E25" s="135">
        <f>SUM('[2]Jan3rd-Feb6th''14'!J270/130000)</f>
        <v>23.290425846153845</v>
      </c>
      <c r="F25" s="135">
        <f>SUM('[2]Feb 7th-March 6th''14'!J263/130000)</f>
        <v>30.878588153846152</v>
      </c>
      <c r="G25" s="136">
        <f>SUM('[2]March 7th-April3rd''14'!J265/130/1000)</f>
        <v>30.854251615384616</v>
      </c>
      <c r="H25" s="147">
        <f>SUM('[2]Apr 4th - May 1st'!J262/130/1000)</f>
        <v>55.494882615384618</v>
      </c>
      <c r="I25" s="148">
        <f>SUM('[2]May 2nd - June 5th'!U306+'[2]TeKSS-May 2nd-June 5th-P&amp;L'!H54)/130/1000</f>
        <v>17.586719153846154</v>
      </c>
      <c r="J25" s="147">
        <f>SUM('[2]June 6th - July 3rd'!U263+'[2]June 6th - July 3rd'!U267+'[2]TeKSS-June 6th-July 3rd-P&amp;L'!F22)/130/1000</f>
        <v>2.5117499999999984</v>
      </c>
      <c r="K25" s="147">
        <f>SUM('[2]July 4th - July 31st'!U265+'[2]TeKSS-July 4th-July 31st-P &amp;L'!G14-'[2]TeKSS-May 2nd-June 5th-P&amp;L'!H49)/130/1000</f>
        <v>68.139845615384615</v>
      </c>
      <c r="L25" s="147">
        <f>SUM('[2]Aug 1st - Sep 4th'!J242+'[2]TeKSS-Aug 1st-4th Sep-frm QB'!H65)/130/1000</f>
        <v>14.493781923076922</v>
      </c>
      <c r="M25" s="136">
        <f>SUM('[2]Sep 5th to Oct 2nd'!U235+'[2]TeKSS - Sep 5th to Oct 2nd'!O60)/130/1000</f>
        <v>16.687658692307689</v>
      </c>
      <c r="N25" s="136">
        <f>SUM('[2]Oct 3rd to Nov 6th'!J225+'[2]TeKSS - Oct 3rd to Nov 6th'!F54)/130000</f>
        <v>26.679728230769229</v>
      </c>
      <c r="O25" s="136">
        <f>SUM('[2]7th Nov to 4th Dec'!U254+'[2]TeKSS - 7th Nov to 4th Dec'!F53)/130000</f>
        <v>11.508397846153846</v>
      </c>
      <c r="P25" s="136">
        <f>SUM('[2]Dec 5th to 1st Jan'!J249+'[2]TeKSS - Dec 5th to Jan 1st'!G59)/130000</f>
        <v>6.8829159230769239</v>
      </c>
      <c r="Q25" s="114">
        <f t="shared" si="0"/>
        <v>305.00894561538468</v>
      </c>
      <c r="R25" s="140">
        <f>SUM(R6-R12-R19-R22)</f>
        <v>436</v>
      </c>
    </row>
    <row r="26" spans="1:18" x14ac:dyDescent="0.25">
      <c r="A26" s="20" t="s">
        <v>9</v>
      </c>
      <c r="B26" s="139">
        <f t="shared" ref="B26:Q26" si="13">SUM(B25/B6)</f>
        <v>0.27020658626387467</v>
      </c>
      <c r="C26" s="139">
        <f t="shared" si="13"/>
        <v>0.16427407212197156</v>
      </c>
      <c r="D26" s="139">
        <f t="shared" si="13"/>
        <v>0.1068644783236849</v>
      </c>
      <c r="E26" s="139">
        <f t="shared" si="13"/>
        <v>0.13805391875008496</v>
      </c>
      <c r="F26" s="139">
        <f t="shared" si="13"/>
        <v>0.18807373683463413</v>
      </c>
      <c r="G26" s="139">
        <f t="shared" si="13"/>
        <v>0.19147354613837955</v>
      </c>
      <c r="H26" s="139">
        <f t="shared" si="13"/>
        <v>0.28896017168978005</v>
      </c>
      <c r="I26" s="139">
        <f t="shared" si="13"/>
        <v>9.9514837495459127E-2</v>
      </c>
      <c r="J26" s="139">
        <f t="shared" si="13"/>
        <v>1.9947750532075318E-2</v>
      </c>
      <c r="K26" s="139">
        <f t="shared" si="13"/>
        <v>0.41604991525524693</v>
      </c>
      <c r="L26" s="139">
        <f t="shared" si="13"/>
        <v>0.1166052640358467</v>
      </c>
      <c r="M26" s="139">
        <f t="shared" si="13"/>
        <v>0.14068321511126033</v>
      </c>
      <c r="N26" s="139">
        <f t="shared" si="13"/>
        <v>0.18535990684957343</v>
      </c>
      <c r="O26" s="139">
        <f>SUM(O25/O6)</f>
        <v>0.10869942642647613</v>
      </c>
      <c r="P26" s="139">
        <f>SUM(P25/P6)</f>
        <v>6.5989713337741188E-2</v>
      </c>
      <c r="Q26" s="139">
        <f t="shared" si="13"/>
        <v>0.17433796189349171</v>
      </c>
      <c r="R26" s="139">
        <f>SUM(R25/R6)</f>
        <v>0.18956521739130436</v>
      </c>
    </row>
    <row r="27" spans="1:18" x14ac:dyDescent="0.25"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</row>
    <row r="28" spans="1:18" x14ac:dyDescent="0.25">
      <c r="B28" s="150">
        <f t="shared" ref="B28:F28" si="14">SUM(B6-B12-B19-B22)</f>
        <v>395.33969083072111</v>
      </c>
      <c r="C28" s="150">
        <f t="shared" si="14"/>
        <v>305.10915708633945</v>
      </c>
      <c r="D28" s="150">
        <f t="shared" si="14"/>
        <v>16.736038461538456</v>
      </c>
      <c r="E28" s="150">
        <f t="shared" si="14"/>
        <v>23.204892923076933</v>
      </c>
      <c r="F28" s="150">
        <f t="shared" si="14"/>
        <v>30.607819153846151</v>
      </c>
      <c r="G28" s="150">
        <f>SUM(G6-G12-G19-G22)</f>
        <v>30.815099692307701</v>
      </c>
      <c r="H28" s="151">
        <f>SUM(H6-H12-H19-H22)</f>
        <v>55.507564923076934</v>
      </c>
      <c r="I28" s="152">
        <f>SUM(I6-I12-I19-I22+('[2]May 2nd - June 5th'!U305/130000))</f>
        <v>17.586719153846161</v>
      </c>
      <c r="J28" s="151">
        <f>SUM(J6-J12-J19-J22+('[2]June 6th - July 3rd'!U267/130000))</f>
        <v>2.2496423076922962</v>
      </c>
      <c r="K28" s="151">
        <f>SUM(K6-K12-K19-K22)</f>
        <v>68.134084076923088</v>
      </c>
      <c r="L28" s="151">
        <f>SUM(L6-L12-L19-L22+('[2]Aug 1st - Sep 4th'!J237/130000))</f>
        <v>14.493781846153857</v>
      </c>
      <c r="M28" s="150">
        <f>SUM(M6-M12-M19-M22)</f>
        <v>16.66481246153846</v>
      </c>
      <c r="N28" s="150">
        <f>SUM(N6-N12-N19-N22)</f>
        <v>26.529266692307694</v>
      </c>
      <c r="O28" s="150">
        <f>SUM(O6-O12-O19-O22)</f>
        <v>11.462244000000002</v>
      </c>
      <c r="P28" s="150">
        <f>SUM(P6-P12-P19-P22)+('[2]Dec 5th to 1st Jan'!J243/1000)</f>
        <v>6.5573119999999996</v>
      </c>
      <c r="Q28" s="150">
        <f>SUM(D28:P28)</f>
        <v>320.54927769230778</v>
      </c>
      <c r="R28" s="150">
        <f>SUM(R6-R12-R19-R22)</f>
        <v>436</v>
      </c>
    </row>
    <row r="29" spans="1:18" x14ac:dyDescent="0.25">
      <c r="H29" s="25"/>
    </row>
    <row r="30" spans="1:18" x14ac:dyDescent="0.25">
      <c r="B30" s="108"/>
      <c r="C30" s="108"/>
      <c r="D30" s="108"/>
      <c r="E30" s="108"/>
      <c r="F30" s="108"/>
      <c r="G30" s="108"/>
      <c r="H30" s="108"/>
      <c r="L30" s="153"/>
    </row>
    <row r="31" spans="1:18" x14ac:dyDescent="0.25">
      <c r="B31" s="108"/>
      <c r="C31" s="108"/>
      <c r="E31" s="154"/>
      <c r="F31" s="154"/>
      <c r="G31" s="154"/>
      <c r="Q31" s="111"/>
    </row>
    <row r="33" spans="2:8" x14ac:dyDescent="0.25">
      <c r="B33" s="109"/>
      <c r="C33" s="109"/>
      <c r="D33" s="109"/>
      <c r="E33" s="109"/>
      <c r="F33" s="109"/>
      <c r="G33" s="109"/>
      <c r="H33" s="109"/>
    </row>
  </sheetData>
  <pageMargins left="0.7" right="0.7" top="0.75" bottom="0.75" header="0.3" footer="0.3"/>
  <pageSetup orientation="portrait" horizontalDpi="4294967292" verticalDpi="0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A10" sqref="A10:B16"/>
    </sheetView>
  </sheetViews>
  <sheetFormatPr defaultRowHeight="15" x14ac:dyDescent="0.25"/>
  <cols>
    <col min="1" max="1" width="28" bestFit="1" customWidth="1"/>
    <col min="2" max="2" width="17.28515625" bestFit="1" customWidth="1"/>
    <col min="3" max="3" width="18.7109375" customWidth="1"/>
    <col min="4" max="4" width="13" customWidth="1"/>
  </cols>
  <sheetData>
    <row r="1" spans="1:4" x14ac:dyDescent="0.25">
      <c r="A1" s="168" t="s">
        <v>500</v>
      </c>
      <c r="B1" s="168" t="s">
        <v>501</v>
      </c>
    </row>
    <row r="2" spans="1:4" x14ac:dyDescent="0.25">
      <c r="A2" s="164" t="s">
        <v>505</v>
      </c>
      <c r="B2" s="165">
        <f>'TFI - Jan 2nd to 29th -  QB '!J83</f>
        <v>429328.51</v>
      </c>
    </row>
    <row r="3" spans="1:4" x14ac:dyDescent="0.25">
      <c r="A3" s="164" t="s">
        <v>506</v>
      </c>
      <c r="B3" s="165">
        <f>'TFI - Jan 2nd to 29th -  QB '!J116</f>
        <v>152250</v>
      </c>
    </row>
    <row r="4" spans="1:4" x14ac:dyDescent="0.25">
      <c r="A4" s="164" t="s">
        <v>507</v>
      </c>
      <c r="B4" s="165">
        <f>'TFI - Jan 2nd to 29th -  QB '!J143</f>
        <v>40000</v>
      </c>
    </row>
    <row r="5" spans="1:4" x14ac:dyDescent="0.25">
      <c r="A5" s="164" t="s">
        <v>508</v>
      </c>
      <c r="B5" s="165">
        <f>'TFI - Jan 2nd to 29th -  QB '!J163</f>
        <v>69750.8</v>
      </c>
    </row>
    <row r="6" spans="1:4" x14ac:dyDescent="0.25">
      <c r="A6" s="164" t="s">
        <v>509</v>
      </c>
      <c r="B6" s="165">
        <f>'TFI - Jan 2nd to 29th -  QB '!J188</f>
        <v>103500</v>
      </c>
    </row>
    <row r="7" spans="1:4" x14ac:dyDescent="0.25">
      <c r="A7" s="169" t="s">
        <v>503</v>
      </c>
      <c r="B7" s="164"/>
    </row>
    <row r="8" spans="1:4" x14ac:dyDescent="0.25">
      <c r="A8" s="164" t="s">
        <v>499</v>
      </c>
      <c r="B8" s="165">
        <f>'TFI - Jan 2nd to 29th -  QB '!J195</f>
        <v>225000</v>
      </c>
      <c r="C8" s="108"/>
      <c r="D8" s="108"/>
    </row>
    <row r="9" spans="1:4" s="23" customFormat="1" x14ac:dyDescent="0.25">
      <c r="A9" s="169" t="s">
        <v>504</v>
      </c>
      <c r="B9" s="165"/>
    </row>
    <row r="10" spans="1:4" x14ac:dyDescent="0.25">
      <c r="A10" s="164" t="s">
        <v>429</v>
      </c>
      <c r="B10" s="164" t="e">
        <f>#REF!</f>
        <v>#REF!</v>
      </c>
    </row>
    <row r="11" spans="1:4" x14ac:dyDescent="0.25">
      <c r="A11" s="164" t="s">
        <v>435</v>
      </c>
      <c r="B11" s="165" t="e">
        <f>#REF!</f>
        <v>#REF!</v>
      </c>
    </row>
    <row r="12" spans="1:4" x14ac:dyDescent="0.25">
      <c r="A12" s="164" t="s">
        <v>441</v>
      </c>
      <c r="B12" s="165" t="e">
        <f>#REF!</f>
        <v>#REF!</v>
      </c>
    </row>
    <row r="13" spans="1:4" x14ac:dyDescent="0.25">
      <c r="A13" s="164" t="s">
        <v>447</v>
      </c>
      <c r="B13" s="165" t="e">
        <f>#REF!</f>
        <v>#REF!</v>
      </c>
    </row>
    <row r="14" spans="1:4" x14ac:dyDescent="0.25">
      <c r="A14" s="164" t="s">
        <v>453</v>
      </c>
      <c r="B14" s="165" t="e">
        <f>#REF!</f>
        <v>#REF!</v>
      </c>
    </row>
    <row r="15" spans="1:4" x14ac:dyDescent="0.25">
      <c r="A15" s="164" t="s">
        <v>459</v>
      </c>
      <c r="B15" s="165" t="e">
        <f>#REF!</f>
        <v>#REF!</v>
      </c>
    </row>
    <row r="16" spans="1:4" x14ac:dyDescent="0.25">
      <c r="A16" s="164" t="s">
        <v>465</v>
      </c>
      <c r="B16" s="165" t="e">
        <f>#REF!</f>
        <v>#REF!</v>
      </c>
    </row>
    <row r="17" spans="1:4" x14ac:dyDescent="0.25">
      <c r="A17" s="166" t="s">
        <v>25</v>
      </c>
      <c r="B17" s="167" t="e">
        <f>SUM(B2:B16)</f>
        <v>#REF!</v>
      </c>
    </row>
    <row r="18" spans="1:4" ht="17.25" x14ac:dyDescent="0.4">
      <c r="A18" s="170" t="s">
        <v>502</v>
      </c>
      <c r="B18" s="171" t="e">
        <f>B17/130000</f>
        <v>#REF!</v>
      </c>
    </row>
    <row r="20" spans="1:4" s="23" customFormat="1" x14ac:dyDescent="0.25">
      <c r="A20" s="335" t="s">
        <v>510</v>
      </c>
      <c r="B20" s="336"/>
      <c r="C20" s="336"/>
      <c r="D20" s="337"/>
    </row>
    <row r="21" spans="1:4" ht="45" x14ac:dyDescent="0.25">
      <c r="A21" s="173" t="s">
        <v>512</v>
      </c>
      <c r="B21" s="174" t="s">
        <v>513</v>
      </c>
      <c r="C21" s="174" t="s">
        <v>511</v>
      </c>
      <c r="D21" s="174" t="s">
        <v>514</v>
      </c>
    </row>
    <row r="22" spans="1:4" x14ac:dyDescent="0.25">
      <c r="A22" s="172">
        <v>2014</v>
      </c>
      <c r="B22" s="164">
        <v>348</v>
      </c>
      <c r="C22" s="164">
        <f>B22/12</f>
        <v>29</v>
      </c>
      <c r="D22" s="164">
        <v>321</v>
      </c>
    </row>
  </sheetData>
  <mergeCells count="1">
    <mergeCell ref="A20:D20"/>
  </mergeCells>
  <pageMargins left="0.7" right="0.7" top="0.75" bottom="0.75" header="0.3" footer="0.3"/>
  <pageSetup orientation="portrait" horizontalDpi="4294967292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L20" sqref="L20"/>
    </sheetView>
  </sheetViews>
  <sheetFormatPr defaultRowHeight="15" x14ac:dyDescent="0.25"/>
  <cols>
    <col min="8" max="8" width="10" bestFit="1" customWidth="1"/>
    <col min="10" max="10" width="10.7109375" bestFit="1" customWidth="1"/>
  </cols>
  <sheetData>
    <row r="1" spans="1:10" s="23" customFormat="1" x14ac:dyDescent="0.25">
      <c r="A1" s="23" t="s">
        <v>667</v>
      </c>
    </row>
    <row r="2" spans="1:10" s="23" customFormat="1" ht="15.75" thickBot="1" x14ac:dyDescent="0.3"/>
    <row r="3" spans="1:10" ht="15.75" thickBot="1" x14ac:dyDescent="0.3">
      <c r="A3" s="215" t="s">
        <v>653</v>
      </c>
      <c r="B3" s="216" t="s">
        <v>654</v>
      </c>
      <c r="C3" s="216" t="s">
        <v>655</v>
      </c>
      <c r="D3" s="216" t="s">
        <v>656</v>
      </c>
      <c r="E3" s="216" t="s">
        <v>657</v>
      </c>
      <c r="F3" s="216" t="s">
        <v>658</v>
      </c>
      <c r="G3" s="216" t="s">
        <v>659</v>
      </c>
      <c r="H3" s="216" t="s">
        <v>660</v>
      </c>
      <c r="I3" s="216" t="s">
        <v>661</v>
      </c>
      <c r="J3" s="217" t="s">
        <v>662</v>
      </c>
    </row>
    <row r="4" spans="1:10" x14ac:dyDescent="0.25">
      <c r="A4" s="238" t="s">
        <v>630</v>
      </c>
      <c r="B4" s="240">
        <v>0.25</v>
      </c>
      <c r="C4" s="240">
        <v>0.2</v>
      </c>
      <c r="D4" s="240">
        <v>0.1</v>
      </c>
      <c r="E4" s="240">
        <v>0.15</v>
      </c>
      <c r="F4" s="240">
        <v>0.2</v>
      </c>
      <c r="G4" s="240">
        <v>0.1</v>
      </c>
      <c r="H4" s="240">
        <v>0.1</v>
      </c>
      <c r="I4" s="240">
        <v>0.5</v>
      </c>
      <c r="J4" s="240">
        <v>0.55000000000000004</v>
      </c>
    </row>
    <row r="5" spans="1:10" x14ac:dyDescent="0.25">
      <c r="A5" s="239" t="s">
        <v>629</v>
      </c>
      <c r="B5" s="241">
        <v>0.5</v>
      </c>
      <c r="C5" s="241">
        <v>0.3</v>
      </c>
      <c r="D5" s="241">
        <v>0.45</v>
      </c>
      <c r="E5" s="241">
        <v>0.45</v>
      </c>
      <c r="F5" s="241">
        <v>0.5</v>
      </c>
      <c r="G5" s="241">
        <v>0.35</v>
      </c>
      <c r="H5" s="241">
        <v>0.15</v>
      </c>
      <c r="I5" s="241">
        <v>0.35</v>
      </c>
      <c r="J5" s="241">
        <v>0.3</v>
      </c>
    </row>
    <row r="6" spans="1:10" x14ac:dyDescent="0.25">
      <c r="A6" s="220" t="s">
        <v>663</v>
      </c>
      <c r="B6" s="221">
        <v>0.2</v>
      </c>
      <c r="C6" s="221">
        <v>0.45</v>
      </c>
      <c r="D6" s="221">
        <v>0.3</v>
      </c>
      <c r="E6" s="221">
        <v>0.35</v>
      </c>
      <c r="F6" s="221">
        <v>0.2</v>
      </c>
      <c r="G6" s="221">
        <v>0.45</v>
      </c>
      <c r="H6" s="221">
        <v>0.7</v>
      </c>
      <c r="I6" s="221">
        <v>0.1</v>
      </c>
      <c r="J6" s="221">
        <v>0.1</v>
      </c>
    </row>
    <row r="7" spans="1:10" x14ac:dyDescent="0.25">
      <c r="A7" s="220" t="s">
        <v>664</v>
      </c>
      <c r="B7" s="221">
        <v>0.05</v>
      </c>
      <c r="C7" s="221">
        <v>0.05</v>
      </c>
      <c r="D7" s="221">
        <v>0.15</v>
      </c>
      <c r="E7" s="221">
        <v>0.05</v>
      </c>
      <c r="F7" s="221">
        <v>0.1</v>
      </c>
      <c r="G7" s="221">
        <v>0.1</v>
      </c>
      <c r="H7" s="221">
        <v>0.05</v>
      </c>
      <c r="I7" s="221">
        <v>0.05</v>
      </c>
      <c r="J7" s="221">
        <v>0.05</v>
      </c>
    </row>
    <row r="8" spans="1:10" x14ac:dyDescent="0.25">
      <c r="A8" s="222" t="s">
        <v>25</v>
      </c>
      <c r="B8" s="223">
        <f t="shared" ref="B8:J8" si="0">SUM(B4:B7)</f>
        <v>1</v>
      </c>
      <c r="C8" s="223">
        <f t="shared" si="0"/>
        <v>1</v>
      </c>
      <c r="D8" s="223">
        <f t="shared" si="0"/>
        <v>1</v>
      </c>
      <c r="E8" s="223">
        <f t="shared" si="0"/>
        <v>1</v>
      </c>
      <c r="F8" s="223">
        <f t="shared" si="0"/>
        <v>0.99999999999999989</v>
      </c>
      <c r="G8" s="223">
        <f t="shared" si="0"/>
        <v>0.99999999999999989</v>
      </c>
      <c r="H8" s="223">
        <f t="shared" si="0"/>
        <v>1</v>
      </c>
      <c r="I8" s="223">
        <f t="shared" si="0"/>
        <v>1</v>
      </c>
      <c r="J8" s="223">
        <f t="shared" si="0"/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0"/>
  <sheetViews>
    <sheetView topLeftCell="A16" workbookViewId="0">
      <selection activeCell="L42" sqref="L42"/>
    </sheetView>
  </sheetViews>
  <sheetFormatPr defaultRowHeight="15" x14ac:dyDescent="0.25"/>
  <cols>
    <col min="8" max="8" width="10" bestFit="1" customWidth="1"/>
    <col min="10" max="10" width="10.7109375" bestFit="1" customWidth="1"/>
    <col min="15" max="15" width="13.28515625" bestFit="1" customWidth="1"/>
  </cols>
  <sheetData>
    <row r="1" spans="1:11" s="23" customFormat="1" x14ac:dyDescent="0.25">
      <c r="A1" s="178" t="s">
        <v>595</v>
      </c>
      <c r="B1"/>
      <c r="C1"/>
      <c r="D1"/>
      <c r="E1"/>
      <c r="F1"/>
      <c r="G1"/>
      <c r="H1"/>
      <c r="I1"/>
      <c r="J1"/>
    </row>
    <row r="2" spans="1:11" s="23" customFormat="1" x14ac:dyDescent="0.25">
      <c r="A2" s="178"/>
      <c r="B2"/>
      <c r="C2"/>
      <c r="D2"/>
      <c r="E2"/>
      <c r="F2"/>
      <c r="G2"/>
      <c r="H2"/>
      <c r="I2"/>
      <c r="J2"/>
    </row>
    <row r="3" spans="1:11" s="23" customFormat="1" x14ac:dyDescent="0.25">
      <c r="A3" s="178" t="s">
        <v>633</v>
      </c>
      <c r="B3"/>
      <c r="C3"/>
      <c r="D3"/>
      <c r="E3"/>
      <c r="F3"/>
      <c r="G3"/>
      <c r="H3"/>
      <c r="I3"/>
      <c r="J3"/>
    </row>
    <row r="4" spans="1:11" s="23" customFormat="1" x14ac:dyDescent="0.25">
      <c r="A4" s="178"/>
      <c r="B4"/>
      <c r="C4"/>
      <c r="D4"/>
      <c r="E4"/>
      <c r="F4"/>
      <c r="G4"/>
      <c r="H4"/>
      <c r="I4"/>
      <c r="J4"/>
    </row>
    <row r="5" spans="1:11" s="23" customFormat="1" x14ac:dyDescent="0.25">
      <c r="A5" s="213" t="s">
        <v>634</v>
      </c>
      <c r="B5" s="214"/>
      <c r="C5" s="214"/>
      <c r="D5" s="214"/>
      <c r="E5" s="214"/>
      <c r="F5" s="214"/>
      <c r="G5" s="214"/>
      <c r="H5"/>
      <c r="I5"/>
      <c r="J5"/>
    </row>
    <row r="6" spans="1:11" s="23" customFormat="1" x14ac:dyDescent="0.25">
      <c r="A6" s="178"/>
      <c r="B6"/>
      <c r="C6"/>
      <c r="D6"/>
      <c r="E6"/>
      <c r="F6"/>
      <c r="G6"/>
      <c r="H6"/>
      <c r="I6"/>
      <c r="J6"/>
    </row>
    <row r="7" spans="1:11" s="23" customFormat="1" x14ac:dyDescent="0.25">
      <c r="A7" s="178" t="s">
        <v>635</v>
      </c>
      <c r="B7"/>
      <c r="C7"/>
      <c r="D7"/>
      <c r="E7"/>
      <c r="F7"/>
      <c r="G7"/>
      <c r="H7"/>
      <c r="I7"/>
      <c r="J7"/>
    </row>
    <row r="8" spans="1:11" s="23" customFormat="1" x14ac:dyDescent="0.25">
      <c r="A8" s="213" t="s">
        <v>636</v>
      </c>
      <c r="B8" s="214"/>
      <c r="C8" s="214"/>
      <c r="D8" s="214"/>
      <c r="E8" s="214"/>
      <c r="F8" s="214"/>
      <c r="G8" s="214"/>
      <c r="H8" s="214"/>
      <c r="I8" s="214"/>
      <c r="J8" s="214"/>
      <c r="K8" s="214"/>
    </row>
    <row r="9" spans="1:11" s="23" customFormat="1" x14ac:dyDescent="0.25">
      <c r="A9" s="213" t="s">
        <v>637</v>
      </c>
      <c r="B9" s="214"/>
      <c r="C9" s="214"/>
      <c r="D9" s="214"/>
      <c r="E9" s="214"/>
      <c r="F9" s="214"/>
      <c r="G9" s="214"/>
      <c r="H9" s="214"/>
      <c r="I9"/>
      <c r="J9"/>
    </row>
    <row r="10" spans="1:11" s="23" customFormat="1" x14ac:dyDescent="0.25">
      <c r="A10" s="178" t="s">
        <v>638</v>
      </c>
      <c r="B10"/>
      <c r="C10"/>
      <c r="D10"/>
      <c r="E10"/>
      <c r="F10"/>
      <c r="G10"/>
      <c r="H10"/>
      <c r="I10"/>
      <c r="J10"/>
    </row>
    <row r="11" spans="1:11" s="23" customFormat="1" x14ac:dyDescent="0.25">
      <c r="A11" s="178" t="s">
        <v>639</v>
      </c>
      <c r="B11"/>
      <c r="C11"/>
      <c r="D11"/>
      <c r="E11"/>
      <c r="F11"/>
      <c r="G11"/>
      <c r="H11"/>
      <c r="I11"/>
      <c r="J11"/>
    </row>
    <row r="12" spans="1:11" s="23" customFormat="1" x14ac:dyDescent="0.25">
      <c r="A12" s="178" t="s">
        <v>640</v>
      </c>
      <c r="B12"/>
      <c r="C12"/>
      <c r="D12"/>
      <c r="E12"/>
      <c r="F12"/>
      <c r="G12"/>
      <c r="H12"/>
      <c r="I12"/>
      <c r="J12"/>
    </row>
    <row r="13" spans="1:11" s="23" customFormat="1" x14ac:dyDescent="0.25">
      <c r="A13" s="178" t="s">
        <v>641</v>
      </c>
      <c r="B13"/>
      <c r="C13"/>
      <c r="D13"/>
      <c r="E13"/>
      <c r="F13"/>
      <c r="G13"/>
      <c r="H13"/>
      <c r="I13"/>
      <c r="J13"/>
    </row>
    <row r="14" spans="1:11" s="23" customFormat="1" x14ac:dyDescent="0.25">
      <c r="A14" s="178" t="s">
        <v>642</v>
      </c>
      <c r="B14"/>
      <c r="C14"/>
      <c r="D14"/>
      <c r="E14"/>
      <c r="F14"/>
      <c r="G14"/>
      <c r="H14"/>
      <c r="I14"/>
      <c r="J14"/>
    </row>
    <row r="15" spans="1:11" s="23" customFormat="1" x14ac:dyDescent="0.25">
      <c r="A15" s="178" t="s">
        <v>641</v>
      </c>
      <c r="B15"/>
      <c r="C15"/>
      <c r="D15"/>
      <c r="E15"/>
      <c r="F15"/>
      <c r="G15"/>
      <c r="H15"/>
      <c r="I15"/>
      <c r="J15"/>
    </row>
    <row r="16" spans="1:11" s="23" customFormat="1" x14ac:dyDescent="0.25">
      <c r="A16" s="178" t="s">
        <v>643</v>
      </c>
      <c r="B16"/>
      <c r="C16"/>
      <c r="D16"/>
      <c r="E16"/>
      <c r="F16"/>
      <c r="G16"/>
      <c r="H16"/>
      <c r="I16"/>
      <c r="J16"/>
    </row>
    <row r="17" spans="1:10" s="23" customFormat="1" x14ac:dyDescent="0.25">
      <c r="A17" s="178" t="s">
        <v>644</v>
      </c>
      <c r="B17"/>
      <c r="C17"/>
      <c r="D17"/>
      <c r="E17"/>
      <c r="F17"/>
      <c r="G17"/>
      <c r="H17"/>
      <c r="I17"/>
      <c r="J17"/>
    </row>
    <row r="18" spans="1:10" s="23" customFormat="1" x14ac:dyDescent="0.25">
      <c r="A18" s="178" t="s">
        <v>645</v>
      </c>
      <c r="B18"/>
      <c r="C18"/>
      <c r="D18"/>
      <c r="E18"/>
      <c r="F18"/>
      <c r="G18"/>
      <c r="H18"/>
      <c r="I18"/>
      <c r="J18"/>
    </row>
    <row r="19" spans="1:10" s="23" customFormat="1" x14ac:dyDescent="0.25">
      <c r="A19" s="178" t="s">
        <v>646</v>
      </c>
      <c r="B19"/>
      <c r="C19"/>
      <c r="D19"/>
      <c r="E19"/>
      <c r="F19"/>
      <c r="G19"/>
      <c r="H19"/>
      <c r="I19"/>
      <c r="J19"/>
    </row>
    <row r="20" spans="1:10" s="23" customFormat="1" x14ac:dyDescent="0.25">
      <c r="A20" s="178"/>
      <c r="B20"/>
      <c r="C20"/>
      <c r="D20"/>
      <c r="E20"/>
      <c r="F20"/>
      <c r="G20"/>
      <c r="H20"/>
      <c r="I20"/>
      <c r="J20"/>
    </row>
    <row r="21" spans="1:10" s="23" customFormat="1" x14ac:dyDescent="0.25">
      <c r="A21" s="178" t="s">
        <v>647</v>
      </c>
      <c r="B21"/>
      <c r="C21"/>
      <c r="D21"/>
      <c r="E21"/>
      <c r="F21"/>
      <c r="G21"/>
      <c r="H21"/>
      <c r="I21"/>
      <c r="J21"/>
    </row>
    <row r="22" spans="1:10" s="23" customFormat="1" x14ac:dyDescent="0.25">
      <c r="A22" s="178" t="s">
        <v>648</v>
      </c>
      <c r="B22"/>
      <c r="C22"/>
      <c r="D22"/>
      <c r="E22"/>
      <c r="F22"/>
      <c r="G22"/>
      <c r="H22"/>
      <c r="I22"/>
      <c r="J22"/>
    </row>
    <row r="23" spans="1:10" s="23" customFormat="1" x14ac:dyDescent="0.25">
      <c r="A23" s="178" t="s">
        <v>649</v>
      </c>
      <c r="B23"/>
      <c r="C23"/>
      <c r="D23"/>
      <c r="E23"/>
      <c r="F23"/>
      <c r="G23"/>
      <c r="H23"/>
      <c r="I23"/>
      <c r="J23"/>
    </row>
    <row r="24" spans="1:10" s="23" customFormat="1" x14ac:dyDescent="0.25">
      <c r="A24" s="178"/>
      <c r="B24"/>
      <c r="C24"/>
      <c r="D24"/>
      <c r="E24"/>
      <c r="F24"/>
      <c r="G24"/>
      <c r="H24"/>
      <c r="I24"/>
      <c r="J24"/>
    </row>
    <row r="25" spans="1:10" s="23" customFormat="1" x14ac:dyDescent="0.25">
      <c r="A25" s="178" t="s">
        <v>650</v>
      </c>
      <c r="B25"/>
      <c r="C25"/>
      <c r="D25"/>
      <c r="E25"/>
      <c r="F25"/>
      <c r="G25"/>
      <c r="H25"/>
      <c r="I25"/>
      <c r="J25"/>
    </row>
    <row r="26" spans="1:10" s="23" customFormat="1" x14ac:dyDescent="0.25">
      <c r="A26" s="178" t="s">
        <v>651</v>
      </c>
      <c r="B26"/>
      <c r="C26"/>
      <c r="D26"/>
      <c r="E26"/>
      <c r="F26"/>
      <c r="G26"/>
      <c r="H26"/>
      <c r="I26"/>
      <c r="J26"/>
    </row>
    <row r="27" spans="1:10" s="23" customFormat="1" x14ac:dyDescent="0.25">
      <c r="A27" s="178"/>
      <c r="B27"/>
      <c r="C27"/>
      <c r="D27"/>
      <c r="E27"/>
      <c r="F27"/>
      <c r="G27"/>
      <c r="H27"/>
      <c r="I27"/>
      <c r="J27"/>
    </row>
    <row r="28" spans="1:10" s="23" customFormat="1" x14ac:dyDescent="0.25">
      <c r="A28" s="178" t="s">
        <v>652</v>
      </c>
      <c r="B28"/>
      <c r="C28"/>
      <c r="D28"/>
      <c r="E28"/>
      <c r="F28"/>
      <c r="G28"/>
      <c r="H28"/>
      <c r="I28"/>
      <c r="J28"/>
    </row>
    <row r="29" spans="1:10" s="23" customFormat="1" ht="15.75" thickBot="1" x14ac:dyDescent="0.3">
      <c r="A29" s="178"/>
      <c r="B29"/>
      <c r="C29"/>
      <c r="D29"/>
      <c r="E29"/>
      <c r="F29"/>
      <c r="G29"/>
      <c r="H29"/>
      <c r="I29"/>
      <c r="J29"/>
    </row>
    <row r="30" spans="1:10" s="23" customFormat="1" ht="16.5" thickTop="1" thickBot="1" x14ac:dyDescent="0.3">
      <c r="A30" s="205" t="s">
        <v>653</v>
      </c>
      <c r="B30" s="206" t="s">
        <v>654</v>
      </c>
      <c r="C30" s="206" t="s">
        <v>655</v>
      </c>
      <c r="D30" s="206" t="s">
        <v>656</v>
      </c>
      <c r="E30" s="206" t="s">
        <v>657</v>
      </c>
      <c r="F30" s="206" t="s">
        <v>658</v>
      </c>
      <c r="G30" s="206" t="s">
        <v>659</v>
      </c>
      <c r="H30" s="206" t="s">
        <v>660</v>
      </c>
      <c r="I30" s="206" t="s">
        <v>661</v>
      </c>
      <c r="J30" s="207" t="s">
        <v>662</v>
      </c>
    </row>
    <row r="31" spans="1:10" s="23" customFormat="1" ht="16.5" thickTop="1" thickBot="1" x14ac:dyDescent="0.3">
      <c r="A31" s="208" t="s">
        <v>630</v>
      </c>
      <c r="B31" s="260">
        <v>0.25</v>
      </c>
      <c r="C31" s="260">
        <v>0.2</v>
      </c>
      <c r="D31" s="260">
        <v>0.1</v>
      </c>
      <c r="E31" s="260">
        <v>0.15</v>
      </c>
      <c r="F31" s="260">
        <v>0.2</v>
      </c>
      <c r="G31" s="260">
        <v>0.1</v>
      </c>
      <c r="H31" s="260">
        <v>0.1</v>
      </c>
      <c r="I31" s="260">
        <v>0.5</v>
      </c>
      <c r="J31" s="260">
        <v>0.55000000000000004</v>
      </c>
    </row>
    <row r="32" spans="1:10" s="23" customFormat="1" ht="15.75" thickBot="1" x14ac:dyDescent="0.3">
      <c r="A32" s="208" t="s">
        <v>629</v>
      </c>
      <c r="B32" s="209">
        <v>0.5</v>
      </c>
      <c r="C32" s="209">
        <v>0.3</v>
      </c>
      <c r="D32" s="209">
        <v>0.45</v>
      </c>
      <c r="E32" s="209">
        <v>0.45</v>
      </c>
      <c r="F32" s="209">
        <v>0.5</v>
      </c>
      <c r="G32" s="209">
        <v>0.35</v>
      </c>
      <c r="H32" s="209">
        <v>0.15</v>
      </c>
      <c r="I32" s="209">
        <v>0.35</v>
      </c>
      <c r="J32" s="209">
        <v>0.3</v>
      </c>
    </row>
    <row r="33" spans="1:15" s="23" customFormat="1" ht="15.75" thickBot="1" x14ac:dyDescent="0.3">
      <c r="A33" s="208" t="s">
        <v>663</v>
      </c>
      <c r="B33" s="209">
        <v>0.2</v>
      </c>
      <c r="C33" s="209">
        <v>0.45</v>
      </c>
      <c r="D33" s="209">
        <v>0.3</v>
      </c>
      <c r="E33" s="209">
        <v>0.35</v>
      </c>
      <c r="F33" s="209">
        <v>0.2</v>
      </c>
      <c r="G33" s="209">
        <v>0.45</v>
      </c>
      <c r="H33" s="209">
        <v>0.7</v>
      </c>
      <c r="I33" s="209">
        <v>0.1</v>
      </c>
      <c r="J33" s="209">
        <v>0.1</v>
      </c>
    </row>
    <row r="34" spans="1:15" s="23" customFormat="1" ht="15.75" thickBot="1" x14ac:dyDescent="0.3">
      <c r="A34" s="208" t="s">
        <v>664</v>
      </c>
      <c r="B34" s="209">
        <v>0.05</v>
      </c>
      <c r="C34" s="209">
        <v>0.05</v>
      </c>
      <c r="D34" s="209">
        <v>0.15</v>
      </c>
      <c r="E34" s="209">
        <v>0.05</v>
      </c>
      <c r="F34" s="209">
        <v>0.1</v>
      </c>
      <c r="G34" s="209">
        <v>0.1</v>
      </c>
      <c r="H34" s="209">
        <v>0.05</v>
      </c>
      <c r="I34" s="209">
        <v>0.05</v>
      </c>
      <c r="J34" s="209">
        <v>0.05</v>
      </c>
    </row>
    <row r="35" spans="1:15" s="23" customFormat="1" ht="15.75" thickBot="1" x14ac:dyDescent="0.3">
      <c r="A35" s="210" t="s">
        <v>25</v>
      </c>
      <c r="B35" s="211">
        <v>1</v>
      </c>
      <c r="C35" s="211">
        <v>1</v>
      </c>
      <c r="D35" s="211">
        <v>1</v>
      </c>
      <c r="E35" s="211">
        <v>1</v>
      </c>
      <c r="F35" s="211">
        <v>1</v>
      </c>
      <c r="G35" s="211">
        <v>1</v>
      </c>
      <c r="H35" s="211">
        <v>1</v>
      </c>
      <c r="I35" s="211">
        <v>1</v>
      </c>
      <c r="J35" s="211">
        <v>1</v>
      </c>
    </row>
    <row r="36" spans="1:15" s="23" customFormat="1" ht="15.75" thickBot="1" x14ac:dyDescent="0.3">
      <c r="A36" s="212"/>
      <c r="B36" s="212"/>
      <c r="C36" s="212"/>
      <c r="D36" s="212"/>
      <c r="E36" s="212"/>
      <c r="F36" s="212"/>
      <c r="G36" s="212"/>
      <c r="H36" s="212"/>
      <c r="I36" s="212"/>
      <c r="J36" s="212"/>
    </row>
    <row r="37" spans="1:15" s="23" customFormat="1" ht="15.75" thickBot="1" x14ac:dyDescent="0.3">
      <c r="A37" s="215" t="s">
        <v>653</v>
      </c>
      <c r="B37" s="216" t="s">
        <v>654</v>
      </c>
      <c r="C37" s="216" t="s">
        <v>655</v>
      </c>
      <c r="D37" s="216" t="s">
        <v>656</v>
      </c>
      <c r="E37" s="216" t="s">
        <v>657</v>
      </c>
      <c r="F37" s="216" t="s">
        <v>658</v>
      </c>
      <c r="G37" s="216" t="s">
        <v>659</v>
      </c>
      <c r="H37" s="216" t="s">
        <v>660</v>
      </c>
      <c r="I37" s="216" t="s">
        <v>661</v>
      </c>
      <c r="J37" s="217" t="s">
        <v>662</v>
      </c>
    </row>
    <row r="38" spans="1:15" s="23" customFormat="1" x14ac:dyDescent="0.25">
      <c r="A38" s="218" t="s">
        <v>630</v>
      </c>
      <c r="B38" s="219">
        <v>0.25</v>
      </c>
      <c r="C38" s="219">
        <v>0.2</v>
      </c>
      <c r="D38" s="219">
        <v>0.1</v>
      </c>
      <c r="E38" s="219">
        <v>0.15</v>
      </c>
      <c r="F38" s="219">
        <v>0.2</v>
      </c>
      <c r="G38" s="219">
        <v>0.1</v>
      </c>
      <c r="H38" s="219">
        <v>0.1</v>
      </c>
      <c r="I38" s="219">
        <v>0.5</v>
      </c>
      <c r="J38" s="219">
        <v>0.55000000000000004</v>
      </c>
    </row>
    <row r="39" spans="1:15" s="23" customFormat="1" x14ac:dyDescent="0.25">
      <c r="A39" s="220" t="s">
        <v>629</v>
      </c>
      <c r="B39" s="221">
        <v>0.5</v>
      </c>
      <c r="C39" s="221">
        <v>0.3</v>
      </c>
      <c r="D39" s="221">
        <v>0.45</v>
      </c>
      <c r="E39" s="221">
        <v>0.45</v>
      </c>
      <c r="F39" s="221">
        <v>0.5</v>
      </c>
      <c r="G39" s="221">
        <v>0.35</v>
      </c>
      <c r="H39" s="221">
        <v>0.15</v>
      </c>
      <c r="I39" s="221">
        <v>0.35</v>
      </c>
      <c r="J39" s="221">
        <v>0.3</v>
      </c>
    </row>
    <row r="40" spans="1:15" s="23" customFormat="1" x14ac:dyDescent="0.25">
      <c r="A40" s="220" t="s">
        <v>663</v>
      </c>
      <c r="B40" s="221">
        <v>0.2</v>
      </c>
      <c r="C40" s="221">
        <v>0.45</v>
      </c>
      <c r="D40" s="221">
        <v>0.3</v>
      </c>
      <c r="E40" s="221">
        <v>0.35</v>
      </c>
      <c r="F40" s="221">
        <v>0.2</v>
      </c>
      <c r="G40" s="221">
        <v>0.45</v>
      </c>
      <c r="H40" s="221">
        <v>0.7</v>
      </c>
      <c r="I40" s="221">
        <v>0.1</v>
      </c>
      <c r="J40" s="221">
        <v>0.1</v>
      </c>
      <c r="O40" s="111"/>
    </row>
    <row r="41" spans="1:15" s="23" customFormat="1" x14ac:dyDescent="0.25">
      <c r="A41" s="220" t="s">
        <v>664</v>
      </c>
      <c r="B41" s="221">
        <v>0.05</v>
      </c>
      <c r="C41" s="221">
        <v>0.05</v>
      </c>
      <c r="D41" s="221">
        <v>0.15</v>
      </c>
      <c r="E41" s="221">
        <v>0.05</v>
      </c>
      <c r="F41" s="221">
        <v>0.1</v>
      </c>
      <c r="G41" s="221">
        <v>0.1</v>
      </c>
      <c r="H41" s="221">
        <v>0.05</v>
      </c>
      <c r="I41" s="221">
        <v>0.05</v>
      </c>
      <c r="J41" s="221">
        <v>0.05</v>
      </c>
      <c r="O41" s="111"/>
    </row>
    <row r="42" spans="1:15" s="23" customFormat="1" x14ac:dyDescent="0.25">
      <c r="A42" s="222" t="s">
        <v>25</v>
      </c>
      <c r="B42" s="223">
        <f t="shared" ref="B42:J42" si="0">SUM(B38:B41)</f>
        <v>1</v>
      </c>
      <c r="C42" s="223">
        <f t="shared" si="0"/>
        <v>1</v>
      </c>
      <c r="D42" s="223">
        <f t="shared" si="0"/>
        <v>1</v>
      </c>
      <c r="E42" s="223">
        <f t="shared" si="0"/>
        <v>1</v>
      </c>
      <c r="F42" s="223">
        <f t="shared" si="0"/>
        <v>0.99999999999999989</v>
      </c>
      <c r="G42" s="223">
        <f t="shared" si="0"/>
        <v>0.99999999999999989</v>
      </c>
      <c r="H42" s="223">
        <f t="shared" si="0"/>
        <v>1</v>
      </c>
      <c r="I42" s="223">
        <f t="shared" si="0"/>
        <v>1</v>
      </c>
      <c r="J42" s="223">
        <f t="shared" si="0"/>
        <v>1</v>
      </c>
      <c r="O42" s="108"/>
    </row>
    <row r="43" spans="1:15" s="23" customFormat="1" x14ac:dyDescent="0.25">
      <c r="A43" s="175"/>
      <c r="B43" s="175"/>
      <c r="C43" s="175"/>
      <c r="D43" s="175"/>
      <c r="E43" s="175"/>
      <c r="F43" s="175"/>
      <c r="G43" s="175"/>
      <c r="H43" s="175"/>
      <c r="I43" s="175"/>
      <c r="J43" s="175"/>
    </row>
    <row r="44" spans="1:15" s="23" customFormat="1" x14ac:dyDescent="0.25">
      <c r="A44" s="178" t="s">
        <v>540</v>
      </c>
      <c r="B44"/>
      <c r="C44"/>
      <c r="D44"/>
      <c r="E44"/>
      <c r="F44"/>
      <c r="G44"/>
      <c r="H44"/>
      <c r="I44"/>
      <c r="J44"/>
    </row>
    <row r="45" spans="1:15" s="23" customFormat="1" x14ac:dyDescent="0.25">
      <c r="A45" s="178" t="s">
        <v>541</v>
      </c>
      <c r="B45"/>
      <c r="C45"/>
      <c r="D45"/>
      <c r="E45"/>
      <c r="F45"/>
      <c r="G45"/>
      <c r="H45"/>
      <c r="I45"/>
      <c r="J45"/>
    </row>
    <row r="46" spans="1:15" s="23" customFormat="1" x14ac:dyDescent="0.25">
      <c r="A46" s="178"/>
      <c r="B46"/>
      <c r="C46"/>
      <c r="D46"/>
      <c r="E46"/>
      <c r="F46"/>
      <c r="G46"/>
      <c r="H46"/>
      <c r="I46"/>
      <c r="J46"/>
    </row>
    <row r="47" spans="1:15" s="23" customFormat="1" x14ac:dyDescent="0.25">
      <c r="A47" s="178" t="s">
        <v>542</v>
      </c>
      <c r="B47"/>
      <c r="C47"/>
      <c r="D47"/>
      <c r="E47"/>
      <c r="F47"/>
      <c r="G47"/>
      <c r="H47"/>
      <c r="I47"/>
      <c r="J47"/>
    </row>
    <row r="48" spans="1:15" s="23" customFormat="1" x14ac:dyDescent="0.25">
      <c r="A48" s="178"/>
      <c r="B48"/>
      <c r="C48"/>
      <c r="D48"/>
      <c r="E48"/>
      <c r="F48"/>
      <c r="G48"/>
      <c r="H48"/>
      <c r="I48"/>
      <c r="J48"/>
    </row>
    <row r="49" spans="1:10" s="23" customFormat="1" x14ac:dyDescent="0.25">
      <c r="A49" s="179" t="s">
        <v>543</v>
      </c>
      <c r="B49"/>
      <c r="C49"/>
      <c r="D49"/>
      <c r="E49"/>
      <c r="F49"/>
      <c r="G49"/>
      <c r="H49"/>
      <c r="I49"/>
      <c r="J49"/>
    </row>
    <row r="50" spans="1:10" s="23" customFormat="1" x14ac:dyDescent="0.25">
      <c r="A50" s="178" t="s">
        <v>544</v>
      </c>
      <c r="B50"/>
      <c r="C50"/>
      <c r="D50"/>
      <c r="E50"/>
      <c r="F50"/>
      <c r="G50"/>
      <c r="H50"/>
      <c r="I50"/>
      <c r="J50"/>
    </row>
    <row r="51" spans="1:10" s="23" customFormat="1" x14ac:dyDescent="0.25">
      <c r="A51" s="180" t="s">
        <v>545</v>
      </c>
      <c r="B51"/>
      <c r="C51"/>
      <c r="D51"/>
      <c r="E51"/>
      <c r="F51"/>
      <c r="G51"/>
      <c r="H51"/>
      <c r="I51"/>
      <c r="J51"/>
    </row>
    <row r="52" spans="1:10" s="23" customFormat="1" x14ac:dyDescent="0.25">
      <c r="A52" s="178"/>
      <c r="B52"/>
      <c r="C52"/>
      <c r="D52"/>
      <c r="E52"/>
      <c r="F52"/>
      <c r="G52"/>
      <c r="H52"/>
      <c r="I52"/>
      <c r="J52"/>
    </row>
    <row r="53" spans="1:10" x14ac:dyDescent="0.25">
      <c r="A53" s="176" t="s">
        <v>515</v>
      </c>
    </row>
    <row r="54" spans="1:10" x14ac:dyDescent="0.25">
      <c r="A54" s="176" t="s">
        <v>516</v>
      </c>
    </row>
    <row r="55" spans="1:10" x14ac:dyDescent="0.25">
      <c r="A55" s="176" t="s">
        <v>517</v>
      </c>
    </row>
    <row r="56" spans="1:10" x14ac:dyDescent="0.25">
      <c r="A56" s="176" t="s">
        <v>518</v>
      </c>
    </row>
    <row r="57" spans="1:10" x14ac:dyDescent="0.25">
      <c r="A57" s="176"/>
    </row>
    <row r="58" spans="1:10" x14ac:dyDescent="0.25">
      <c r="A58" s="177" t="s">
        <v>519</v>
      </c>
    </row>
    <row r="59" spans="1:10" x14ac:dyDescent="0.25">
      <c r="A59" s="177" t="s">
        <v>520</v>
      </c>
    </row>
    <row r="60" spans="1:10" x14ac:dyDescent="0.25">
      <c r="A60" s="177" t="s">
        <v>521</v>
      </c>
    </row>
    <row r="61" spans="1:10" x14ac:dyDescent="0.25">
      <c r="A61" s="177" t="s">
        <v>522</v>
      </c>
    </row>
    <row r="62" spans="1:10" x14ac:dyDescent="0.25">
      <c r="A62" s="177" t="s">
        <v>523</v>
      </c>
    </row>
    <row r="63" spans="1:10" x14ac:dyDescent="0.25">
      <c r="A63" s="175"/>
    </row>
    <row r="64" spans="1:10" x14ac:dyDescent="0.25">
      <c r="A64" s="178" t="s">
        <v>524</v>
      </c>
    </row>
    <row r="65" spans="1:1" x14ac:dyDescent="0.25">
      <c r="A65" s="178"/>
    </row>
    <row r="66" spans="1:1" x14ac:dyDescent="0.25">
      <c r="A66" s="178" t="s">
        <v>525</v>
      </c>
    </row>
    <row r="67" spans="1:1" x14ac:dyDescent="0.25">
      <c r="A67" s="178"/>
    </row>
    <row r="68" spans="1:1" x14ac:dyDescent="0.25">
      <c r="A68" s="178" t="s">
        <v>526</v>
      </c>
    </row>
    <row r="69" spans="1:1" x14ac:dyDescent="0.25">
      <c r="A69" s="178" t="s">
        <v>527</v>
      </c>
    </row>
    <row r="70" spans="1:1" x14ac:dyDescent="0.25">
      <c r="A70" s="178" t="s">
        <v>528</v>
      </c>
    </row>
    <row r="71" spans="1:1" x14ac:dyDescent="0.25">
      <c r="A71" s="178" t="s">
        <v>529</v>
      </c>
    </row>
    <row r="72" spans="1:1" x14ac:dyDescent="0.25">
      <c r="A72" s="178" t="s">
        <v>530</v>
      </c>
    </row>
    <row r="73" spans="1:1" x14ac:dyDescent="0.25">
      <c r="A73" s="178" t="s">
        <v>531</v>
      </c>
    </row>
    <row r="74" spans="1:1" x14ac:dyDescent="0.25">
      <c r="A74" s="178" t="s">
        <v>532</v>
      </c>
    </row>
    <row r="75" spans="1:1" x14ac:dyDescent="0.25">
      <c r="A75" s="178" t="s">
        <v>533</v>
      </c>
    </row>
    <row r="76" spans="1:1" x14ac:dyDescent="0.25">
      <c r="A76" s="178" t="s">
        <v>534</v>
      </c>
    </row>
    <row r="77" spans="1:1" x14ac:dyDescent="0.25">
      <c r="A77" s="178"/>
    </row>
    <row r="78" spans="1:1" x14ac:dyDescent="0.25">
      <c r="A78" s="178" t="s">
        <v>535</v>
      </c>
    </row>
    <row r="79" spans="1:1" x14ac:dyDescent="0.25">
      <c r="A79" s="178" t="s">
        <v>536</v>
      </c>
    </row>
    <row r="80" spans="1:1" x14ac:dyDescent="0.25">
      <c r="A80" s="178" t="s">
        <v>537</v>
      </c>
    </row>
    <row r="81" spans="1:1" x14ac:dyDescent="0.25">
      <c r="A81" s="178"/>
    </row>
    <row r="82" spans="1:1" x14ac:dyDescent="0.25">
      <c r="A82" s="178" t="s">
        <v>538</v>
      </c>
    </row>
    <row r="83" spans="1:1" x14ac:dyDescent="0.25">
      <c r="A83" s="178"/>
    </row>
    <row r="84" spans="1:1" x14ac:dyDescent="0.25">
      <c r="A84" s="178" t="s">
        <v>539</v>
      </c>
    </row>
    <row r="85" spans="1:1" x14ac:dyDescent="0.25">
      <c r="A85" s="178" t="s">
        <v>540</v>
      </c>
    </row>
    <row r="86" spans="1:1" x14ac:dyDescent="0.25">
      <c r="A86" s="178" t="s">
        <v>541</v>
      </c>
    </row>
    <row r="87" spans="1:1" x14ac:dyDescent="0.25">
      <c r="A87" s="178"/>
    </row>
    <row r="88" spans="1:1" x14ac:dyDescent="0.25">
      <c r="A88" s="178" t="s">
        <v>542</v>
      </c>
    </row>
    <row r="89" spans="1:1" x14ac:dyDescent="0.25">
      <c r="A89" s="178"/>
    </row>
    <row r="90" spans="1:1" x14ac:dyDescent="0.25">
      <c r="A90" s="179" t="s">
        <v>543</v>
      </c>
    </row>
    <row r="91" spans="1:1" x14ac:dyDescent="0.25">
      <c r="A91" s="178" t="s">
        <v>544</v>
      </c>
    </row>
    <row r="92" spans="1:1" x14ac:dyDescent="0.25">
      <c r="A92" s="180" t="s">
        <v>545</v>
      </c>
    </row>
    <row r="93" spans="1:1" x14ac:dyDescent="0.25">
      <c r="A93" s="178"/>
    </row>
    <row r="94" spans="1:1" x14ac:dyDescent="0.25">
      <c r="A94" s="180" t="s">
        <v>546</v>
      </c>
    </row>
    <row r="97" spans="1:1" x14ac:dyDescent="0.25">
      <c r="A97" s="179" t="s">
        <v>547</v>
      </c>
    </row>
    <row r="98" spans="1:1" x14ac:dyDescent="0.25">
      <c r="A98" s="179" t="s">
        <v>548</v>
      </c>
    </row>
    <row r="99" spans="1:1" x14ac:dyDescent="0.25">
      <c r="A99" s="179" t="s">
        <v>549</v>
      </c>
    </row>
    <row r="100" spans="1:1" x14ac:dyDescent="0.25">
      <c r="A100" s="179" t="s">
        <v>550</v>
      </c>
    </row>
    <row r="101" spans="1:1" x14ac:dyDescent="0.25">
      <c r="A101" s="179" t="s">
        <v>551</v>
      </c>
    </row>
    <row r="103" spans="1:1" ht="15.75" x14ac:dyDescent="0.25">
      <c r="A103" s="181" t="s">
        <v>552</v>
      </c>
    </row>
    <row r="106" spans="1:1" x14ac:dyDescent="0.25">
      <c r="A106" s="180" t="s">
        <v>553</v>
      </c>
    </row>
    <row r="107" spans="1:1" ht="15.75" x14ac:dyDescent="0.25">
      <c r="A107" s="182" t="s">
        <v>554</v>
      </c>
    </row>
    <row r="108" spans="1:1" x14ac:dyDescent="0.25">
      <c r="A108" s="180" t="s">
        <v>555</v>
      </c>
    </row>
    <row r="109" spans="1:1" ht="15.75" x14ac:dyDescent="0.25">
      <c r="A109" s="182" t="s">
        <v>556</v>
      </c>
    </row>
    <row r="110" spans="1:1" ht="15.75" x14ac:dyDescent="0.25">
      <c r="A110" s="182" t="s">
        <v>557</v>
      </c>
    </row>
    <row r="111" spans="1:1" ht="15.75" x14ac:dyDescent="0.25">
      <c r="A111" s="181"/>
    </row>
    <row r="112" spans="1:1" x14ac:dyDescent="0.25">
      <c r="A112" s="176" t="s">
        <v>558</v>
      </c>
    </row>
    <row r="113" spans="1:1" x14ac:dyDescent="0.25">
      <c r="A113" s="183"/>
    </row>
    <row r="114" spans="1:1" x14ac:dyDescent="0.25">
      <c r="A114" s="176" t="s">
        <v>559</v>
      </c>
    </row>
    <row r="115" spans="1:1" x14ac:dyDescent="0.25">
      <c r="A115" s="183"/>
    </row>
    <row r="116" spans="1:1" x14ac:dyDescent="0.25">
      <c r="A116" s="176" t="s">
        <v>560</v>
      </c>
    </row>
    <row r="117" spans="1:1" x14ac:dyDescent="0.25">
      <c r="A117" s="176" t="s">
        <v>561</v>
      </c>
    </row>
    <row r="118" spans="1:1" x14ac:dyDescent="0.25">
      <c r="A118" s="176" t="s">
        <v>562</v>
      </c>
    </row>
    <row r="119" spans="1:1" x14ac:dyDescent="0.25">
      <c r="A119" s="176" t="s">
        <v>563</v>
      </c>
    </row>
    <row r="120" spans="1:1" x14ac:dyDescent="0.25">
      <c r="A120" s="183"/>
    </row>
    <row r="121" spans="1:1" x14ac:dyDescent="0.25">
      <c r="A121" s="176" t="s">
        <v>564</v>
      </c>
    </row>
    <row r="122" spans="1:1" x14ac:dyDescent="0.25">
      <c r="A122" s="176" t="s">
        <v>565</v>
      </c>
    </row>
    <row r="123" spans="1:1" x14ac:dyDescent="0.25">
      <c r="A123" s="183"/>
    </row>
    <row r="124" spans="1:1" x14ac:dyDescent="0.25">
      <c r="A124" s="183"/>
    </row>
    <row r="125" spans="1:1" x14ac:dyDescent="0.25">
      <c r="A125" s="179" t="s">
        <v>547</v>
      </c>
    </row>
    <row r="126" spans="1:1" x14ac:dyDescent="0.25">
      <c r="A126" s="179" t="s">
        <v>566</v>
      </c>
    </row>
    <row r="127" spans="1:1" x14ac:dyDescent="0.25">
      <c r="A127" s="179" t="s">
        <v>549</v>
      </c>
    </row>
    <row r="128" spans="1:1" x14ac:dyDescent="0.25">
      <c r="A128" s="179" t="s">
        <v>550</v>
      </c>
    </row>
    <row r="129" spans="1:1" x14ac:dyDescent="0.25">
      <c r="A129" s="179" t="s">
        <v>567</v>
      </c>
    </row>
    <row r="130" spans="1:1" x14ac:dyDescent="0.25">
      <c r="A130" s="183"/>
    </row>
    <row r="131" spans="1:1" x14ac:dyDescent="0.25">
      <c r="A131" s="176" t="s">
        <v>568</v>
      </c>
    </row>
    <row r="132" spans="1:1" x14ac:dyDescent="0.25">
      <c r="A132" s="176" t="s">
        <v>569</v>
      </c>
    </row>
    <row r="133" spans="1:1" x14ac:dyDescent="0.25">
      <c r="A133" s="176" t="s">
        <v>570</v>
      </c>
    </row>
    <row r="134" spans="1:1" x14ac:dyDescent="0.25">
      <c r="A134" s="176" t="s">
        <v>571</v>
      </c>
    </row>
    <row r="135" spans="1:1" x14ac:dyDescent="0.25">
      <c r="A135" s="176" t="s">
        <v>572</v>
      </c>
    </row>
    <row r="136" spans="1:1" x14ac:dyDescent="0.25">
      <c r="A136" s="176" t="s">
        <v>540</v>
      </c>
    </row>
    <row r="137" spans="1:1" x14ac:dyDescent="0.25">
      <c r="A137" s="176" t="s">
        <v>573</v>
      </c>
    </row>
    <row r="138" spans="1:1" x14ac:dyDescent="0.25">
      <c r="A138" s="183"/>
    </row>
    <row r="139" spans="1:1" x14ac:dyDescent="0.25">
      <c r="A139" s="179" t="s">
        <v>574</v>
      </c>
    </row>
    <row r="140" spans="1:1" x14ac:dyDescent="0.25">
      <c r="A140" s="179" t="s">
        <v>575</v>
      </c>
    </row>
    <row r="141" spans="1:1" x14ac:dyDescent="0.25">
      <c r="A141" s="179" t="s">
        <v>576</v>
      </c>
    </row>
    <row r="142" spans="1:1" x14ac:dyDescent="0.25">
      <c r="A142" s="179" t="s">
        <v>550</v>
      </c>
    </row>
    <row r="143" spans="1:1" x14ac:dyDescent="0.25">
      <c r="A143" s="179" t="s">
        <v>577</v>
      </c>
    </row>
    <row r="144" spans="1:1" x14ac:dyDescent="0.25">
      <c r="A144" s="183"/>
    </row>
    <row r="145" spans="1:1" x14ac:dyDescent="0.25">
      <c r="A145" s="176" t="s">
        <v>558</v>
      </c>
    </row>
    <row r="146" spans="1:1" x14ac:dyDescent="0.25">
      <c r="A146" s="183"/>
    </row>
    <row r="147" spans="1:1" x14ac:dyDescent="0.25">
      <c r="A147" s="176" t="s">
        <v>578</v>
      </c>
    </row>
    <row r="148" spans="1:1" x14ac:dyDescent="0.25">
      <c r="A148" s="183"/>
    </row>
    <row r="149" spans="1:1" x14ac:dyDescent="0.25">
      <c r="A149" s="176" t="s">
        <v>579</v>
      </c>
    </row>
    <row r="150" spans="1:1" x14ac:dyDescent="0.25">
      <c r="A150" s="176" t="s">
        <v>580</v>
      </c>
    </row>
    <row r="151" spans="1:1" x14ac:dyDescent="0.25">
      <c r="A151" s="183"/>
    </row>
    <row r="152" spans="1:1" x14ac:dyDescent="0.25">
      <c r="A152" s="179" t="s">
        <v>547</v>
      </c>
    </row>
    <row r="153" spans="1:1" x14ac:dyDescent="0.25">
      <c r="A153" s="179" t="s">
        <v>581</v>
      </c>
    </row>
    <row r="154" spans="1:1" x14ac:dyDescent="0.25">
      <c r="A154" s="179" t="s">
        <v>582</v>
      </c>
    </row>
    <row r="155" spans="1:1" x14ac:dyDescent="0.25">
      <c r="A155" s="179" t="s">
        <v>583</v>
      </c>
    </row>
    <row r="156" spans="1:1" x14ac:dyDescent="0.25">
      <c r="A156" s="183"/>
    </row>
    <row r="157" spans="1:1" ht="15.75" x14ac:dyDescent="0.25">
      <c r="A157" s="181" t="s">
        <v>552</v>
      </c>
    </row>
    <row r="160" spans="1:1" x14ac:dyDescent="0.25">
      <c r="A160" s="180" t="s">
        <v>584</v>
      </c>
    </row>
    <row r="161" spans="1:1" ht="15.75" x14ac:dyDescent="0.25">
      <c r="A161" s="182" t="s">
        <v>585</v>
      </c>
    </row>
    <row r="162" spans="1:1" ht="15.75" x14ac:dyDescent="0.25">
      <c r="A162" s="182" t="s">
        <v>586</v>
      </c>
    </row>
    <row r="163" spans="1:1" ht="15.75" x14ac:dyDescent="0.25">
      <c r="A163" s="182" t="s">
        <v>587</v>
      </c>
    </row>
    <row r="164" spans="1:1" x14ac:dyDescent="0.25">
      <c r="A164" s="183"/>
    </row>
    <row r="165" spans="1:1" x14ac:dyDescent="0.25">
      <c r="A165" s="178" t="s">
        <v>573</v>
      </c>
    </row>
    <row r="166" spans="1:1" x14ac:dyDescent="0.25">
      <c r="A166" s="178" t="s">
        <v>588</v>
      </c>
    </row>
    <row r="167" spans="1:1" x14ac:dyDescent="0.25">
      <c r="A167" s="183"/>
    </row>
    <row r="168" spans="1:1" x14ac:dyDescent="0.25">
      <c r="A168" s="178" t="s">
        <v>589</v>
      </c>
    </row>
    <row r="169" spans="1:1" x14ac:dyDescent="0.25">
      <c r="A169" s="178" t="s">
        <v>590</v>
      </c>
    </row>
    <row r="170" spans="1:1" x14ac:dyDescent="0.25">
      <c r="A170" s="183"/>
    </row>
    <row r="171" spans="1:1" x14ac:dyDescent="0.25">
      <c r="A171" s="183"/>
    </row>
    <row r="172" spans="1:1" x14ac:dyDescent="0.25">
      <c r="A172" s="178" t="s">
        <v>542</v>
      </c>
    </row>
    <row r="173" spans="1:1" x14ac:dyDescent="0.25">
      <c r="A173" s="183"/>
    </row>
    <row r="174" spans="1:1" x14ac:dyDescent="0.25">
      <c r="A174" s="179" t="s">
        <v>543</v>
      </c>
    </row>
    <row r="175" spans="1:1" x14ac:dyDescent="0.25">
      <c r="A175" s="178" t="s">
        <v>544</v>
      </c>
    </row>
    <row r="176" spans="1:1" x14ac:dyDescent="0.25">
      <c r="A176" s="180" t="s">
        <v>545</v>
      </c>
    </row>
    <row r="177" spans="1:1" x14ac:dyDescent="0.25">
      <c r="A177" s="183"/>
    </row>
    <row r="178" spans="1:1" x14ac:dyDescent="0.25">
      <c r="A178" s="180" t="s">
        <v>546</v>
      </c>
    </row>
    <row r="181" spans="1:1" x14ac:dyDescent="0.25">
      <c r="A181" s="179" t="s">
        <v>591</v>
      </c>
    </row>
    <row r="182" spans="1:1" x14ac:dyDescent="0.25">
      <c r="A182" s="179" t="s">
        <v>592</v>
      </c>
    </row>
    <row r="183" spans="1:1" x14ac:dyDescent="0.25">
      <c r="A183" s="179" t="s">
        <v>549</v>
      </c>
    </row>
    <row r="184" spans="1:1" x14ac:dyDescent="0.25">
      <c r="A184" s="179" t="s">
        <v>593</v>
      </c>
    </row>
    <row r="185" spans="1:1" x14ac:dyDescent="0.25">
      <c r="A185" s="179" t="s">
        <v>594</v>
      </c>
    </row>
    <row r="187" spans="1:1" x14ac:dyDescent="0.25">
      <c r="A187" s="176" t="s">
        <v>595</v>
      </c>
    </row>
    <row r="188" spans="1:1" x14ac:dyDescent="0.25">
      <c r="A188" s="176" t="s">
        <v>596</v>
      </c>
    </row>
    <row r="189" spans="1:1" x14ac:dyDescent="0.25">
      <c r="A189" s="176" t="s">
        <v>597</v>
      </c>
    </row>
    <row r="190" spans="1:1" x14ac:dyDescent="0.25">
      <c r="A190" s="176" t="s">
        <v>518</v>
      </c>
    </row>
    <row r="191" spans="1:1" x14ac:dyDescent="0.25">
      <c r="A191" s="183"/>
    </row>
    <row r="192" spans="1:1" x14ac:dyDescent="0.25">
      <c r="A192" s="180" t="s">
        <v>598</v>
      </c>
    </row>
    <row r="193" spans="1:1" x14ac:dyDescent="0.25">
      <c r="A193" s="179" t="s">
        <v>599</v>
      </c>
    </row>
    <row r="194" spans="1:1" x14ac:dyDescent="0.25">
      <c r="A194" s="179" t="s">
        <v>600</v>
      </c>
    </row>
    <row r="195" spans="1:1" x14ac:dyDescent="0.25">
      <c r="A195" s="179" t="s">
        <v>601</v>
      </c>
    </row>
    <row r="196" spans="1:1" x14ac:dyDescent="0.25">
      <c r="A196" s="179" t="s">
        <v>602</v>
      </c>
    </row>
    <row r="197" spans="1:1" x14ac:dyDescent="0.25">
      <c r="A197" s="183"/>
    </row>
    <row r="198" spans="1:1" x14ac:dyDescent="0.25">
      <c r="A198" s="176" t="s">
        <v>603</v>
      </c>
    </row>
    <row r="199" spans="1:1" x14ac:dyDescent="0.25">
      <c r="A199" s="183"/>
    </row>
    <row r="200" spans="1:1" x14ac:dyDescent="0.25">
      <c r="A200" s="176" t="s">
        <v>604</v>
      </c>
    </row>
    <row r="201" spans="1:1" x14ac:dyDescent="0.25">
      <c r="A201" s="183"/>
    </row>
    <row r="202" spans="1:1" x14ac:dyDescent="0.25">
      <c r="A202" s="176" t="s">
        <v>579</v>
      </c>
    </row>
    <row r="203" spans="1:1" x14ac:dyDescent="0.25">
      <c r="A203" s="176" t="s">
        <v>580</v>
      </c>
    </row>
    <row r="204" spans="1:1" x14ac:dyDescent="0.25">
      <c r="A204" s="183"/>
    </row>
    <row r="205" spans="1:1" x14ac:dyDescent="0.25">
      <c r="A205" s="180" t="s">
        <v>605</v>
      </c>
    </row>
    <row r="206" spans="1:1" x14ac:dyDescent="0.25">
      <c r="A206" s="179" t="s">
        <v>606</v>
      </c>
    </row>
    <row r="207" spans="1:1" x14ac:dyDescent="0.25">
      <c r="A207" s="179" t="s">
        <v>549</v>
      </c>
    </row>
    <row r="208" spans="1:1" x14ac:dyDescent="0.25">
      <c r="A208" s="179" t="s">
        <v>593</v>
      </c>
    </row>
    <row r="209" spans="1:1" x14ac:dyDescent="0.25">
      <c r="A209" s="179" t="s">
        <v>607</v>
      </c>
    </row>
    <row r="210" spans="1:1" x14ac:dyDescent="0.25">
      <c r="A210" s="183"/>
    </row>
    <row r="211" spans="1:1" x14ac:dyDescent="0.25">
      <c r="A211" s="176" t="s">
        <v>595</v>
      </c>
    </row>
    <row r="212" spans="1:1" x14ac:dyDescent="0.25">
      <c r="A212" s="176" t="s">
        <v>608</v>
      </c>
    </row>
    <row r="213" spans="1:1" x14ac:dyDescent="0.25">
      <c r="A213" s="176" t="s">
        <v>609</v>
      </c>
    </row>
    <row r="214" spans="1:1" x14ac:dyDescent="0.25">
      <c r="A214" s="176" t="s">
        <v>518</v>
      </c>
    </row>
    <row r="215" spans="1:1" x14ac:dyDescent="0.25">
      <c r="A215" s="183"/>
    </row>
    <row r="216" spans="1:1" x14ac:dyDescent="0.25">
      <c r="A216" s="180" t="s">
        <v>598</v>
      </c>
    </row>
    <row r="217" spans="1:1" x14ac:dyDescent="0.25">
      <c r="A217" s="179" t="s">
        <v>610</v>
      </c>
    </row>
    <row r="218" spans="1:1" x14ac:dyDescent="0.25">
      <c r="A218" s="179" t="s">
        <v>600</v>
      </c>
    </row>
    <row r="219" spans="1:1" x14ac:dyDescent="0.25">
      <c r="A219" s="179" t="s">
        <v>601</v>
      </c>
    </row>
    <row r="220" spans="1:1" x14ac:dyDescent="0.25">
      <c r="A220" s="179" t="s">
        <v>611</v>
      </c>
    </row>
    <row r="221" spans="1:1" x14ac:dyDescent="0.25">
      <c r="A221" s="183"/>
    </row>
    <row r="222" spans="1:1" x14ac:dyDescent="0.25">
      <c r="A222" s="176" t="s">
        <v>603</v>
      </c>
    </row>
    <row r="223" spans="1:1" x14ac:dyDescent="0.25">
      <c r="A223" s="183"/>
    </row>
    <row r="224" spans="1:1" ht="17.25" x14ac:dyDescent="0.25">
      <c r="A224" s="176" t="s">
        <v>612</v>
      </c>
    </row>
    <row r="225" spans="1:1" x14ac:dyDescent="0.25">
      <c r="A225" s="183"/>
    </row>
    <row r="226" spans="1:1" x14ac:dyDescent="0.25">
      <c r="A226" s="176" t="s">
        <v>613</v>
      </c>
    </row>
    <row r="227" spans="1:1" x14ac:dyDescent="0.25">
      <c r="A227" s="183"/>
    </row>
    <row r="228" spans="1:1" x14ac:dyDescent="0.25">
      <c r="A228" s="176" t="s">
        <v>564</v>
      </c>
    </row>
    <row r="229" spans="1:1" x14ac:dyDescent="0.25">
      <c r="A229" s="176" t="s">
        <v>614</v>
      </c>
    </row>
    <row r="230" spans="1:1" x14ac:dyDescent="0.25">
      <c r="A230" s="183"/>
    </row>
  </sheetData>
  <hyperlinks>
    <hyperlink ref="A92" r:id="rId1" display="mailto:Sam@etropicalfish.Com"/>
    <hyperlink ref="A94" r:id="rId2" display="http://www.etropicalfish.com/"/>
    <hyperlink ref="A106" r:id="rId3" display="mailto:abhiramit@cisintl.com"/>
    <hyperlink ref="A108" r:id="rId4" display="mailto:indraniw@cisintl.com"/>
    <hyperlink ref="A160" r:id="rId5" display="mailto:sam@etropicalfish.com"/>
    <hyperlink ref="A176" r:id="rId6" display="mailto:Sam@etropicalfish.Com"/>
    <hyperlink ref="A178" r:id="rId7" display="http://www.etropicalfish.com/"/>
    <hyperlink ref="A192" r:id="rId8" display="mailto:abhiramit@cisintl.com"/>
    <hyperlink ref="A205" r:id="rId9" display="mailto:RGAWLIK@ca.rr.com"/>
    <hyperlink ref="A216" r:id="rId10" display="mailto:abhiramit@cisintl.com"/>
    <hyperlink ref="A51" r:id="rId11" display="mailto:Sam@etropicalfish.Com"/>
  </hyperlinks>
  <pageMargins left="0.7" right="0.7" top="0.75" bottom="0.75" header="0.3" footer="0.3"/>
  <pageSetup orientation="portrait" horizontalDpi="4294967292" verticalDpi="0"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2"/>
  <sheetViews>
    <sheetView workbookViewId="0">
      <selection activeCell="I108" sqref="I108"/>
    </sheetView>
  </sheetViews>
  <sheetFormatPr defaultRowHeight="15" x14ac:dyDescent="0.25"/>
  <cols>
    <col min="9" max="9" width="44.140625" customWidth="1"/>
    <col min="10" max="10" width="14.7109375" customWidth="1"/>
    <col min="11" max="11" width="12.140625" customWidth="1"/>
  </cols>
  <sheetData>
    <row r="1" spans="1:10" ht="15.75" thickBot="1" x14ac:dyDescent="0.3">
      <c r="A1" s="31"/>
      <c r="B1" s="31"/>
      <c r="C1" s="31"/>
      <c r="D1" s="31"/>
      <c r="E1" s="31"/>
      <c r="F1" s="31"/>
      <c r="G1" s="31"/>
      <c r="H1" s="31"/>
      <c r="I1" s="31"/>
      <c r="J1" s="32" t="s">
        <v>52</v>
      </c>
    </row>
    <row r="2" spans="1:10" ht="15.75" thickTop="1" x14ac:dyDescent="0.25">
      <c r="A2" s="27"/>
      <c r="B2" s="27" t="s">
        <v>53</v>
      </c>
      <c r="C2" s="27"/>
      <c r="D2" s="27"/>
      <c r="E2" s="27"/>
      <c r="F2" s="27"/>
      <c r="G2" s="27"/>
      <c r="H2" s="27"/>
      <c r="I2" s="27"/>
      <c r="J2" s="28"/>
    </row>
    <row r="3" spans="1:10" x14ac:dyDescent="0.25">
      <c r="A3" s="27"/>
      <c r="B3" s="27"/>
      <c r="C3" s="27"/>
      <c r="D3" s="27" t="s">
        <v>54</v>
      </c>
      <c r="E3" s="27"/>
      <c r="F3" s="27"/>
      <c r="G3" s="27"/>
      <c r="H3" s="27"/>
      <c r="I3" s="27"/>
      <c r="J3" s="28"/>
    </row>
    <row r="4" spans="1:10" x14ac:dyDescent="0.25">
      <c r="A4" s="27"/>
      <c r="B4" s="27"/>
      <c r="C4" s="27"/>
      <c r="D4" s="27"/>
      <c r="E4" s="27" t="s">
        <v>55</v>
      </c>
      <c r="F4" s="27"/>
      <c r="G4" s="27"/>
      <c r="H4" s="27"/>
      <c r="I4" s="27"/>
      <c r="J4" s="28"/>
    </row>
    <row r="5" spans="1:10" x14ac:dyDescent="0.25">
      <c r="A5" s="27"/>
      <c r="B5" s="27"/>
      <c r="C5" s="27"/>
      <c r="D5" s="27"/>
      <c r="E5" s="27"/>
      <c r="F5" s="27" t="s">
        <v>56</v>
      </c>
      <c r="G5" s="27"/>
      <c r="H5" s="27"/>
      <c r="I5" s="27"/>
      <c r="J5" s="28">
        <v>85747321.980000004</v>
      </c>
    </row>
    <row r="6" spans="1:10" x14ac:dyDescent="0.25">
      <c r="A6" s="27"/>
      <c r="B6" s="27"/>
      <c r="C6" s="27"/>
      <c r="D6" s="27"/>
      <c r="E6" s="27"/>
      <c r="F6" s="27" t="s">
        <v>57</v>
      </c>
      <c r="G6" s="27"/>
      <c r="H6" s="27"/>
      <c r="I6" s="27"/>
      <c r="J6" s="28">
        <v>9400219.8000000007</v>
      </c>
    </row>
    <row r="7" spans="1:10" x14ac:dyDescent="0.25">
      <c r="A7" s="27"/>
      <c r="B7" s="27"/>
      <c r="C7" s="27"/>
      <c r="D7" s="27"/>
      <c r="E7" s="27"/>
      <c r="F7" s="27" t="s">
        <v>58</v>
      </c>
      <c r="G7" s="27"/>
      <c r="H7" s="27"/>
      <c r="I7" s="27"/>
      <c r="J7" s="28">
        <v>2597084.54</v>
      </c>
    </row>
    <row r="8" spans="1:10" x14ac:dyDescent="0.25">
      <c r="A8" s="27"/>
      <c r="B8" s="27"/>
      <c r="C8" s="27"/>
      <c r="D8" s="27"/>
      <c r="E8" s="27"/>
      <c r="F8" s="27" t="s">
        <v>59</v>
      </c>
      <c r="G8" s="27"/>
      <c r="H8" s="27"/>
      <c r="I8" s="27"/>
      <c r="J8" s="28">
        <v>4244807.01</v>
      </c>
    </row>
    <row r="9" spans="1:10" x14ac:dyDescent="0.25">
      <c r="A9" s="27"/>
      <c r="B9" s="27"/>
      <c r="C9" s="27"/>
      <c r="D9" s="27"/>
      <c r="E9" s="27"/>
      <c r="F9" s="27" t="s">
        <v>60</v>
      </c>
      <c r="G9" s="27"/>
      <c r="H9" s="27"/>
      <c r="I9" s="27"/>
      <c r="J9" s="28">
        <v>57556094.549999997</v>
      </c>
    </row>
    <row r="10" spans="1:10" x14ac:dyDescent="0.25">
      <c r="A10" s="27"/>
      <c r="B10" s="27"/>
      <c r="C10" s="27"/>
      <c r="D10" s="27"/>
      <c r="E10" s="27"/>
      <c r="F10" s="27" t="s">
        <v>61</v>
      </c>
      <c r="G10" s="27"/>
      <c r="H10" s="27"/>
      <c r="I10" s="27"/>
      <c r="J10" s="28">
        <v>754566.22</v>
      </c>
    </row>
    <row r="11" spans="1:10" x14ac:dyDescent="0.25">
      <c r="A11" s="27"/>
      <c r="B11" s="27"/>
      <c r="C11" s="27"/>
      <c r="D11" s="27"/>
      <c r="E11" s="27"/>
      <c r="F11" s="27" t="s">
        <v>62</v>
      </c>
      <c r="G11" s="27"/>
      <c r="H11" s="27"/>
      <c r="I11" s="27"/>
      <c r="J11" s="28"/>
    </row>
    <row r="12" spans="1:10" x14ac:dyDescent="0.25">
      <c r="A12" s="27"/>
      <c r="B12" s="27"/>
      <c r="C12" s="27"/>
      <c r="D12" s="27"/>
      <c r="E12" s="27"/>
      <c r="F12" s="27"/>
      <c r="G12" s="27" t="s">
        <v>63</v>
      </c>
      <c r="H12" s="27"/>
      <c r="I12" s="27"/>
      <c r="J12" s="28">
        <v>26865</v>
      </c>
    </row>
    <row r="13" spans="1:10" x14ac:dyDescent="0.25">
      <c r="A13" s="27"/>
      <c r="B13" s="27"/>
      <c r="C13" s="27"/>
      <c r="D13" s="27"/>
      <c r="E13" s="27"/>
      <c r="F13" s="27"/>
      <c r="G13" s="27" t="s">
        <v>64</v>
      </c>
      <c r="H13" s="27"/>
      <c r="I13" s="27"/>
      <c r="J13" s="28">
        <v>57700</v>
      </c>
    </row>
    <row r="14" spans="1:10" x14ac:dyDescent="0.25">
      <c r="A14" s="27"/>
      <c r="B14" s="27"/>
      <c r="C14" s="27"/>
      <c r="D14" s="27"/>
      <c r="E14" s="27"/>
      <c r="F14" s="27"/>
      <c r="G14" s="27" t="s">
        <v>65</v>
      </c>
      <c r="H14" s="27"/>
      <c r="I14" s="27"/>
      <c r="J14" s="28">
        <v>-12947.5</v>
      </c>
    </row>
    <row r="15" spans="1:10" x14ac:dyDescent="0.25">
      <c r="A15" s="27"/>
      <c r="B15" s="27"/>
      <c r="C15" s="27"/>
      <c r="D15" s="27"/>
      <c r="E15" s="27"/>
      <c r="F15" s="27"/>
      <c r="G15" s="27" t="s">
        <v>66</v>
      </c>
      <c r="H15" s="27"/>
      <c r="I15" s="27"/>
      <c r="J15" s="28">
        <v>-9127</v>
      </c>
    </row>
    <row r="16" spans="1:10" x14ac:dyDescent="0.25">
      <c r="A16" s="27"/>
      <c r="B16" s="27"/>
      <c r="C16" s="27"/>
      <c r="D16" s="27"/>
      <c r="E16" s="27"/>
      <c r="F16" s="27"/>
      <c r="G16" s="27" t="s">
        <v>67</v>
      </c>
      <c r="H16" s="27"/>
      <c r="I16" s="27"/>
      <c r="J16" s="28">
        <v>-435</v>
      </c>
    </row>
    <row r="17" spans="1:10" x14ac:dyDescent="0.25">
      <c r="A17" s="27"/>
      <c r="B17" s="27"/>
      <c r="C17" s="27"/>
      <c r="D17" s="27"/>
      <c r="E17" s="27"/>
      <c r="F17" s="27"/>
      <c r="G17" s="27" t="s">
        <v>68</v>
      </c>
      <c r="H17" s="27"/>
      <c r="I17" s="27"/>
      <c r="J17" s="28">
        <v>-18472</v>
      </c>
    </row>
    <row r="18" spans="1:10" x14ac:dyDescent="0.25">
      <c r="A18" s="27"/>
      <c r="B18" s="27"/>
      <c r="C18" s="27"/>
      <c r="D18" s="27"/>
      <c r="E18" s="27"/>
      <c r="F18" s="27"/>
      <c r="G18" s="27" t="s">
        <v>69</v>
      </c>
      <c r="H18" s="27"/>
      <c r="I18" s="27"/>
      <c r="J18" s="28">
        <v>-144981</v>
      </c>
    </row>
    <row r="19" spans="1:10" x14ac:dyDescent="0.25">
      <c r="A19" s="27"/>
      <c r="B19" s="27"/>
      <c r="C19" s="27"/>
      <c r="D19" s="27"/>
      <c r="E19" s="27"/>
      <c r="F19" s="27"/>
      <c r="G19" s="27" t="s">
        <v>70</v>
      </c>
      <c r="H19" s="27"/>
      <c r="I19" s="27"/>
      <c r="J19" s="28">
        <v>-30666</v>
      </c>
    </row>
    <row r="20" spans="1:10" x14ac:dyDescent="0.25">
      <c r="A20" s="27"/>
      <c r="B20" s="27"/>
      <c r="C20" s="27"/>
      <c r="D20" s="27"/>
      <c r="E20" s="27"/>
      <c r="F20" s="27"/>
      <c r="G20" s="27" t="s">
        <v>71</v>
      </c>
      <c r="H20" s="27"/>
      <c r="I20" s="27"/>
      <c r="J20" s="28">
        <v>-135434</v>
      </c>
    </row>
    <row r="21" spans="1:10" x14ac:dyDescent="0.25">
      <c r="A21" s="27"/>
      <c r="B21" s="27"/>
      <c r="C21" s="27"/>
      <c r="D21" s="27"/>
      <c r="E21" s="27"/>
      <c r="F21" s="27"/>
      <c r="G21" s="27" t="s">
        <v>72</v>
      </c>
      <c r="H21" s="27"/>
      <c r="I21" s="27"/>
      <c r="J21" s="28">
        <v>-11426</v>
      </c>
    </row>
    <row r="22" spans="1:10" x14ac:dyDescent="0.25">
      <c r="A22" s="27"/>
      <c r="B22" s="27"/>
      <c r="C22" s="27"/>
      <c r="D22" s="27"/>
      <c r="E22" s="27"/>
      <c r="F22" s="27"/>
      <c r="G22" s="27" t="s">
        <v>73</v>
      </c>
      <c r="H22" s="27"/>
      <c r="I22" s="27"/>
      <c r="J22" s="28">
        <v>-50200</v>
      </c>
    </row>
    <row r="23" spans="1:10" x14ac:dyDescent="0.25">
      <c r="A23" s="27"/>
      <c r="B23" s="27"/>
      <c r="C23" s="27"/>
      <c r="D23" s="27"/>
      <c r="E23" s="27"/>
      <c r="F23" s="27"/>
      <c r="G23" s="27" t="s">
        <v>74</v>
      </c>
      <c r="H23" s="27"/>
      <c r="I23" s="27"/>
      <c r="J23" s="28">
        <v>-106482.85</v>
      </c>
    </row>
    <row r="24" spans="1:10" x14ac:dyDescent="0.25">
      <c r="A24" s="27"/>
      <c r="B24" s="27"/>
      <c r="C24" s="27"/>
      <c r="D24" s="27"/>
      <c r="E24" s="27"/>
      <c r="F24" s="27"/>
      <c r="G24" s="27" t="s">
        <v>75</v>
      </c>
      <c r="H24" s="27"/>
      <c r="I24" s="27"/>
      <c r="J24" s="28">
        <v>-3075</v>
      </c>
    </row>
    <row r="25" spans="1:10" x14ac:dyDescent="0.25">
      <c r="A25" s="27"/>
      <c r="B25" s="27"/>
      <c r="C25" s="27"/>
      <c r="D25" s="27"/>
      <c r="E25" s="27"/>
      <c r="F25" s="27"/>
      <c r="G25" s="27" t="s">
        <v>76</v>
      </c>
      <c r="H25" s="27"/>
      <c r="I25" s="27"/>
      <c r="J25" s="28">
        <v>-3000</v>
      </c>
    </row>
    <row r="26" spans="1:10" x14ac:dyDescent="0.25">
      <c r="A26" s="27"/>
      <c r="B26" s="27"/>
      <c r="C26" s="27"/>
      <c r="D26" s="27"/>
      <c r="E26" s="27"/>
      <c r="F26" s="27"/>
      <c r="G26" s="27" t="s">
        <v>77</v>
      </c>
      <c r="H26" s="27"/>
      <c r="I26" s="27"/>
      <c r="J26" s="28">
        <v>-4159</v>
      </c>
    </row>
    <row r="27" spans="1:10" x14ac:dyDescent="0.25">
      <c r="A27" s="27"/>
      <c r="B27" s="27"/>
      <c r="C27" s="27"/>
      <c r="D27" s="27"/>
      <c r="E27" s="27"/>
      <c r="F27" s="27"/>
      <c r="G27" s="27" t="s">
        <v>78</v>
      </c>
      <c r="H27" s="27"/>
      <c r="I27" s="27"/>
      <c r="J27" s="28">
        <v>-1423</v>
      </c>
    </row>
    <row r="28" spans="1:10" x14ac:dyDescent="0.25">
      <c r="A28" s="27"/>
      <c r="B28" s="27"/>
      <c r="C28" s="27"/>
      <c r="D28" s="27"/>
      <c r="E28" s="27"/>
      <c r="F28" s="27"/>
      <c r="G28" s="27" t="s">
        <v>79</v>
      </c>
      <c r="H28" s="27"/>
      <c r="I28" s="27"/>
      <c r="J28" s="28">
        <v>-250218.04</v>
      </c>
    </row>
    <row r="29" spans="1:10" ht="15.75" thickBot="1" x14ac:dyDescent="0.3">
      <c r="A29" s="27"/>
      <c r="B29" s="27"/>
      <c r="C29" s="27"/>
      <c r="D29" s="27"/>
      <c r="E29" s="27"/>
      <c r="F29" s="27"/>
      <c r="G29" s="27" t="s">
        <v>80</v>
      </c>
      <c r="H29" s="27"/>
      <c r="I29" s="27"/>
      <c r="J29" s="30">
        <v>-145</v>
      </c>
    </row>
    <row r="30" spans="1:10" ht="15.75" thickBot="1" x14ac:dyDescent="0.3">
      <c r="A30" s="27"/>
      <c r="B30" s="27"/>
      <c r="C30" s="27"/>
      <c r="D30" s="27"/>
      <c r="E30" s="27"/>
      <c r="F30" s="27" t="s">
        <v>81</v>
      </c>
      <c r="G30" s="27"/>
      <c r="H30" s="27"/>
      <c r="I30" s="27"/>
      <c r="J30" s="33">
        <f>ROUND(SUM(J11:J29),5)</f>
        <v>-697626.39</v>
      </c>
    </row>
    <row r="31" spans="1:10" x14ac:dyDescent="0.25">
      <c r="A31" s="27"/>
      <c r="B31" s="27"/>
      <c r="C31" s="27"/>
      <c r="D31" s="27"/>
      <c r="E31" s="27" t="s">
        <v>82</v>
      </c>
      <c r="F31" s="27"/>
      <c r="G31" s="27"/>
      <c r="H31" s="27"/>
      <c r="I31" s="27"/>
      <c r="J31" s="28">
        <f>ROUND(SUM(J4:J10)+J30,5)</f>
        <v>159602467.71000001</v>
      </c>
    </row>
    <row r="32" spans="1:10" x14ac:dyDescent="0.25">
      <c r="A32" s="27"/>
      <c r="B32" s="27"/>
      <c r="C32" s="27"/>
      <c r="D32" s="27"/>
      <c r="E32" s="27" t="s">
        <v>83</v>
      </c>
      <c r="F32" s="27"/>
      <c r="G32" s="27"/>
      <c r="H32" s="27"/>
      <c r="I32" s="27"/>
      <c r="J32" s="28"/>
    </row>
    <row r="33" spans="1:10" x14ac:dyDescent="0.25">
      <c r="A33" s="27"/>
      <c r="B33" s="27"/>
      <c r="C33" s="27"/>
      <c r="D33" s="27"/>
      <c r="E33" s="27"/>
      <c r="F33" s="27" t="s">
        <v>84</v>
      </c>
      <c r="G33" s="27"/>
      <c r="H33" s="27"/>
      <c r="I33" s="27"/>
      <c r="J33" s="28">
        <v>76780500</v>
      </c>
    </row>
    <row r="34" spans="1:10" x14ac:dyDescent="0.25">
      <c r="A34" s="27"/>
      <c r="B34" s="27"/>
      <c r="C34" s="27"/>
      <c r="D34" s="27"/>
      <c r="E34" s="27"/>
      <c r="F34" s="27" t="s">
        <v>85</v>
      </c>
      <c r="G34" s="27"/>
      <c r="H34" s="27"/>
      <c r="I34" s="27"/>
      <c r="J34" s="28">
        <v>1164168.46</v>
      </c>
    </row>
    <row r="35" spans="1:10" ht="15.75" thickBot="1" x14ac:dyDescent="0.3">
      <c r="A35" s="27"/>
      <c r="B35" s="27"/>
      <c r="C35" s="27"/>
      <c r="D35" s="27"/>
      <c r="E35" s="27"/>
      <c r="F35" s="27" t="s">
        <v>86</v>
      </c>
      <c r="G35" s="27"/>
      <c r="H35" s="27"/>
      <c r="I35" s="27"/>
      <c r="J35" s="30">
        <v>600000</v>
      </c>
    </row>
    <row r="36" spans="1:10" ht="15.75" thickBot="1" x14ac:dyDescent="0.3">
      <c r="A36" s="27"/>
      <c r="B36" s="27"/>
      <c r="C36" s="27"/>
      <c r="D36" s="27"/>
      <c r="E36" s="27" t="s">
        <v>87</v>
      </c>
      <c r="F36" s="27"/>
      <c r="G36" s="27"/>
      <c r="H36" s="27"/>
      <c r="I36" s="27"/>
      <c r="J36" s="33">
        <f>ROUND(SUM(J32:J35),5)</f>
        <v>78544668.459999993</v>
      </c>
    </row>
    <row r="37" spans="1:10" x14ac:dyDescent="0.25">
      <c r="A37" s="27"/>
      <c r="B37" s="27"/>
      <c r="C37" s="27"/>
      <c r="D37" s="27" t="s">
        <v>88</v>
      </c>
      <c r="E37" s="27"/>
      <c r="F37" s="27"/>
      <c r="G37" s="27"/>
      <c r="H37" s="27"/>
      <c r="I37" s="27"/>
      <c r="J37" s="28">
        <f>ROUND(J3+J31+J36,5)</f>
        <v>238147136.16999999</v>
      </c>
    </row>
    <row r="38" spans="1:10" x14ac:dyDescent="0.25">
      <c r="A38" s="27"/>
      <c r="B38" s="27"/>
      <c r="C38" s="27"/>
      <c r="D38" s="27" t="s">
        <v>89</v>
      </c>
      <c r="E38" s="27"/>
      <c r="F38" s="27"/>
      <c r="G38" s="27"/>
      <c r="H38" s="27"/>
      <c r="I38" s="27"/>
      <c r="J38" s="28"/>
    </row>
    <row r="39" spans="1:10" x14ac:dyDescent="0.25">
      <c r="A39" s="27"/>
      <c r="B39" s="27"/>
      <c r="C39" s="27"/>
      <c r="D39" s="27"/>
      <c r="E39" s="27" t="s">
        <v>90</v>
      </c>
      <c r="F39" s="27"/>
      <c r="G39" s="27"/>
      <c r="H39" s="27"/>
      <c r="I39" s="27"/>
      <c r="J39" s="28"/>
    </row>
    <row r="40" spans="1:10" x14ac:dyDescent="0.25">
      <c r="A40" s="27"/>
      <c r="B40" s="27"/>
      <c r="C40" s="27"/>
      <c r="D40" s="27"/>
      <c r="E40" s="27"/>
      <c r="F40" s="27" t="s">
        <v>91</v>
      </c>
      <c r="G40" s="27"/>
      <c r="H40" s="27"/>
      <c r="I40" s="27"/>
      <c r="J40" s="28"/>
    </row>
    <row r="41" spans="1:10" x14ac:dyDescent="0.25">
      <c r="A41" s="27"/>
      <c r="B41" s="27"/>
      <c r="C41" s="27"/>
      <c r="D41" s="27"/>
      <c r="E41" s="27"/>
      <c r="F41" s="27"/>
      <c r="G41" s="27" t="s">
        <v>92</v>
      </c>
      <c r="H41" s="27"/>
      <c r="I41" s="27"/>
      <c r="J41" s="28">
        <v>1429571.05</v>
      </c>
    </row>
    <row r="42" spans="1:10" ht="15.75" thickBot="1" x14ac:dyDescent="0.3">
      <c r="A42" s="27"/>
      <c r="B42" s="27"/>
      <c r="C42" s="27"/>
      <c r="D42" s="27"/>
      <c r="E42" s="27"/>
      <c r="F42" s="27"/>
      <c r="G42" s="27" t="s">
        <v>93</v>
      </c>
      <c r="H42" s="27"/>
      <c r="I42" s="27"/>
      <c r="J42" s="29">
        <v>2878381.5</v>
      </c>
    </row>
    <row r="43" spans="1:10" x14ac:dyDescent="0.25">
      <c r="A43" s="27"/>
      <c r="B43" s="27"/>
      <c r="C43" s="27"/>
      <c r="D43" s="27"/>
      <c r="E43" s="27"/>
      <c r="F43" s="27" t="s">
        <v>94</v>
      </c>
      <c r="G43" s="27"/>
      <c r="H43" s="27"/>
      <c r="I43" s="27"/>
      <c r="J43" s="28">
        <f>ROUND(SUM(J40:J42),5)</f>
        <v>4307952.55</v>
      </c>
    </row>
    <row r="44" spans="1:10" x14ac:dyDescent="0.25">
      <c r="A44" s="27"/>
      <c r="B44" s="27"/>
      <c r="C44" s="27"/>
      <c r="D44" s="27"/>
      <c r="E44" s="27"/>
      <c r="F44" s="27" t="s">
        <v>95</v>
      </c>
      <c r="G44" s="27"/>
      <c r="H44" s="27"/>
      <c r="I44" s="27"/>
      <c r="J44" s="28"/>
    </row>
    <row r="45" spans="1:10" x14ac:dyDescent="0.25">
      <c r="A45" s="27"/>
      <c r="B45" s="27"/>
      <c r="C45" s="27"/>
      <c r="D45" s="27"/>
      <c r="E45" s="27"/>
      <c r="F45" s="27"/>
      <c r="G45" s="27" t="s">
        <v>96</v>
      </c>
      <c r="H45" s="27"/>
      <c r="I45" s="27"/>
      <c r="J45" s="28">
        <v>-1670657</v>
      </c>
    </row>
    <row r="46" spans="1:10" ht="15.75" thickBot="1" x14ac:dyDescent="0.3">
      <c r="A46" s="27"/>
      <c r="B46" s="27"/>
      <c r="C46" s="27"/>
      <c r="D46" s="27"/>
      <c r="E46" s="27"/>
      <c r="F46" s="27"/>
      <c r="G46" s="27" t="s">
        <v>97</v>
      </c>
      <c r="H46" s="27"/>
      <c r="I46" s="27"/>
      <c r="J46" s="29">
        <v>-2564740.5</v>
      </c>
    </row>
    <row r="47" spans="1:10" x14ac:dyDescent="0.25">
      <c r="A47" s="27"/>
      <c r="B47" s="27"/>
      <c r="C47" s="27"/>
      <c r="D47" s="27"/>
      <c r="E47" s="27"/>
      <c r="F47" s="27" t="s">
        <v>98</v>
      </c>
      <c r="G47" s="27"/>
      <c r="H47" s="27"/>
      <c r="I47" s="27"/>
      <c r="J47" s="28">
        <f>ROUND(SUM(J44:J46),5)</f>
        <v>-4235397.5</v>
      </c>
    </row>
    <row r="48" spans="1:10" x14ac:dyDescent="0.25">
      <c r="A48" s="27"/>
      <c r="B48" s="27"/>
      <c r="C48" s="27"/>
      <c r="D48" s="27"/>
      <c r="E48" s="27"/>
      <c r="F48" s="27" t="s">
        <v>99</v>
      </c>
      <c r="G48" s="27"/>
      <c r="H48" s="27"/>
      <c r="I48" s="27"/>
      <c r="J48" s="28"/>
    </row>
    <row r="49" spans="1:10" x14ac:dyDescent="0.25">
      <c r="A49" s="27"/>
      <c r="B49" s="27"/>
      <c r="C49" s="27"/>
      <c r="D49" s="27"/>
      <c r="E49" s="27"/>
      <c r="F49" s="27"/>
      <c r="G49" s="27" t="s">
        <v>100</v>
      </c>
      <c r="H49" s="27"/>
      <c r="I49" s="27"/>
      <c r="J49" s="28">
        <v>42414225.689999998</v>
      </c>
    </row>
    <row r="50" spans="1:10" x14ac:dyDescent="0.25">
      <c r="A50" s="27"/>
      <c r="B50" s="27"/>
      <c r="C50" s="27"/>
      <c r="D50" s="27"/>
      <c r="E50" s="27"/>
      <c r="F50" s="27"/>
      <c r="G50" s="27" t="s">
        <v>101</v>
      </c>
      <c r="H50" s="27"/>
      <c r="I50" s="27"/>
      <c r="J50" s="28">
        <v>1456844.65</v>
      </c>
    </row>
    <row r="51" spans="1:10" x14ac:dyDescent="0.25">
      <c r="A51" s="27"/>
      <c r="B51" s="27"/>
      <c r="C51" s="27"/>
      <c r="D51" s="27"/>
      <c r="E51" s="27"/>
      <c r="F51" s="27"/>
      <c r="G51" s="27" t="s">
        <v>102</v>
      </c>
      <c r="H51" s="27"/>
      <c r="I51" s="27"/>
      <c r="J51" s="28">
        <v>115100</v>
      </c>
    </row>
    <row r="52" spans="1:10" x14ac:dyDescent="0.25">
      <c r="A52" s="27"/>
      <c r="B52" s="27"/>
      <c r="C52" s="27"/>
      <c r="D52" s="27"/>
      <c r="E52" s="27"/>
      <c r="F52" s="27"/>
      <c r="G52" s="27" t="s">
        <v>103</v>
      </c>
      <c r="H52" s="27"/>
      <c r="I52" s="27"/>
      <c r="J52" s="28">
        <v>4888329.43</v>
      </c>
    </row>
    <row r="53" spans="1:10" ht="15.75" thickBot="1" x14ac:dyDescent="0.3">
      <c r="A53" s="27"/>
      <c r="B53" s="27"/>
      <c r="C53" s="27"/>
      <c r="D53" s="27"/>
      <c r="E53" s="27"/>
      <c r="F53" s="27"/>
      <c r="G53" s="27" t="s">
        <v>104</v>
      </c>
      <c r="H53" s="27"/>
      <c r="I53" s="27"/>
      <c r="J53" s="29">
        <v>55269.3</v>
      </c>
    </row>
    <row r="54" spans="1:10" x14ac:dyDescent="0.25">
      <c r="A54" s="27"/>
      <c r="B54" s="27"/>
      <c r="C54" s="27"/>
      <c r="D54" s="27"/>
      <c r="E54" s="27"/>
      <c r="F54" s="27" t="s">
        <v>105</v>
      </c>
      <c r="G54" s="27"/>
      <c r="H54" s="27"/>
      <c r="I54" s="27"/>
      <c r="J54" s="28">
        <f>ROUND(SUM(J48:J53),5)</f>
        <v>48929769.07</v>
      </c>
    </row>
    <row r="55" spans="1:10" x14ac:dyDescent="0.25">
      <c r="A55" s="27"/>
      <c r="B55" s="27"/>
      <c r="C55" s="27"/>
      <c r="D55" s="27"/>
      <c r="E55" s="27"/>
      <c r="F55" s="27" t="s">
        <v>106</v>
      </c>
      <c r="G55" s="27"/>
      <c r="H55" s="27"/>
      <c r="I55" s="27"/>
      <c r="J55" s="28"/>
    </row>
    <row r="56" spans="1:10" x14ac:dyDescent="0.25">
      <c r="A56" s="27"/>
      <c r="B56" s="27"/>
      <c r="C56" s="27"/>
      <c r="D56" s="27"/>
      <c r="E56" s="27"/>
      <c r="F56" s="27"/>
      <c r="G56" s="27" t="s">
        <v>107</v>
      </c>
      <c r="H56" s="27"/>
      <c r="I56" s="27"/>
      <c r="J56" s="28"/>
    </row>
    <row r="57" spans="1:10" x14ac:dyDescent="0.25">
      <c r="A57" s="27"/>
      <c r="B57" s="27"/>
      <c r="C57" s="27"/>
      <c r="D57" s="27"/>
      <c r="E57" s="27"/>
      <c r="F57" s="27"/>
      <c r="G57" s="27"/>
      <c r="H57" s="27" t="s">
        <v>108</v>
      </c>
      <c r="I57" s="27"/>
      <c r="J57" s="28">
        <v>354500</v>
      </c>
    </row>
    <row r="58" spans="1:10" x14ac:dyDescent="0.25">
      <c r="A58" s="27"/>
      <c r="B58" s="27"/>
      <c r="C58" s="27"/>
      <c r="D58" s="27"/>
      <c r="E58" s="27"/>
      <c r="F58" s="27"/>
      <c r="G58" s="27"/>
      <c r="H58" s="27" t="s">
        <v>109</v>
      </c>
      <c r="I58" s="27"/>
      <c r="J58" s="28">
        <v>82848.25</v>
      </c>
    </row>
    <row r="59" spans="1:10" x14ac:dyDescent="0.25">
      <c r="A59" s="27"/>
      <c r="B59" s="27"/>
      <c r="C59" s="27"/>
      <c r="D59" s="27"/>
      <c r="E59" s="27"/>
      <c r="F59" s="27"/>
      <c r="G59" s="27"/>
      <c r="H59" s="27" t="s">
        <v>110</v>
      </c>
      <c r="I59" s="27"/>
      <c r="J59" s="28">
        <v>32590</v>
      </c>
    </row>
    <row r="60" spans="1:10" x14ac:dyDescent="0.25">
      <c r="A60" s="27"/>
      <c r="B60" s="27"/>
      <c r="C60" s="27"/>
      <c r="D60" s="27"/>
      <c r="E60" s="27"/>
      <c r="F60" s="27"/>
      <c r="G60" s="27"/>
      <c r="H60" s="27" t="s">
        <v>111</v>
      </c>
      <c r="I60" s="27"/>
      <c r="J60" s="28">
        <v>37241</v>
      </c>
    </row>
    <row r="61" spans="1:10" x14ac:dyDescent="0.25">
      <c r="A61" s="27"/>
      <c r="B61" s="27"/>
      <c r="C61" s="27"/>
      <c r="D61" s="27"/>
      <c r="E61" s="27"/>
      <c r="F61" s="27"/>
      <c r="G61" s="27"/>
      <c r="H61" s="27" t="s">
        <v>112</v>
      </c>
      <c r="I61" s="27"/>
      <c r="J61" s="28">
        <v>44900</v>
      </c>
    </row>
    <row r="62" spans="1:10" x14ac:dyDescent="0.25">
      <c r="A62" s="27"/>
      <c r="B62" s="27"/>
      <c r="C62" s="27"/>
      <c r="D62" s="27"/>
      <c r="E62" s="27"/>
      <c r="F62" s="27"/>
      <c r="G62" s="27"/>
      <c r="H62" s="27" t="s">
        <v>113</v>
      </c>
      <c r="I62" s="27"/>
      <c r="J62" s="28">
        <v>240</v>
      </c>
    </row>
    <row r="63" spans="1:10" x14ac:dyDescent="0.25">
      <c r="A63" s="27"/>
      <c r="B63" s="27"/>
      <c r="C63" s="27"/>
      <c r="D63" s="27"/>
      <c r="E63" s="27"/>
      <c r="F63" s="27"/>
      <c r="G63" s="27"/>
      <c r="H63" s="27" t="s">
        <v>114</v>
      </c>
      <c r="I63" s="27"/>
      <c r="J63" s="28">
        <v>16219</v>
      </c>
    </row>
    <row r="64" spans="1:10" x14ac:dyDescent="0.25">
      <c r="A64" s="27"/>
      <c r="B64" s="27"/>
      <c r="C64" s="27"/>
      <c r="D64" s="27"/>
      <c r="E64" s="27"/>
      <c r="F64" s="27"/>
      <c r="G64" s="27"/>
      <c r="H64" s="27" t="s">
        <v>115</v>
      </c>
      <c r="I64" s="27"/>
      <c r="J64" s="28">
        <v>47500</v>
      </c>
    </row>
    <row r="65" spans="1:10" x14ac:dyDescent="0.25">
      <c r="A65" s="27"/>
      <c r="B65" s="27"/>
      <c r="C65" s="27"/>
      <c r="D65" s="27"/>
      <c r="E65" s="27"/>
      <c r="F65" s="27"/>
      <c r="G65" s="27"/>
      <c r="H65" s="27" t="s">
        <v>116</v>
      </c>
      <c r="I65" s="27"/>
      <c r="J65" s="28">
        <v>656207</v>
      </c>
    </row>
    <row r="66" spans="1:10" ht="15.75" thickBot="1" x14ac:dyDescent="0.3">
      <c r="A66" s="27"/>
      <c r="B66" s="27"/>
      <c r="C66" s="27"/>
      <c r="D66" s="27"/>
      <c r="E66" s="27"/>
      <c r="F66" s="27"/>
      <c r="G66" s="27"/>
      <c r="H66" s="27" t="s">
        <v>117</v>
      </c>
      <c r="I66" s="27"/>
      <c r="J66" s="29">
        <v>3022677.76</v>
      </c>
    </row>
    <row r="67" spans="1:10" x14ac:dyDescent="0.25">
      <c r="A67" s="27"/>
      <c r="B67" s="27"/>
      <c r="C67" s="27"/>
      <c r="D67" s="27"/>
      <c r="E67" s="27"/>
      <c r="F67" s="27"/>
      <c r="G67" s="27" t="s">
        <v>118</v>
      </c>
      <c r="H67" s="27"/>
      <c r="I67" s="27"/>
      <c r="J67" s="28">
        <f>ROUND(SUM(J56:J66),5)</f>
        <v>4294923.01</v>
      </c>
    </row>
    <row r="68" spans="1:10" x14ac:dyDescent="0.25">
      <c r="A68" s="27"/>
      <c r="B68" s="27"/>
      <c r="C68" s="27"/>
      <c r="D68" s="27"/>
      <c r="E68" s="27"/>
      <c r="F68" s="27"/>
      <c r="G68" s="27" t="s">
        <v>119</v>
      </c>
      <c r="H68" s="27"/>
      <c r="I68" s="27"/>
      <c r="J68" s="28">
        <v>1916115.16</v>
      </c>
    </row>
    <row r="69" spans="1:10" ht="15.75" thickBot="1" x14ac:dyDescent="0.3">
      <c r="A69" s="27"/>
      <c r="B69" s="27"/>
      <c r="C69" s="27"/>
      <c r="D69" s="27"/>
      <c r="E69" s="27"/>
      <c r="F69" s="27"/>
      <c r="G69" s="27" t="s">
        <v>120</v>
      </c>
      <c r="H69" s="27"/>
      <c r="I69" s="27"/>
      <c r="J69" s="29">
        <v>14694.59</v>
      </c>
    </row>
    <row r="70" spans="1:10" x14ac:dyDescent="0.25">
      <c r="A70" s="27"/>
      <c r="B70" s="27"/>
      <c r="C70" s="27"/>
      <c r="D70" s="27"/>
      <c r="E70" s="27"/>
      <c r="F70" s="27" t="s">
        <v>121</v>
      </c>
      <c r="G70" s="27"/>
      <c r="H70" s="27"/>
      <c r="I70" s="27"/>
      <c r="J70" s="28">
        <f>ROUND(J55+SUM(J67:J69),5)</f>
        <v>6225732.7599999998</v>
      </c>
    </row>
    <row r="71" spans="1:10" x14ac:dyDescent="0.25">
      <c r="A71" s="27"/>
      <c r="B71" s="27"/>
      <c r="C71" s="27"/>
      <c r="D71" s="27"/>
      <c r="E71" s="27"/>
      <c r="F71" s="27" t="s">
        <v>122</v>
      </c>
      <c r="G71" s="27"/>
      <c r="H71" s="27"/>
      <c r="I71" s="27"/>
      <c r="J71" s="28"/>
    </row>
    <row r="72" spans="1:10" x14ac:dyDescent="0.25">
      <c r="A72" s="27"/>
      <c r="B72" s="27"/>
      <c r="C72" s="27"/>
      <c r="D72" s="27"/>
      <c r="E72" s="27"/>
      <c r="F72" s="27"/>
      <c r="G72" s="27" t="s">
        <v>123</v>
      </c>
      <c r="H72" s="27"/>
      <c r="I72" s="27"/>
      <c r="J72" s="28">
        <v>47871322.530000001</v>
      </c>
    </row>
    <row r="73" spans="1:10" x14ac:dyDescent="0.25">
      <c r="A73" s="27"/>
      <c r="B73" s="27"/>
      <c r="C73" s="27"/>
      <c r="D73" s="27"/>
      <c r="E73" s="27"/>
      <c r="F73" s="27"/>
      <c r="G73" s="27" t="s">
        <v>124</v>
      </c>
      <c r="H73" s="27"/>
      <c r="I73" s="27"/>
      <c r="J73" s="28">
        <v>1904647.45</v>
      </c>
    </row>
    <row r="74" spans="1:10" x14ac:dyDescent="0.25">
      <c r="A74" s="27"/>
      <c r="B74" s="27"/>
      <c r="C74" s="27"/>
      <c r="D74" s="27"/>
      <c r="E74" s="27"/>
      <c r="F74" s="27"/>
      <c r="G74" s="27" t="s">
        <v>125</v>
      </c>
      <c r="H74" s="27"/>
      <c r="I74" s="27"/>
      <c r="J74" s="28">
        <v>354537.87</v>
      </c>
    </row>
    <row r="75" spans="1:10" x14ac:dyDescent="0.25">
      <c r="A75" s="27"/>
      <c r="B75" s="27"/>
      <c r="C75" s="27"/>
      <c r="D75" s="27"/>
      <c r="E75" s="27"/>
      <c r="F75" s="27"/>
      <c r="G75" s="27" t="s">
        <v>126</v>
      </c>
      <c r="H75" s="27"/>
      <c r="I75" s="27"/>
      <c r="J75" s="28">
        <v>291912.90000000002</v>
      </c>
    </row>
    <row r="76" spans="1:10" ht="15.75" thickBot="1" x14ac:dyDescent="0.3">
      <c r="A76" s="27"/>
      <c r="B76" s="27"/>
      <c r="C76" s="27"/>
      <c r="D76" s="27"/>
      <c r="E76" s="27"/>
      <c r="F76" s="27"/>
      <c r="G76" s="27" t="s">
        <v>127</v>
      </c>
      <c r="H76" s="27"/>
      <c r="I76" s="27"/>
      <c r="J76" s="29">
        <v>1177493.21</v>
      </c>
    </row>
    <row r="77" spans="1:10" x14ac:dyDescent="0.25">
      <c r="A77" s="27"/>
      <c r="B77" s="27"/>
      <c r="C77" s="27"/>
      <c r="D77" s="27"/>
      <c r="E77" s="27"/>
      <c r="F77" s="27" t="s">
        <v>128</v>
      </c>
      <c r="G77" s="27"/>
      <c r="H77" s="27"/>
      <c r="I77" s="27"/>
      <c r="J77" s="28">
        <f>ROUND(SUM(J71:J76),5)</f>
        <v>51599913.960000001</v>
      </c>
    </row>
    <row r="78" spans="1:10" x14ac:dyDescent="0.25">
      <c r="A78" s="27"/>
      <c r="B78" s="27"/>
      <c r="C78" s="27"/>
      <c r="D78" s="27"/>
      <c r="E78" s="27"/>
      <c r="F78" s="27" t="s">
        <v>129</v>
      </c>
      <c r="G78" s="27"/>
      <c r="H78" s="27"/>
      <c r="I78" s="27"/>
      <c r="J78" s="28"/>
    </row>
    <row r="79" spans="1:10" x14ac:dyDescent="0.25">
      <c r="A79" s="27"/>
      <c r="B79" s="27"/>
      <c r="C79" s="27"/>
      <c r="D79" s="27"/>
      <c r="E79" s="27"/>
      <c r="F79" s="27"/>
      <c r="G79" s="27" t="s">
        <v>130</v>
      </c>
      <c r="H79" s="27"/>
      <c r="I79" s="27"/>
      <c r="J79" s="28">
        <v>3892458.5</v>
      </c>
    </row>
    <row r="80" spans="1:10" x14ac:dyDescent="0.25">
      <c r="A80" s="27"/>
      <c r="B80" s="27"/>
      <c r="C80" s="27"/>
      <c r="D80" s="27"/>
      <c r="E80" s="27"/>
      <c r="F80" s="27"/>
      <c r="G80" s="27" t="s">
        <v>131</v>
      </c>
      <c r="H80" s="27"/>
      <c r="I80" s="27"/>
      <c r="J80" s="28">
        <v>467095.02</v>
      </c>
    </row>
    <row r="81" spans="1:11" x14ac:dyDescent="0.25">
      <c r="A81" s="27"/>
      <c r="B81" s="27"/>
      <c r="C81" s="27"/>
      <c r="D81" s="27"/>
      <c r="E81" s="27"/>
      <c r="F81" s="27"/>
      <c r="G81" s="27" t="s">
        <v>132</v>
      </c>
      <c r="H81" s="27"/>
      <c r="I81" s="27"/>
      <c r="J81" s="28">
        <v>116773.75999999999</v>
      </c>
    </row>
    <row r="82" spans="1:11" x14ac:dyDescent="0.25">
      <c r="A82" s="27"/>
      <c r="B82" s="27"/>
      <c r="C82" s="27"/>
      <c r="D82" s="27"/>
      <c r="E82" s="27"/>
      <c r="F82" s="27"/>
      <c r="G82" s="27" t="s">
        <v>133</v>
      </c>
      <c r="H82" s="27"/>
      <c r="I82" s="27"/>
      <c r="J82" s="28">
        <v>954408.71</v>
      </c>
    </row>
    <row r="83" spans="1:11" x14ac:dyDescent="0.25">
      <c r="A83" s="27"/>
      <c r="B83" s="27"/>
      <c r="C83" s="27"/>
      <c r="D83" s="27"/>
      <c r="E83" s="27"/>
      <c r="F83" s="27"/>
      <c r="G83" s="27" t="s">
        <v>134</v>
      </c>
      <c r="H83" s="27"/>
      <c r="I83" s="27"/>
      <c r="J83" s="28">
        <v>1132776.42</v>
      </c>
    </row>
    <row r="84" spans="1:11" ht="15.75" thickBot="1" x14ac:dyDescent="0.3">
      <c r="A84" s="27"/>
      <c r="B84" s="27"/>
      <c r="C84" s="27"/>
      <c r="D84" s="27"/>
      <c r="E84" s="27"/>
      <c r="F84" s="27"/>
      <c r="G84" s="27" t="s">
        <v>135</v>
      </c>
      <c r="H84" s="27"/>
      <c r="I84" s="27"/>
      <c r="J84" s="29">
        <v>1117078.06</v>
      </c>
    </row>
    <row r="85" spans="1:11" x14ac:dyDescent="0.25">
      <c r="A85" s="27"/>
      <c r="B85" s="27"/>
      <c r="C85" s="27"/>
      <c r="D85" s="27"/>
      <c r="E85" s="27"/>
      <c r="F85" s="27" t="s">
        <v>136</v>
      </c>
      <c r="G85" s="27"/>
      <c r="H85" s="27"/>
      <c r="I85" s="27"/>
      <c r="J85" s="28">
        <f>ROUND(SUM(J78:J84),5)</f>
        <v>7680590.4699999997</v>
      </c>
      <c r="K85" s="71"/>
    </row>
    <row r="86" spans="1:11" x14ac:dyDescent="0.25">
      <c r="A86" s="27"/>
      <c r="B86" s="27"/>
      <c r="C86" s="27"/>
      <c r="D86" s="27"/>
      <c r="E86" s="27"/>
      <c r="F86" s="27" t="s">
        <v>137</v>
      </c>
      <c r="G86" s="27"/>
      <c r="H86" s="27"/>
      <c r="I86" s="27"/>
      <c r="J86" s="28"/>
    </row>
    <row r="87" spans="1:11" x14ac:dyDescent="0.25">
      <c r="A87" s="27"/>
      <c r="B87" s="27"/>
      <c r="C87" s="27"/>
      <c r="D87" s="27"/>
      <c r="E87" s="27"/>
      <c r="F87" s="27"/>
      <c r="G87" s="27" t="s">
        <v>138</v>
      </c>
      <c r="H87" s="27"/>
      <c r="I87" s="27"/>
      <c r="J87" s="28">
        <v>148150</v>
      </c>
    </row>
    <row r="88" spans="1:11" x14ac:dyDescent="0.25">
      <c r="A88" s="27"/>
      <c r="B88" s="27"/>
      <c r="C88" s="27"/>
      <c r="D88" s="27"/>
      <c r="E88" s="27"/>
      <c r="F88" s="27"/>
      <c r="G88" s="27" t="s">
        <v>139</v>
      </c>
      <c r="H88" s="27"/>
      <c r="I88" s="27"/>
      <c r="J88" s="28">
        <v>13881</v>
      </c>
    </row>
    <row r="89" spans="1:11" x14ac:dyDescent="0.25">
      <c r="A89" s="27"/>
      <c r="B89" s="27"/>
      <c r="C89" s="27"/>
      <c r="D89" s="27"/>
      <c r="E89" s="27"/>
      <c r="F89" s="27"/>
      <c r="G89" s="27" t="s">
        <v>140</v>
      </c>
      <c r="H89" s="27"/>
      <c r="I89" s="27"/>
      <c r="J89" s="28">
        <v>10270</v>
      </c>
    </row>
    <row r="90" spans="1:11" x14ac:dyDescent="0.25">
      <c r="A90" s="27"/>
      <c r="B90" s="27"/>
      <c r="C90" s="27"/>
      <c r="D90" s="27"/>
      <c r="E90" s="27"/>
      <c r="F90" s="27"/>
      <c r="G90" s="27" t="s">
        <v>141</v>
      </c>
      <c r="H90" s="27"/>
      <c r="I90" s="27"/>
      <c r="J90" s="28">
        <v>27780</v>
      </c>
    </row>
    <row r="91" spans="1:11" x14ac:dyDescent="0.25">
      <c r="A91" s="27"/>
      <c r="B91" s="27"/>
      <c r="C91" s="27"/>
      <c r="D91" s="27"/>
      <c r="E91" s="27"/>
      <c r="F91" s="27"/>
      <c r="G91" s="27" t="s">
        <v>142</v>
      </c>
      <c r="H91" s="27"/>
      <c r="I91" s="27"/>
      <c r="J91" s="28">
        <v>2800</v>
      </c>
    </row>
    <row r="92" spans="1:11" ht="15.75" thickBot="1" x14ac:dyDescent="0.3">
      <c r="A92" s="27"/>
      <c r="B92" s="27"/>
      <c r="C92" s="27"/>
      <c r="D92" s="27"/>
      <c r="E92" s="27"/>
      <c r="F92" s="27"/>
      <c r="G92" s="27" t="s">
        <v>143</v>
      </c>
      <c r="H92" s="27"/>
      <c r="I92" s="27"/>
      <c r="J92" s="30">
        <v>5800</v>
      </c>
    </row>
    <row r="93" spans="1:11" ht="15.75" thickBot="1" x14ac:dyDescent="0.3">
      <c r="A93" s="27"/>
      <c r="B93" s="27"/>
      <c r="C93" s="27"/>
      <c r="D93" s="27"/>
      <c r="E93" s="27"/>
      <c r="F93" s="27" t="s">
        <v>144</v>
      </c>
      <c r="G93" s="27"/>
      <c r="H93" s="27"/>
      <c r="I93" s="27"/>
      <c r="J93" s="34">
        <f>ROUND(SUM(J86:J92),5)</f>
        <v>208681</v>
      </c>
    </row>
    <row r="94" spans="1:11" ht="15.75" thickBot="1" x14ac:dyDescent="0.3">
      <c r="A94" s="27"/>
      <c r="B94" s="27"/>
      <c r="C94" s="27"/>
      <c r="D94" s="27"/>
      <c r="E94" s="27" t="s">
        <v>145</v>
      </c>
      <c r="F94" s="27"/>
      <c r="G94" s="27"/>
      <c r="H94" s="27"/>
      <c r="I94" s="27"/>
      <c r="J94" s="34">
        <f>ROUND(J39+J43+J47+J54+J70+J77+J85+J93,5)</f>
        <v>114717242.31</v>
      </c>
    </row>
    <row r="95" spans="1:11" ht="15.75" thickBot="1" x14ac:dyDescent="0.3">
      <c r="A95" s="27"/>
      <c r="B95" s="27"/>
      <c r="C95" s="27"/>
      <c r="D95" s="27" t="s">
        <v>146</v>
      </c>
      <c r="E95" s="27"/>
      <c r="F95" s="27"/>
      <c r="G95" s="27"/>
      <c r="H95" s="27"/>
      <c r="I95" s="27"/>
      <c r="J95" s="33">
        <f>ROUND(J38+J94,5)</f>
        <v>114717242.31</v>
      </c>
    </row>
    <row r="96" spans="1:11" x14ac:dyDescent="0.25">
      <c r="A96" s="27"/>
      <c r="B96" s="27"/>
      <c r="C96" s="27" t="s">
        <v>147</v>
      </c>
      <c r="D96" s="27"/>
      <c r="E96" s="27"/>
      <c r="F96" s="27"/>
      <c r="G96" s="27"/>
      <c r="H96" s="27"/>
      <c r="I96" s="27"/>
      <c r="J96" s="28">
        <f>ROUND(J37-J95,5)</f>
        <v>123429893.86</v>
      </c>
    </row>
    <row r="97" spans="1:11" x14ac:dyDescent="0.25">
      <c r="A97" s="27"/>
      <c r="B97" s="27"/>
      <c r="C97" s="27"/>
      <c r="D97" s="27" t="s">
        <v>148</v>
      </c>
      <c r="E97" s="27"/>
      <c r="F97" s="27"/>
      <c r="G97" s="27"/>
      <c r="H97" s="27"/>
      <c r="I97" s="27"/>
      <c r="J97" s="28"/>
    </row>
    <row r="98" spans="1:11" x14ac:dyDescent="0.25">
      <c r="A98" s="27"/>
      <c r="B98" s="27"/>
      <c r="C98" s="27"/>
      <c r="D98" s="27"/>
      <c r="E98" s="27" t="s">
        <v>149</v>
      </c>
      <c r="F98" s="27"/>
      <c r="G98" s="27"/>
      <c r="H98" s="27"/>
      <c r="I98" s="27"/>
      <c r="J98" s="28"/>
    </row>
    <row r="99" spans="1:11" x14ac:dyDescent="0.25">
      <c r="A99" s="27"/>
      <c r="B99" s="27"/>
      <c r="C99" s="27"/>
      <c r="D99" s="27"/>
      <c r="E99" s="27"/>
      <c r="F99" s="27" t="s">
        <v>150</v>
      </c>
      <c r="G99" s="27"/>
      <c r="H99" s="27"/>
      <c r="I99" s="27"/>
      <c r="J99" s="28"/>
    </row>
    <row r="100" spans="1:11" x14ac:dyDescent="0.25">
      <c r="A100" s="27"/>
      <c r="B100" s="27"/>
      <c r="C100" s="27"/>
      <c r="D100" s="27"/>
      <c r="E100" s="27"/>
      <c r="F100" s="27"/>
      <c r="G100" s="27" t="s">
        <v>151</v>
      </c>
      <c r="H100" s="27"/>
      <c r="I100" s="27"/>
      <c r="J100" s="28"/>
    </row>
    <row r="101" spans="1:11" x14ac:dyDescent="0.25">
      <c r="A101" s="27"/>
      <c r="B101" s="27"/>
      <c r="C101" s="27"/>
      <c r="D101" s="27"/>
      <c r="E101" s="27"/>
      <c r="F101" s="27"/>
      <c r="G101" s="27"/>
      <c r="H101" s="27" t="s">
        <v>152</v>
      </c>
      <c r="I101" s="27"/>
      <c r="J101" s="28">
        <v>92482</v>
      </c>
    </row>
    <row r="102" spans="1:11" x14ac:dyDescent="0.25">
      <c r="A102" s="27"/>
      <c r="B102" s="27"/>
      <c r="C102" s="27"/>
      <c r="D102" s="27"/>
      <c r="E102" s="27"/>
      <c r="F102" s="27"/>
      <c r="G102" s="27"/>
      <c r="H102" s="27" t="s">
        <v>153</v>
      </c>
      <c r="I102" s="27"/>
      <c r="J102" s="28">
        <v>497657.75</v>
      </c>
    </row>
    <row r="103" spans="1:11" x14ac:dyDescent="0.25">
      <c r="A103" s="27"/>
      <c r="B103" s="27"/>
      <c r="C103" s="27"/>
      <c r="D103" s="27"/>
      <c r="E103" s="27"/>
      <c r="F103" s="27"/>
      <c r="G103" s="27"/>
      <c r="H103" s="27" t="s">
        <v>154</v>
      </c>
      <c r="I103" s="27"/>
      <c r="J103" s="28">
        <v>176100</v>
      </c>
      <c r="K103" s="71">
        <f>SUM(J103)</f>
        <v>176100</v>
      </c>
    </row>
    <row r="104" spans="1:11" x14ac:dyDescent="0.25">
      <c r="A104" s="27"/>
      <c r="B104" s="27"/>
      <c r="C104" s="27"/>
      <c r="D104" s="27"/>
      <c r="E104" s="27"/>
      <c r="F104" s="27"/>
      <c r="G104" s="27"/>
      <c r="H104" s="27" t="s">
        <v>155</v>
      </c>
      <c r="I104" s="27"/>
      <c r="J104" s="28">
        <v>657607.77</v>
      </c>
    </row>
    <row r="105" spans="1:11" x14ac:dyDescent="0.25">
      <c r="A105" s="27"/>
      <c r="B105" s="27"/>
      <c r="C105" s="27"/>
      <c r="D105" s="27"/>
      <c r="E105" s="27"/>
      <c r="F105" s="27"/>
      <c r="G105" s="27"/>
      <c r="H105" s="27" t="s">
        <v>156</v>
      </c>
      <c r="I105" s="27"/>
      <c r="J105" s="28">
        <v>15850.8</v>
      </c>
    </row>
    <row r="106" spans="1:11" x14ac:dyDescent="0.25">
      <c r="A106" s="27"/>
      <c r="B106" s="27"/>
      <c r="C106" s="27"/>
      <c r="D106" s="27"/>
      <c r="E106" s="27"/>
      <c r="F106" s="27"/>
      <c r="G106" s="27"/>
      <c r="H106" s="27" t="s">
        <v>157</v>
      </c>
      <c r="I106" s="27"/>
      <c r="J106" s="28"/>
    </row>
    <row r="107" spans="1:11" x14ac:dyDescent="0.25">
      <c r="A107" s="27"/>
      <c r="B107" s="27"/>
      <c r="C107" s="27"/>
      <c r="D107" s="27"/>
      <c r="E107" s="27"/>
      <c r="F107" s="27"/>
      <c r="G107" s="27"/>
      <c r="H107" s="27"/>
      <c r="I107" s="27" t="s">
        <v>158</v>
      </c>
      <c r="J107" s="28">
        <v>50115.5</v>
      </c>
    </row>
    <row r="108" spans="1:11" ht="15.75" thickBot="1" x14ac:dyDescent="0.3">
      <c r="A108" s="27"/>
      <c r="B108" s="27"/>
      <c r="C108" s="27"/>
      <c r="D108" s="27"/>
      <c r="E108" s="27"/>
      <c r="F108" s="27"/>
      <c r="G108" s="27"/>
      <c r="H108" s="27"/>
      <c r="I108" s="27" t="s">
        <v>159</v>
      </c>
      <c r="J108" s="29">
        <v>188611</v>
      </c>
    </row>
    <row r="109" spans="1:11" x14ac:dyDescent="0.25">
      <c r="A109" s="27"/>
      <c r="B109" s="27"/>
      <c r="C109" s="27"/>
      <c r="D109" s="27"/>
      <c r="E109" s="27"/>
      <c r="F109" s="27"/>
      <c r="G109" s="27"/>
      <c r="H109" s="27" t="s">
        <v>160</v>
      </c>
      <c r="I109" s="27"/>
      <c r="J109" s="28">
        <f>ROUND(SUM(J106:J108),5)</f>
        <v>238726.5</v>
      </c>
    </row>
    <row r="110" spans="1:11" x14ac:dyDescent="0.25">
      <c r="A110" s="27"/>
      <c r="B110" s="27"/>
      <c r="C110" s="27"/>
      <c r="D110" s="27"/>
      <c r="E110" s="27"/>
      <c r="F110" s="27"/>
      <c r="G110" s="27"/>
      <c r="H110" s="27" t="s">
        <v>161</v>
      </c>
      <c r="I110" s="27"/>
      <c r="J110" s="28">
        <v>285783</v>
      </c>
    </row>
    <row r="111" spans="1:11" x14ac:dyDescent="0.25">
      <c r="A111" s="27"/>
      <c r="B111" s="27"/>
      <c r="C111" s="27"/>
      <c r="D111" s="27"/>
      <c r="E111" s="27"/>
      <c r="F111" s="27"/>
      <c r="G111" s="27"/>
      <c r="H111" s="27" t="s">
        <v>162</v>
      </c>
      <c r="I111" s="27"/>
      <c r="J111" s="28">
        <v>217393</v>
      </c>
    </row>
    <row r="112" spans="1:11" x14ac:dyDescent="0.25">
      <c r="A112" s="27"/>
      <c r="B112" s="27"/>
      <c r="C112" s="27"/>
      <c r="D112" s="27"/>
      <c r="E112" s="27"/>
      <c r="F112" s="27"/>
      <c r="G112" s="27"/>
      <c r="H112" s="27" t="s">
        <v>163</v>
      </c>
      <c r="I112" s="27"/>
      <c r="J112" s="28"/>
    </row>
    <row r="113" spans="1:10" x14ac:dyDescent="0.25">
      <c r="A113" s="27"/>
      <c r="B113" s="27"/>
      <c r="C113" s="27"/>
      <c r="D113" s="27"/>
      <c r="E113" s="27"/>
      <c r="F113" s="27"/>
      <c r="G113" s="27"/>
      <c r="H113" s="27"/>
      <c r="I113" s="27" t="s">
        <v>164</v>
      </c>
      <c r="J113" s="28">
        <v>118496.87</v>
      </c>
    </row>
    <row r="114" spans="1:10" ht="15.75" thickBot="1" x14ac:dyDescent="0.3">
      <c r="A114" s="27"/>
      <c r="B114" s="27"/>
      <c r="C114" s="27"/>
      <c r="D114" s="27"/>
      <c r="E114" s="27"/>
      <c r="F114" s="27"/>
      <c r="G114" s="27"/>
      <c r="H114" s="27"/>
      <c r="I114" s="27" t="s">
        <v>165</v>
      </c>
      <c r="J114" s="29">
        <v>73387.73</v>
      </c>
    </row>
    <row r="115" spans="1:10" x14ac:dyDescent="0.25">
      <c r="A115" s="27"/>
      <c r="B115" s="27"/>
      <c r="C115" s="27"/>
      <c r="D115" s="27"/>
      <c r="E115" s="27"/>
      <c r="F115" s="27"/>
      <c r="G115" s="27"/>
      <c r="H115" s="27" t="s">
        <v>166</v>
      </c>
      <c r="I115" s="27"/>
      <c r="J115" s="28">
        <f>ROUND(SUM(J112:J114),5)</f>
        <v>191884.6</v>
      </c>
    </row>
    <row r="116" spans="1:10" ht="15.75" thickBot="1" x14ac:dyDescent="0.3">
      <c r="A116" s="27"/>
      <c r="B116" s="27"/>
      <c r="C116" s="27"/>
      <c r="D116" s="27"/>
      <c r="E116" s="27"/>
      <c r="F116" s="27"/>
      <c r="G116" s="27"/>
      <c r="H116" s="27" t="s">
        <v>167</v>
      </c>
      <c r="I116" s="27"/>
      <c r="J116" s="29">
        <v>110205</v>
      </c>
    </row>
    <row r="117" spans="1:10" x14ac:dyDescent="0.25">
      <c r="A117" s="27"/>
      <c r="B117" s="27"/>
      <c r="C117" s="27"/>
      <c r="D117" s="27"/>
      <c r="E117" s="27"/>
      <c r="F117" s="27"/>
      <c r="G117" s="27" t="s">
        <v>168</v>
      </c>
      <c r="H117" s="27"/>
      <c r="I117" s="27"/>
      <c r="J117" s="28">
        <f>ROUND(SUM(J100:J105)+SUM(J109:J111)+SUM(J115:J116),5)</f>
        <v>2483690.42</v>
      </c>
    </row>
    <row r="118" spans="1:10" x14ac:dyDescent="0.25">
      <c r="A118" s="27"/>
      <c r="B118" s="27"/>
      <c r="C118" s="27"/>
      <c r="D118" s="27"/>
      <c r="E118" s="27"/>
      <c r="F118" s="27"/>
      <c r="G118" s="27" t="s">
        <v>169</v>
      </c>
      <c r="H118" s="27"/>
      <c r="I118" s="27"/>
      <c r="J118" s="28"/>
    </row>
    <row r="119" spans="1:10" x14ac:dyDescent="0.25">
      <c r="A119" s="27"/>
      <c r="B119" s="27"/>
      <c r="C119" s="27"/>
      <c r="D119" s="27"/>
      <c r="E119" s="27"/>
      <c r="F119" s="27"/>
      <c r="G119" s="27"/>
      <c r="H119" s="27" t="s">
        <v>170</v>
      </c>
      <c r="I119" s="27"/>
      <c r="J119" s="28">
        <v>2921199.99</v>
      </c>
    </row>
    <row r="120" spans="1:10" x14ac:dyDescent="0.25">
      <c r="A120" s="27"/>
      <c r="B120" s="27"/>
      <c r="C120" s="27"/>
      <c r="D120" s="27"/>
      <c r="E120" s="27"/>
      <c r="F120" s="27"/>
      <c r="G120" s="27"/>
      <c r="H120" s="27" t="s">
        <v>171</v>
      </c>
      <c r="I120" s="27"/>
      <c r="J120" s="28">
        <v>339744</v>
      </c>
    </row>
    <row r="121" spans="1:10" x14ac:dyDescent="0.25">
      <c r="A121" s="27"/>
      <c r="B121" s="27"/>
      <c r="C121" s="27"/>
      <c r="D121" s="27"/>
      <c r="E121" s="27"/>
      <c r="F121" s="27"/>
      <c r="G121" s="27"/>
      <c r="H121" s="27" t="s">
        <v>172</v>
      </c>
      <c r="I121" s="27"/>
      <c r="J121" s="28">
        <v>84906.02</v>
      </c>
    </row>
    <row r="122" spans="1:10" x14ac:dyDescent="0.25">
      <c r="A122" s="27"/>
      <c r="B122" s="27"/>
      <c r="C122" s="27"/>
      <c r="D122" s="27"/>
      <c r="E122" s="27"/>
      <c r="F122" s="27"/>
      <c r="G122" s="27"/>
      <c r="H122" s="27" t="s">
        <v>173</v>
      </c>
      <c r="I122" s="27"/>
      <c r="J122" s="28">
        <v>55000</v>
      </c>
    </row>
    <row r="123" spans="1:10" x14ac:dyDescent="0.25">
      <c r="A123" s="27"/>
      <c r="B123" s="27"/>
      <c r="C123" s="27"/>
      <c r="D123" s="27"/>
      <c r="E123" s="27"/>
      <c r="F123" s="27"/>
      <c r="G123" s="27"/>
      <c r="H123" s="27" t="s">
        <v>174</v>
      </c>
      <c r="I123" s="27"/>
      <c r="J123" s="28">
        <v>393899</v>
      </c>
    </row>
    <row r="124" spans="1:10" x14ac:dyDescent="0.25">
      <c r="A124" s="27"/>
      <c r="B124" s="27"/>
      <c r="C124" s="27"/>
      <c r="D124" s="27"/>
      <c r="E124" s="27"/>
      <c r="F124" s="27"/>
      <c r="G124" s="27"/>
      <c r="H124" s="27" t="s">
        <v>175</v>
      </c>
      <c r="I124" s="27"/>
      <c r="J124" s="28">
        <v>368450</v>
      </c>
    </row>
    <row r="125" spans="1:10" x14ac:dyDescent="0.25">
      <c r="A125" s="27"/>
      <c r="B125" s="27"/>
      <c r="C125" s="27"/>
      <c r="D125" s="27"/>
      <c r="E125" s="27"/>
      <c r="F125" s="27"/>
      <c r="G125" s="27"/>
      <c r="H125" s="27" t="s">
        <v>176</v>
      </c>
      <c r="I125" s="27"/>
      <c r="J125" s="28">
        <v>438000</v>
      </c>
    </row>
    <row r="126" spans="1:10" ht="15.75" thickBot="1" x14ac:dyDescent="0.3">
      <c r="A126" s="27"/>
      <c r="B126" s="27"/>
      <c r="C126" s="27"/>
      <c r="D126" s="27"/>
      <c r="E126" s="27"/>
      <c r="F126" s="27"/>
      <c r="G126" s="27"/>
      <c r="H126" s="27" t="s">
        <v>177</v>
      </c>
      <c r="I126" s="27"/>
      <c r="J126" s="29">
        <v>-42038.1</v>
      </c>
    </row>
    <row r="127" spans="1:10" x14ac:dyDescent="0.25">
      <c r="A127" s="27"/>
      <c r="B127" s="27"/>
      <c r="C127" s="27"/>
      <c r="D127" s="27"/>
      <c r="E127" s="27"/>
      <c r="F127" s="27"/>
      <c r="G127" s="27" t="s">
        <v>178</v>
      </c>
      <c r="H127" s="27"/>
      <c r="I127" s="27"/>
      <c r="J127" s="28">
        <f>ROUND(SUM(J118:J126),5)</f>
        <v>4559160.91</v>
      </c>
    </row>
    <row r="128" spans="1:10" x14ac:dyDescent="0.25">
      <c r="A128" s="27"/>
      <c r="B128" s="27"/>
      <c r="C128" s="27"/>
      <c r="D128" s="27"/>
      <c r="E128" s="27"/>
      <c r="F128" s="27"/>
      <c r="G128" s="27" t="s">
        <v>179</v>
      </c>
      <c r="H128" s="27"/>
      <c r="I128" s="27"/>
      <c r="J128" s="28"/>
    </row>
    <row r="129" spans="1:10" x14ac:dyDescent="0.25">
      <c r="A129" s="27"/>
      <c r="B129" s="27"/>
      <c r="C129" s="27"/>
      <c r="D129" s="27"/>
      <c r="E129" s="27"/>
      <c r="F129" s="27"/>
      <c r="G129" s="27"/>
      <c r="H129" s="27" t="s">
        <v>180</v>
      </c>
      <c r="I129" s="27"/>
      <c r="J129" s="28">
        <v>5284.36</v>
      </c>
    </row>
    <row r="130" spans="1:10" x14ac:dyDescent="0.25">
      <c r="A130" s="27"/>
      <c r="B130" s="27"/>
      <c r="C130" s="27"/>
      <c r="D130" s="27"/>
      <c r="E130" s="27"/>
      <c r="F130" s="27"/>
      <c r="G130" s="27"/>
      <c r="H130" s="27" t="s">
        <v>181</v>
      </c>
      <c r="I130" s="27"/>
      <c r="J130" s="28">
        <v>46908.31</v>
      </c>
    </row>
    <row r="131" spans="1:10" x14ac:dyDescent="0.25">
      <c r="A131" s="27"/>
      <c r="B131" s="27"/>
      <c r="C131" s="27"/>
      <c r="D131" s="27"/>
      <c r="E131" s="27"/>
      <c r="F131" s="27"/>
      <c r="G131" s="27"/>
      <c r="H131" s="27" t="s">
        <v>182</v>
      </c>
      <c r="I131" s="27"/>
      <c r="J131" s="28">
        <v>136747.03</v>
      </c>
    </row>
    <row r="132" spans="1:10" x14ac:dyDescent="0.25">
      <c r="A132" s="27"/>
      <c r="B132" s="27"/>
      <c r="C132" s="27"/>
      <c r="D132" s="27"/>
      <c r="E132" s="27"/>
      <c r="F132" s="27"/>
      <c r="G132" s="27"/>
      <c r="H132" s="27" t="s">
        <v>183</v>
      </c>
      <c r="I132" s="27"/>
      <c r="J132" s="28">
        <v>156343.37</v>
      </c>
    </row>
    <row r="133" spans="1:10" ht="15.75" thickBot="1" x14ac:dyDescent="0.3">
      <c r="A133" s="27"/>
      <c r="B133" s="27"/>
      <c r="C133" s="27"/>
      <c r="D133" s="27"/>
      <c r="E133" s="27"/>
      <c r="F133" s="27"/>
      <c r="G133" s="27"/>
      <c r="H133" s="27" t="s">
        <v>184</v>
      </c>
      <c r="I133" s="27"/>
      <c r="J133" s="29">
        <v>298974.24</v>
      </c>
    </row>
    <row r="134" spans="1:10" x14ac:dyDescent="0.25">
      <c r="A134" s="27"/>
      <c r="B134" s="27"/>
      <c r="C134" s="27"/>
      <c r="D134" s="27"/>
      <c r="E134" s="27"/>
      <c r="F134" s="27"/>
      <c r="G134" s="27" t="s">
        <v>185</v>
      </c>
      <c r="H134" s="27"/>
      <c r="I134" s="27"/>
      <c r="J134" s="28">
        <f>ROUND(SUM(J128:J133),5)</f>
        <v>644257.31000000006</v>
      </c>
    </row>
    <row r="135" spans="1:10" x14ac:dyDescent="0.25">
      <c r="A135" s="27"/>
      <c r="B135" s="27"/>
      <c r="C135" s="27"/>
      <c r="D135" s="27"/>
      <c r="E135" s="27"/>
      <c r="F135" s="27"/>
      <c r="G135" s="27" t="s">
        <v>186</v>
      </c>
      <c r="H135" s="27"/>
      <c r="I135" s="27"/>
      <c r="J135" s="28"/>
    </row>
    <row r="136" spans="1:10" x14ac:dyDescent="0.25">
      <c r="A136" s="27"/>
      <c r="B136" s="27"/>
      <c r="C136" s="27"/>
      <c r="D136" s="27"/>
      <c r="E136" s="27"/>
      <c r="F136" s="27"/>
      <c r="G136" s="27"/>
      <c r="H136" s="27" t="s">
        <v>187</v>
      </c>
      <c r="I136" s="27"/>
      <c r="J136" s="28">
        <v>214269</v>
      </c>
    </row>
    <row r="137" spans="1:10" x14ac:dyDescent="0.25">
      <c r="A137" s="27"/>
      <c r="B137" s="27"/>
      <c r="C137" s="27"/>
      <c r="D137" s="27"/>
      <c r="E137" s="27"/>
      <c r="F137" s="27"/>
      <c r="G137" s="27"/>
      <c r="H137" s="27" t="s">
        <v>188</v>
      </c>
      <c r="I137" s="27"/>
      <c r="J137" s="28">
        <v>37780.86</v>
      </c>
    </row>
    <row r="138" spans="1:10" x14ac:dyDescent="0.25">
      <c r="A138" s="27"/>
      <c r="B138" s="27"/>
      <c r="C138" s="27"/>
      <c r="D138" s="27"/>
      <c r="E138" s="27"/>
      <c r="F138" s="27"/>
      <c r="G138" s="27"/>
      <c r="H138" s="27" t="s">
        <v>189</v>
      </c>
      <c r="I138" s="27"/>
      <c r="J138" s="28">
        <v>35850</v>
      </c>
    </row>
    <row r="139" spans="1:10" x14ac:dyDescent="0.25">
      <c r="A139" s="27"/>
      <c r="B139" s="27"/>
      <c r="C139" s="27"/>
      <c r="D139" s="27"/>
      <c r="E139" s="27"/>
      <c r="F139" s="27"/>
      <c r="G139" s="27"/>
      <c r="H139" s="27" t="s">
        <v>190</v>
      </c>
      <c r="I139" s="27"/>
      <c r="J139" s="28">
        <v>175340</v>
      </c>
    </row>
    <row r="140" spans="1:10" x14ac:dyDescent="0.25">
      <c r="A140" s="27"/>
      <c r="B140" s="27"/>
      <c r="C140" s="27"/>
      <c r="D140" s="27"/>
      <c r="E140" s="27"/>
      <c r="F140" s="27"/>
      <c r="G140" s="27"/>
      <c r="H140" s="27" t="s">
        <v>191</v>
      </c>
      <c r="I140" s="27"/>
      <c r="J140" s="28">
        <v>30529</v>
      </c>
    </row>
    <row r="141" spans="1:10" x14ac:dyDescent="0.25">
      <c r="A141" s="27"/>
      <c r="B141" s="27"/>
      <c r="C141" s="27"/>
      <c r="D141" s="27"/>
      <c r="E141" s="27"/>
      <c r="F141" s="27"/>
      <c r="G141" s="27"/>
      <c r="H141" s="27" t="s">
        <v>192</v>
      </c>
      <c r="I141" s="27"/>
      <c r="J141" s="28">
        <v>11000</v>
      </c>
    </row>
    <row r="142" spans="1:10" x14ac:dyDescent="0.25">
      <c r="A142" s="27"/>
      <c r="B142" s="27"/>
      <c r="C142" s="27"/>
      <c r="D142" s="27"/>
      <c r="E142" s="27"/>
      <c r="F142" s="27"/>
      <c r="G142" s="27"/>
      <c r="H142" s="27" t="s">
        <v>193</v>
      </c>
      <c r="I142" s="27"/>
      <c r="J142" s="28">
        <v>1121391</v>
      </c>
    </row>
    <row r="143" spans="1:10" ht="15.75" thickBot="1" x14ac:dyDescent="0.3">
      <c r="A143" s="27"/>
      <c r="B143" s="27"/>
      <c r="C143" s="27"/>
      <c r="D143" s="27"/>
      <c r="E143" s="27"/>
      <c r="F143" s="27"/>
      <c r="G143" s="27"/>
      <c r="H143" s="27" t="s">
        <v>194</v>
      </c>
      <c r="I143" s="27"/>
      <c r="J143" s="29">
        <v>172827</v>
      </c>
    </row>
    <row r="144" spans="1:10" x14ac:dyDescent="0.25">
      <c r="A144" s="27"/>
      <c r="B144" s="27"/>
      <c r="C144" s="27"/>
      <c r="D144" s="27"/>
      <c r="E144" s="27"/>
      <c r="F144" s="27"/>
      <c r="G144" s="27" t="s">
        <v>195</v>
      </c>
      <c r="H144" s="27"/>
      <c r="I144" s="27"/>
      <c r="J144" s="28">
        <f>ROUND(SUM(J135:J143),5)</f>
        <v>1798986.86</v>
      </c>
    </row>
    <row r="145" spans="1:10" x14ac:dyDescent="0.25">
      <c r="A145" s="27"/>
      <c r="B145" s="27"/>
      <c r="C145" s="27"/>
      <c r="D145" s="27"/>
      <c r="E145" s="27"/>
      <c r="F145" s="27"/>
      <c r="G145" s="27" t="s">
        <v>196</v>
      </c>
      <c r="H145" s="27"/>
      <c r="I145" s="27"/>
      <c r="J145" s="28"/>
    </row>
    <row r="146" spans="1:10" x14ac:dyDescent="0.25">
      <c r="A146" s="27"/>
      <c r="B146" s="27"/>
      <c r="C146" s="27"/>
      <c r="D146" s="27"/>
      <c r="E146" s="27"/>
      <c r="F146" s="27"/>
      <c r="G146" s="27"/>
      <c r="H146" s="27" t="s">
        <v>197</v>
      </c>
      <c r="I146" s="27"/>
      <c r="J146" s="28">
        <v>659396.5</v>
      </c>
    </row>
    <row r="147" spans="1:10" x14ac:dyDescent="0.25">
      <c r="A147" s="27"/>
      <c r="B147" s="27"/>
      <c r="C147" s="27"/>
      <c r="D147" s="27"/>
      <c r="E147" s="27"/>
      <c r="F147" s="27"/>
      <c r="G147" s="27"/>
      <c r="H147" s="27" t="s">
        <v>198</v>
      </c>
      <c r="I147" s="27"/>
      <c r="J147" s="28">
        <v>250650</v>
      </c>
    </row>
    <row r="148" spans="1:10" x14ac:dyDescent="0.25">
      <c r="A148" s="27"/>
      <c r="B148" s="27"/>
      <c r="C148" s="27"/>
      <c r="D148" s="27"/>
      <c r="E148" s="27"/>
      <c r="F148" s="27"/>
      <c r="G148" s="27"/>
      <c r="H148" s="27" t="s">
        <v>199</v>
      </c>
      <c r="I148" s="27"/>
      <c r="J148" s="28">
        <v>89336</v>
      </c>
    </row>
    <row r="149" spans="1:10" x14ac:dyDescent="0.25">
      <c r="A149" s="27"/>
      <c r="B149" s="27"/>
      <c r="C149" s="27"/>
      <c r="D149" s="27"/>
      <c r="E149" s="27"/>
      <c r="F149" s="27"/>
      <c r="G149" s="27"/>
      <c r="H149" s="27" t="s">
        <v>200</v>
      </c>
      <c r="I149" s="27"/>
      <c r="J149" s="28">
        <v>375918.06</v>
      </c>
    </row>
    <row r="150" spans="1:10" x14ac:dyDescent="0.25">
      <c r="A150" s="27"/>
      <c r="B150" s="27"/>
      <c r="C150" s="27"/>
      <c r="D150" s="27"/>
      <c r="E150" s="27"/>
      <c r="F150" s="27"/>
      <c r="G150" s="27"/>
      <c r="H150" s="27" t="s">
        <v>201</v>
      </c>
      <c r="I150" s="27"/>
      <c r="J150" s="28">
        <v>70993</v>
      </c>
    </row>
    <row r="151" spans="1:10" x14ac:dyDescent="0.25">
      <c r="A151" s="27"/>
      <c r="B151" s="27"/>
      <c r="C151" s="27"/>
      <c r="D151" s="27"/>
      <c r="E151" s="27"/>
      <c r="F151" s="27"/>
      <c r="G151" s="27"/>
      <c r="H151" s="27" t="s">
        <v>202</v>
      </c>
      <c r="I151" s="27"/>
      <c r="J151" s="28">
        <v>650454</v>
      </c>
    </row>
    <row r="152" spans="1:10" x14ac:dyDescent="0.25">
      <c r="A152" s="27"/>
      <c r="B152" s="27"/>
      <c r="C152" s="27"/>
      <c r="D152" s="27"/>
      <c r="E152" s="27"/>
      <c r="F152" s="27"/>
      <c r="G152" s="27"/>
      <c r="H152" s="27" t="s">
        <v>203</v>
      </c>
      <c r="I152" s="27"/>
      <c r="J152" s="28">
        <v>49505</v>
      </c>
    </row>
    <row r="153" spans="1:10" x14ac:dyDescent="0.25">
      <c r="A153" s="27"/>
      <c r="B153" s="27"/>
      <c r="C153" s="27"/>
      <c r="D153" s="27"/>
      <c r="E153" s="27"/>
      <c r="F153" s="27"/>
      <c r="G153" s="27"/>
      <c r="H153" s="27" t="s">
        <v>204</v>
      </c>
      <c r="I153" s="27"/>
      <c r="J153" s="28">
        <v>1448080.04</v>
      </c>
    </row>
    <row r="154" spans="1:10" x14ac:dyDescent="0.25">
      <c r="A154" s="27"/>
      <c r="B154" s="27"/>
      <c r="C154" s="27"/>
      <c r="D154" s="27"/>
      <c r="E154" s="27"/>
      <c r="F154" s="27"/>
      <c r="G154" s="27"/>
      <c r="H154" s="27" t="s">
        <v>205</v>
      </c>
      <c r="I154" s="27"/>
      <c r="J154" s="28">
        <v>1000006.59</v>
      </c>
    </row>
    <row r="155" spans="1:10" x14ac:dyDescent="0.25">
      <c r="A155" s="27"/>
      <c r="B155" s="27"/>
      <c r="C155" s="27"/>
      <c r="D155" s="27"/>
      <c r="E155" s="27"/>
      <c r="F155" s="27"/>
      <c r="G155" s="27"/>
      <c r="H155" s="27" t="s">
        <v>206</v>
      </c>
      <c r="I155" s="27"/>
      <c r="J155" s="28">
        <v>1253005.27</v>
      </c>
    </row>
    <row r="156" spans="1:10" ht="15.75" thickBot="1" x14ac:dyDescent="0.3">
      <c r="A156" s="27"/>
      <c r="B156" s="27"/>
      <c r="C156" s="27"/>
      <c r="D156" s="27"/>
      <c r="E156" s="27"/>
      <c r="F156" s="27"/>
      <c r="G156" s="27"/>
      <c r="H156" s="27" t="s">
        <v>207</v>
      </c>
      <c r="I156" s="27"/>
      <c r="J156" s="29">
        <v>8898</v>
      </c>
    </row>
    <row r="157" spans="1:10" x14ac:dyDescent="0.25">
      <c r="A157" s="27"/>
      <c r="B157" s="27"/>
      <c r="C157" s="27"/>
      <c r="D157" s="27"/>
      <c r="E157" s="27"/>
      <c r="F157" s="27"/>
      <c r="G157" s="27" t="s">
        <v>208</v>
      </c>
      <c r="H157" s="27"/>
      <c r="I157" s="27"/>
      <c r="J157" s="28">
        <f>ROUND(SUM(J145:J156),5)</f>
        <v>5856242.46</v>
      </c>
    </row>
    <row r="158" spans="1:10" x14ac:dyDescent="0.25">
      <c r="A158" s="27"/>
      <c r="B158" s="27"/>
      <c r="C158" s="27"/>
      <c r="D158" s="27"/>
      <c r="E158" s="27"/>
      <c r="F158" s="27"/>
      <c r="G158" s="27" t="s">
        <v>209</v>
      </c>
      <c r="H158" s="27"/>
      <c r="I158" s="27"/>
      <c r="J158" s="28"/>
    </row>
    <row r="159" spans="1:10" x14ac:dyDescent="0.25">
      <c r="A159" s="27"/>
      <c r="B159" s="27"/>
      <c r="C159" s="27"/>
      <c r="D159" s="27"/>
      <c r="E159" s="27"/>
      <c r="F159" s="27"/>
      <c r="G159" s="27"/>
      <c r="H159" s="27" t="s">
        <v>210</v>
      </c>
      <c r="I159" s="27"/>
      <c r="J159" s="28">
        <v>84568.01</v>
      </c>
    </row>
    <row r="160" spans="1:10" x14ac:dyDescent="0.25">
      <c r="A160" s="27"/>
      <c r="B160" s="27"/>
      <c r="C160" s="27"/>
      <c r="D160" s="27"/>
      <c r="E160" s="27"/>
      <c r="F160" s="27"/>
      <c r="G160" s="27"/>
      <c r="H160" s="27" t="s">
        <v>211</v>
      </c>
      <c r="I160" s="27"/>
      <c r="J160" s="28">
        <v>50126.78</v>
      </c>
    </row>
    <row r="161" spans="1:11" x14ac:dyDescent="0.25">
      <c r="A161" s="27"/>
      <c r="B161" s="27"/>
      <c r="C161" s="27"/>
      <c r="D161" s="27"/>
      <c r="E161" s="27"/>
      <c r="F161" s="27"/>
      <c r="G161" s="27"/>
      <c r="H161" s="27" t="s">
        <v>212</v>
      </c>
      <c r="I161" s="27"/>
      <c r="J161" s="28">
        <v>771149.56</v>
      </c>
    </row>
    <row r="162" spans="1:11" x14ac:dyDescent="0.25">
      <c r="A162" s="27"/>
      <c r="B162" s="27"/>
      <c r="C162" s="27"/>
      <c r="D162" s="27"/>
      <c r="E162" s="27"/>
      <c r="F162" s="27"/>
      <c r="G162" s="27"/>
      <c r="H162" s="27" t="s">
        <v>213</v>
      </c>
      <c r="I162" s="27"/>
      <c r="J162" s="28">
        <v>10917.38</v>
      </c>
    </row>
    <row r="163" spans="1:11" x14ac:dyDescent="0.25">
      <c r="A163" s="27"/>
      <c r="B163" s="27"/>
      <c r="C163" s="27"/>
      <c r="D163" s="27"/>
      <c r="E163" s="27"/>
      <c r="F163" s="27"/>
      <c r="G163" s="27"/>
      <c r="H163" s="27" t="s">
        <v>214</v>
      </c>
      <c r="I163" s="27"/>
      <c r="J163" s="28">
        <v>2683</v>
      </c>
    </row>
    <row r="164" spans="1:11" x14ac:dyDescent="0.25">
      <c r="A164" s="27"/>
      <c r="B164" s="27"/>
      <c r="C164" s="27"/>
      <c r="D164" s="27"/>
      <c r="E164" s="27"/>
      <c r="F164" s="27"/>
      <c r="G164" s="27"/>
      <c r="H164" s="27" t="s">
        <v>215</v>
      </c>
      <c r="I164" s="27"/>
      <c r="J164" s="28">
        <v>2226593.58</v>
      </c>
    </row>
    <row r="165" spans="1:11" ht="15.75" thickBot="1" x14ac:dyDescent="0.3">
      <c r="A165" s="27"/>
      <c r="B165" s="27"/>
      <c r="C165" s="27"/>
      <c r="D165" s="27"/>
      <c r="E165" s="27"/>
      <c r="F165" s="27"/>
      <c r="G165" s="27"/>
      <c r="H165" s="27" t="s">
        <v>216</v>
      </c>
      <c r="I165" s="27"/>
      <c r="J165" s="29">
        <v>5140</v>
      </c>
    </row>
    <row r="166" spans="1:11" x14ac:dyDescent="0.25">
      <c r="A166" s="27"/>
      <c r="B166" s="27"/>
      <c r="C166" s="27"/>
      <c r="D166" s="27"/>
      <c r="E166" s="27"/>
      <c r="F166" s="27"/>
      <c r="G166" s="27" t="s">
        <v>217</v>
      </c>
      <c r="H166" s="27"/>
      <c r="I166" s="27"/>
      <c r="J166" s="28">
        <f>ROUND(SUM(J158:J165),5)</f>
        <v>3151178.31</v>
      </c>
    </row>
    <row r="167" spans="1:11" x14ac:dyDescent="0.25">
      <c r="A167" s="27"/>
      <c r="B167" s="27"/>
      <c r="C167" s="27"/>
      <c r="D167" s="27"/>
      <c r="E167" s="27"/>
      <c r="F167" s="27"/>
      <c r="G167" s="27" t="s">
        <v>218</v>
      </c>
      <c r="H167" s="27"/>
      <c r="I167" s="27"/>
      <c r="J167" s="28"/>
    </row>
    <row r="168" spans="1:11" x14ac:dyDescent="0.25">
      <c r="A168" s="27"/>
      <c r="B168" s="27"/>
      <c r="C168" s="27"/>
      <c r="D168" s="27"/>
      <c r="E168" s="27"/>
      <c r="F168" s="27"/>
      <c r="G168" s="27"/>
      <c r="H168" s="27" t="s">
        <v>219</v>
      </c>
      <c r="I168" s="27"/>
      <c r="J168" s="28"/>
    </row>
    <row r="169" spans="1:11" x14ac:dyDescent="0.25">
      <c r="A169" s="27"/>
      <c r="B169" s="27"/>
      <c r="C169" s="27"/>
      <c r="D169" s="27"/>
      <c r="E169" s="27"/>
      <c r="F169" s="27"/>
      <c r="G169" s="27"/>
      <c r="H169" s="27"/>
      <c r="I169" s="27" t="s">
        <v>220</v>
      </c>
      <c r="J169" s="28">
        <v>39038</v>
      </c>
    </row>
    <row r="170" spans="1:11" x14ac:dyDescent="0.25">
      <c r="A170" s="27"/>
      <c r="B170" s="27"/>
      <c r="C170" s="27"/>
      <c r="D170" s="27"/>
      <c r="E170" s="27"/>
      <c r="F170" s="27"/>
      <c r="G170" s="27"/>
      <c r="H170" s="27"/>
      <c r="I170" s="27" t="s">
        <v>221</v>
      </c>
      <c r="J170" s="28">
        <v>800</v>
      </c>
    </row>
    <row r="171" spans="1:11" x14ac:dyDescent="0.25">
      <c r="A171" s="27"/>
      <c r="B171" s="27"/>
      <c r="C171" s="27"/>
      <c r="D171" s="27"/>
      <c r="E171" s="27"/>
      <c r="F171" s="27"/>
      <c r="G171" s="27"/>
      <c r="H171" s="27"/>
      <c r="I171" s="27" t="s">
        <v>222</v>
      </c>
      <c r="J171" s="28">
        <v>1070075.1499999999</v>
      </c>
    </row>
    <row r="172" spans="1:11" x14ac:dyDescent="0.25">
      <c r="A172" s="27"/>
      <c r="B172" s="27"/>
      <c r="C172" s="27"/>
      <c r="D172" s="27"/>
      <c r="E172" s="27"/>
      <c r="F172" s="27"/>
      <c r="G172" s="27"/>
      <c r="H172" s="27"/>
      <c r="I172" s="27" t="s">
        <v>223</v>
      </c>
      <c r="J172" s="28">
        <v>276295</v>
      </c>
      <c r="K172" s="71">
        <f>SUM(J172)</f>
        <v>276295</v>
      </c>
    </row>
    <row r="173" spans="1:11" x14ac:dyDescent="0.25">
      <c r="A173" s="27"/>
      <c r="B173" s="27"/>
      <c r="C173" s="27"/>
      <c r="D173" s="27"/>
      <c r="E173" s="27"/>
      <c r="F173" s="27"/>
      <c r="G173" s="27"/>
      <c r="H173" s="27"/>
      <c r="I173" s="27" t="s">
        <v>224</v>
      </c>
      <c r="J173" s="28">
        <v>739572.5</v>
      </c>
    </row>
    <row r="174" spans="1:11" x14ac:dyDescent="0.25">
      <c r="A174" s="27"/>
      <c r="B174" s="27"/>
      <c r="C174" s="27"/>
      <c r="D174" s="27"/>
      <c r="E174" s="27"/>
      <c r="F174" s="27"/>
      <c r="G174" s="27"/>
      <c r="H174" s="27"/>
      <c r="I174" s="27" t="s">
        <v>225</v>
      </c>
      <c r="J174" s="28">
        <v>29033.599999999999</v>
      </c>
    </row>
    <row r="175" spans="1:11" x14ac:dyDescent="0.25">
      <c r="A175" s="27"/>
      <c r="B175" s="27"/>
      <c r="C175" s="27"/>
      <c r="D175" s="27"/>
      <c r="E175" s="27"/>
      <c r="F175" s="27"/>
      <c r="G175" s="27"/>
      <c r="H175" s="27"/>
      <c r="I175" s="27" t="s">
        <v>226</v>
      </c>
      <c r="J175" s="28">
        <v>22063</v>
      </c>
    </row>
    <row r="176" spans="1:11" x14ac:dyDescent="0.25">
      <c r="A176" s="27"/>
      <c r="B176" s="27"/>
      <c r="C176" s="27"/>
      <c r="D176" s="27"/>
      <c r="E176" s="27"/>
      <c r="F176" s="27"/>
      <c r="G176" s="27"/>
      <c r="H176" s="27"/>
      <c r="I176" s="27" t="s">
        <v>227</v>
      </c>
      <c r="J176" s="28">
        <v>15000</v>
      </c>
    </row>
    <row r="177" spans="1:10" x14ac:dyDescent="0.25">
      <c r="A177" s="27"/>
      <c r="B177" s="27"/>
      <c r="C177" s="27"/>
      <c r="D177" s="27"/>
      <c r="E177" s="27"/>
      <c r="F177" s="27"/>
      <c r="G177" s="27"/>
      <c r="H177" s="27"/>
      <c r="I177" s="27" t="s">
        <v>228</v>
      </c>
      <c r="J177" s="28">
        <v>123188.91</v>
      </c>
    </row>
    <row r="178" spans="1:10" ht="15.75" thickBot="1" x14ac:dyDescent="0.3">
      <c r="A178" s="27"/>
      <c r="B178" s="27"/>
      <c r="C178" s="27"/>
      <c r="D178" s="27"/>
      <c r="E178" s="27"/>
      <c r="F178" s="27"/>
      <c r="G178" s="27"/>
      <c r="H178" s="27"/>
      <c r="I178" s="27" t="s">
        <v>229</v>
      </c>
      <c r="J178" s="29">
        <v>140038</v>
      </c>
    </row>
    <row r="179" spans="1:10" x14ac:dyDescent="0.25">
      <c r="A179" s="27"/>
      <c r="B179" s="27"/>
      <c r="C179" s="27"/>
      <c r="D179" s="27"/>
      <c r="E179" s="27"/>
      <c r="F179" s="27"/>
      <c r="G179" s="27"/>
      <c r="H179" s="27" t="s">
        <v>230</v>
      </c>
      <c r="I179" s="27"/>
      <c r="J179" s="28">
        <f>ROUND(SUM(J168:J178),5)</f>
        <v>2455104.16</v>
      </c>
    </row>
    <row r="180" spans="1:10" x14ac:dyDescent="0.25">
      <c r="A180" s="27"/>
      <c r="B180" s="27"/>
      <c r="C180" s="27"/>
      <c r="D180" s="27"/>
      <c r="E180" s="27"/>
      <c r="F180" s="27"/>
      <c r="G180" s="27"/>
      <c r="H180" s="27" t="s">
        <v>231</v>
      </c>
      <c r="I180" s="27"/>
      <c r="J180" s="28"/>
    </row>
    <row r="181" spans="1:10" x14ac:dyDescent="0.25">
      <c r="A181" s="27"/>
      <c r="B181" s="27"/>
      <c r="C181" s="27"/>
      <c r="D181" s="27"/>
      <c r="E181" s="27"/>
      <c r="F181" s="27"/>
      <c r="G181" s="27"/>
      <c r="H181" s="27"/>
      <c r="I181" s="27" t="s">
        <v>232</v>
      </c>
      <c r="J181" s="28">
        <v>1745500</v>
      </c>
    </row>
    <row r="182" spans="1:10" x14ac:dyDescent="0.25">
      <c r="A182" s="27"/>
      <c r="B182" s="27"/>
      <c r="C182" s="27"/>
      <c r="D182" s="27"/>
      <c r="E182" s="27"/>
      <c r="F182" s="27"/>
      <c r="G182" s="27"/>
      <c r="H182" s="27"/>
      <c r="I182" s="27" t="s">
        <v>233</v>
      </c>
      <c r="J182" s="28">
        <v>217740</v>
      </c>
    </row>
    <row r="183" spans="1:10" x14ac:dyDescent="0.25">
      <c r="A183" s="27"/>
      <c r="B183" s="27"/>
      <c r="C183" s="27"/>
      <c r="D183" s="27"/>
      <c r="E183" s="27"/>
      <c r="F183" s="27"/>
      <c r="G183" s="27"/>
      <c r="H183" s="27"/>
      <c r="I183" s="27" t="s">
        <v>234</v>
      </c>
      <c r="J183" s="28">
        <v>54435</v>
      </c>
    </row>
    <row r="184" spans="1:10" x14ac:dyDescent="0.25">
      <c r="A184" s="27"/>
      <c r="B184" s="27"/>
      <c r="C184" s="27"/>
      <c r="D184" s="27"/>
      <c r="E184" s="27"/>
      <c r="F184" s="27"/>
      <c r="G184" s="27"/>
      <c r="H184" s="27"/>
      <c r="I184" s="27" t="s">
        <v>235</v>
      </c>
      <c r="J184" s="28">
        <v>509996</v>
      </c>
    </row>
    <row r="185" spans="1:10" ht="15.75" thickBot="1" x14ac:dyDescent="0.3">
      <c r="A185" s="27"/>
      <c r="B185" s="27"/>
      <c r="C185" s="27"/>
      <c r="D185" s="27"/>
      <c r="E185" s="27"/>
      <c r="F185" s="27"/>
      <c r="G185" s="27"/>
      <c r="H185" s="27"/>
      <c r="I185" s="27" t="s">
        <v>236</v>
      </c>
      <c r="J185" s="29">
        <v>-22719.18</v>
      </c>
    </row>
    <row r="186" spans="1:10" x14ac:dyDescent="0.25">
      <c r="A186" s="27"/>
      <c r="B186" s="27"/>
      <c r="C186" s="27"/>
      <c r="D186" s="27"/>
      <c r="E186" s="27"/>
      <c r="F186" s="27"/>
      <c r="G186" s="27"/>
      <c r="H186" s="27" t="s">
        <v>237</v>
      </c>
      <c r="I186" s="27"/>
      <c r="J186" s="28">
        <f>ROUND(SUM(J180:J185),5)</f>
        <v>2504951.8199999998</v>
      </c>
    </row>
    <row r="187" spans="1:10" x14ac:dyDescent="0.25">
      <c r="A187" s="27"/>
      <c r="B187" s="27"/>
      <c r="C187" s="27"/>
      <c r="D187" s="27"/>
      <c r="E187" s="27"/>
      <c r="F187" s="27"/>
      <c r="G187" s="27"/>
      <c r="H187" s="27" t="s">
        <v>238</v>
      </c>
      <c r="I187" s="27"/>
      <c r="J187" s="28"/>
    </row>
    <row r="188" spans="1:10" x14ac:dyDescent="0.25">
      <c r="A188" s="27"/>
      <c r="B188" s="27"/>
      <c r="C188" s="27"/>
      <c r="D188" s="27"/>
      <c r="E188" s="27"/>
      <c r="F188" s="27"/>
      <c r="G188" s="27"/>
      <c r="H188" s="27"/>
      <c r="I188" s="27" t="s">
        <v>239</v>
      </c>
      <c r="J188" s="28">
        <v>38414.01</v>
      </c>
    </row>
    <row r="189" spans="1:10" x14ac:dyDescent="0.25">
      <c r="A189" s="27"/>
      <c r="B189" s="27"/>
      <c r="C189" s="27"/>
      <c r="D189" s="27"/>
      <c r="E189" s="27"/>
      <c r="F189" s="27"/>
      <c r="G189" s="27"/>
      <c r="H189" s="27"/>
      <c r="I189" s="27" t="s">
        <v>240</v>
      </c>
      <c r="J189" s="28">
        <v>56577.27</v>
      </c>
    </row>
    <row r="190" spans="1:10" ht="15.75" thickBot="1" x14ac:dyDescent="0.3">
      <c r="A190" s="27"/>
      <c r="B190" s="27"/>
      <c r="C190" s="27"/>
      <c r="D190" s="27"/>
      <c r="E190" s="27"/>
      <c r="F190" s="27"/>
      <c r="G190" s="27"/>
      <c r="H190" s="27"/>
      <c r="I190" s="27" t="s">
        <v>241</v>
      </c>
      <c r="J190" s="29">
        <v>92521.14</v>
      </c>
    </row>
    <row r="191" spans="1:10" x14ac:dyDescent="0.25">
      <c r="A191" s="27"/>
      <c r="B191" s="27"/>
      <c r="C191" s="27"/>
      <c r="D191" s="27"/>
      <c r="E191" s="27"/>
      <c r="F191" s="27"/>
      <c r="G191" s="27"/>
      <c r="H191" s="27" t="s">
        <v>242</v>
      </c>
      <c r="I191" s="27"/>
      <c r="J191" s="28">
        <f>ROUND(SUM(J187:J190),5)</f>
        <v>187512.42</v>
      </c>
    </row>
    <row r="192" spans="1:10" x14ac:dyDescent="0.25">
      <c r="A192" s="27"/>
      <c r="B192" s="27"/>
      <c r="C192" s="27"/>
      <c r="D192" s="27"/>
      <c r="E192" s="27"/>
      <c r="F192" s="27"/>
      <c r="G192" s="27"/>
      <c r="H192" s="27" t="s">
        <v>243</v>
      </c>
      <c r="I192" s="27"/>
      <c r="J192" s="28"/>
    </row>
    <row r="193" spans="1:10" x14ac:dyDescent="0.25">
      <c r="A193" s="27"/>
      <c r="B193" s="27"/>
      <c r="C193" s="27"/>
      <c r="D193" s="27"/>
      <c r="E193" s="27"/>
      <c r="F193" s="27"/>
      <c r="G193" s="27"/>
      <c r="H193" s="27"/>
      <c r="I193" s="27" t="s">
        <v>244</v>
      </c>
      <c r="J193" s="28">
        <v>93615</v>
      </c>
    </row>
    <row r="194" spans="1:10" x14ac:dyDescent="0.25">
      <c r="A194" s="27"/>
      <c r="B194" s="27"/>
      <c r="C194" s="27"/>
      <c r="D194" s="27"/>
      <c r="E194" s="27"/>
      <c r="F194" s="27"/>
      <c r="G194" s="27"/>
      <c r="H194" s="27"/>
      <c r="I194" s="27" t="s">
        <v>245</v>
      </c>
      <c r="J194" s="28">
        <v>63755</v>
      </c>
    </row>
    <row r="195" spans="1:10" x14ac:dyDescent="0.25">
      <c r="A195" s="27"/>
      <c r="B195" s="27"/>
      <c r="C195" s="27"/>
      <c r="D195" s="27"/>
      <c r="E195" s="27"/>
      <c r="F195" s="27"/>
      <c r="G195" s="27"/>
      <c r="H195" s="27"/>
      <c r="I195" s="27" t="s">
        <v>246</v>
      </c>
      <c r="J195" s="28">
        <v>316909</v>
      </c>
    </row>
    <row r="196" spans="1:10" x14ac:dyDescent="0.25">
      <c r="A196" s="27"/>
      <c r="B196" s="27"/>
      <c r="C196" s="27"/>
      <c r="D196" s="27"/>
      <c r="E196" s="27"/>
      <c r="F196" s="27"/>
      <c r="G196" s="27"/>
      <c r="H196" s="27"/>
      <c r="I196" s="27" t="s">
        <v>247</v>
      </c>
      <c r="J196" s="28">
        <v>1185</v>
      </c>
    </row>
    <row r="197" spans="1:10" ht="15.75" thickBot="1" x14ac:dyDescent="0.3">
      <c r="A197" s="27"/>
      <c r="B197" s="27"/>
      <c r="C197" s="27"/>
      <c r="D197" s="27"/>
      <c r="E197" s="27"/>
      <c r="F197" s="27"/>
      <c r="G197" s="27"/>
      <c r="H197" s="27"/>
      <c r="I197" s="27" t="s">
        <v>248</v>
      </c>
      <c r="J197" s="29">
        <v>18700</v>
      </c>
    </row>
    <row r="198" spans="1:10" x14ac:dyDescent="0.25">
      <c r="A198" s="27"/>
      <c r="B198" s="27"/>
      <c r="C198" s="27"/>
      <c r="D198" s="27"/>
      <c r="E198" s="27"/>
      <c r="F198" s="27"/>
      <c r="G198" s="27"/>
      <c r="H198" s="27" t="s">
        <v>249</v>
      </c>
      <c r="I198" s="27"/>
      <c r="J198" s="28">
        <f>ROUND(SUM(J192:J197),5)</f>
        <v>494164</v>
      </c>
    </row>
    <row r="199" spans="1:10" x14ac:dyDescent="0.25">
      <c r="A199" s="27"/>
      <c r="B199" s="27"/>
      <c r="C199" s="27"/>
      <c r="D199" s="27"/>
      <c r="E199" s="27"/>
      <c r="F199" s="27"/>
      <c r="G199" s="27"/>
      <c r="H199" s="27" t="s">
        <v>250</v>
      </c>
      <c r="I199" s="27"/>
      <c r="J199" s="28"/>
    </row>
    <row r="200" spans="1:10" x14ac:dyDescent="0.25">
      <c r="A200" s="27"/>
      <c r="B200" s="27"/>
      <c r="C200" s="27"/>
      <c r="D200" s="27"/>
      <c r="E200" s="27"/>
      <c r="F200" s="27"/>
      <c r="G200" s="27"/>
      <c r="H200" s="27"/>
      <c r="I200" s="27" t="s">
        <v>251</v>
      </c>
      <c r="J200" s="28">
        <v>242047.71</v>
      </c>
    </row>
    <row r="201" spans="1:10" x14ac:dyDescent="0.25">
      <c r="A201" s="27"/>
      <c r="B201" s="27"/>
      <c r="C201" s="27"/>
      <c r="D201" s="27"/>
      <c r="E201" s="27"/>
      <c r="F201" s="27"/>
      <c r="G201" s="27"/>
      <c r="H201" s="27"/>
      <c r="I201" s="27" t="s">
        <v>252</v>
      </c>
      <c r="J201" s="28">
        <v>769988.52</v>
      </c>
    </row>
    <row r="202" spans="1:10" x14ac:dyDescent="0.25">
      <c r="A202" s="27"/>
      <c r="B202" s="27"/>
      <c r="C202" s="27"/>
      <c r="D202" s="27"/>
      <c r="E202" s="27"/>
      <c r="F202" s="27"/>
      <c r="G202" s="27"/>
      <c r="H202" s="27"/>
      <c r="I202" s="27" t="s">
        <v>253</v>
      </c>
      <c r="J202" s="28">
        <v>42608</v>
      </c>
    </row>
    <row r="203" spans="1:10" x14ac:dyDescent="0.25">
      <c r="A203" s="27"/>
      <c r="B203" s="27"/>
      <c r="C203" s="27"/>
      <c r="D203" s="27"/>
      <c r="E203" s="27"/>
      <c r="F203" s="27"/>
      <c r="G203" s="27"/>
      <c r="H203" s="27"/>
      <c r="I203" s="27" t="s">
        <v>254</v>
      </c>
      <c r="J203" s="28">
        <v>831402</v>
      </c>
    </row>
    <row r="204" spans="1:10" x14ac:dyDescent="0.25">
      <c r="A204" s="27"/>
      <c r="B204" s="27"/>
      <c r="C204" s="27"/>
      <c r="D204" s="27"/>
      <c r="E204" s="27"/>
      <c r="F204" s="27"/>
      <c r="G204" s="27"/>
      <c r="H204" s="27"/>
      <c r="I204" s="27" t="s">
        <v>255</v>
      </c>
      <c r="J204" s="28">
        <v>35320</v>
      </c>
    </row>
    <row r="205" spans="1:10" x14ac:dyDescent="0.25">
      <c r="A205" s="27"/>
      <c r="B205" s="27"/>
      <c r="C205" s="27"/>
      <c r="D205" s="27"/>
      <c r="E205" s="27"/>
      <c r="F205" s="27"/>
      <c r="G205" s="27"/>
      <c r="H205" s="27"/>
      <c r="I205" s="27" t="s">
        <v>256</v>
      </c>
      <c r="J205" s="28">
        <v>107431.06</v>
      </c>
    </row>
    <row r="206" spans="1:10" ht="15.75" thickBot="1" x14ac:dyDescent="0.3">
      <c r="A206" s="27"/>
      <c r="B206" s="27"/>
      <c r="C206" s="27"/>
      <c r="D206" s="27"/>
      <c r="E206" s="27"/>
      <c r="F206" s="27"/>
      <c r="G206" s="27"/>
      <c r="H206" s="27"/>
      <c r="I206" s="27" t="s">
        <v>257</v>
      </c>
      <c r="J206" s="29">
        <v>218974.69</v>
      </c>
    </row>
    <row r="207" spans="1:10" x14ac:dyDescent="0.25">
      <c r="A207" s="27"/>
      <c r="B207" s="27"/>
      <c r="C207" s="27"/>
      <c r="D207" s="27"/>
      <c r="E207" s="27"/>
      <c r="F207" s="27"/>
      <c r="G207" s="27"/>
      <c r="H207" s="27" t="s">
        <v>258</v>
      </c>
      <c r="I207" s="27"/>
      <c r="J207" s="28">
        <f>ROUND(SUM(J199:J206),5)</f>
        <v>2247771.98</v>
      </c>
    </row>
    <row r="208" spans="1:10" x14ac:dyDescent="0.25">
      <c r="A208" s="27"/>
      <c r="B208" s="27"/>
      <c r="C208" s="27"/>
      <c r="D208" s="27"/>
      <c r="E208" s="27"/>
      <c r="F208" s="27"/>
      <c r="G208" s="27"/>
      <c r="H208" s="27" t="s">
        <v>259</v>
      </c>
      <c r="I208" s="27"/>
      <c r="J208" s="28"/>
    </row>
    <row r="209" spans="1:10" x14ac:dyDescent="0.25">
      <c r="A209" s="27"/>
      <c r="B209" s="27"/>
      <c r="C209" s="27"/>
      <c r="D209" s="27"/>
      <c r="E209" s="27"/>
      <c r="F209" s="27"/>
      <c r="G209" s="27"/>
      <c r="H209" s="27"/>
      <c r="I209" s="27" t="s">
        <v>260</v>
      </c>
      <c r="J209" s="28">
        <v>1014</v>
      </c>
    </row>
    <row r="210" spans="1:10" x14ac:dyDescent="0.25">
      <c r="A210" s="27"/>
      <c r="B210" s="27"/>
      <c r="C210" s="27"/>
      <c r="D210" s="27"/>
      <c r="E210" s="27"/>
      <c r="F210" s="27"/>
      <c r="G210" s="27"/>
      <c r="H210" s="27"/>
      <c r="I210" s="27" t="s">
        <v>261</v>
      </c>
      <c r="J210" s="28">
        <v>3258</v>
      </c>
    </row>
    <row r="211" spans="1:10" ht="15.75" thickBot="1" x14ac:dyDescent="0.3">
      <c r="A211" s="27"/>
      <c r="B211" s="27"/>
      <c r="C211" s="27"/>
      <c r="D211" s="27"/>
      <c r="E211" s="27"/>
      <c r="F211" s="27"/>
      <c r="G211" s="27"/>
      <c r="H211" s="27"/>
      <c r="I211" s="27" t="s">
        <v>262</v>
      </c>
      <c r="J211" s="30">
        <v>7721.06</v>
      </c>
    </row>
    <row r="212" spans="1:10" ht="15.75" thickBot="1" x14ac:dyDescent="0.3">
      <c r="A212" s="27"/>
      <c r="B212" s="27"/>
      <c r="C212" s="27"/>
      <c r="D212" s="27"/>
      <c r="E212" s="27"/>
      <c r="F212" s="27"/>
      <c r="G212" s="27"/>
      <c r="H212" s="27" t="s">
        <v>263</v>
      </c>
      <c r="I212" s="27"/>
      <c r="J212" s="33">
        <f>ROUND(SUM(J208:J211),5)</f>
        <v>11993.06</v>
      </c>
    </row>
    <row r="213" spans="1:10" x14ac:dyDescent="0.25">
      <c r="A213" s="27"/>
      <c r="B213" s="27"/>
      <c r="C213" s="27"/>
      <c r="D213" s="27"/>
      <c r="E213" s="27"/>
      <c r="F213" s="27"/>
      <c r="G213" s="27" t="s">
        <v>264</v>
      </c>
      <c r="H213" s="27"/>
      <c r="I213" s="27"/>
      <c r="J213" s="28">
        <f>ROUND(J167+J179+J186+J191+J198+J207+J212,5)</f>
        <v>7901497.4400000004</v>
      </c>
    </row>
    <row r="214" spans="1:10" x14ac:dyDescent="0.25">
      <c r="A214" s="27"/>
      <c r="B214" s="27"/>
      <c r="C214" s="27"/>
      <c r="D214" s="27"/>
      <c r="E214" s="27"/>
      <c r="F214" s="27"/>
      <c r="G214" s="27" t="s">
        <v>265</v>
      </c>
      <c r="H214" s="27"/>
      <c r="I214" s="27"/>
      <c r="J214" s="28"/>
    </row>
    <row r="215" spans="1:10" x14ac:dyDescent="0.25">
      <c r="A215" s="27"/>
      <c r="B215" s="27"/>
      <c r="C215" s="27"/>
      <c r="D215" s="27"/>
      <c r="E215" s="27"/>
      <c r="F215" s="27"/>
      <c r="G215" s="27"/>
      <c r="H215" s="27" t="s">
        <v>266</v>
      </c>
      <c r="I215" s="27"/>
      <c r="J215" s="28">
        <v>1390</v>
      </c>
    </row>
    <row r="216" spans="1:10" x14ac:dyDescent="0.25">
      <c r="A216" s="27"/>
      <c r="B216" s="27"/>
      <c r="C216" s="27"/>
      <c r="D216" s="27"/>
      <c r="E216" s="27"/>
      <c r="F216" s="27"/>
      <c r="G216" s="27"/>
      <c r="H216" s="27" t="s">
        <v>267</v>
      </c>
      <c r="I216" s="27"/>
      <c r="J216" s="28">
        <v>-643.4</v>
      </c>
    </row>
    <row r="217" spans="1:10" x14ac:dyDescent="0.25">
      <c r="A217" s="27"/>
      <c r="B217" s="27"/>
      <c r="C217" s="27"/>
      <c r="D217" s="27"/>
      <c r="E217" s="27"/>
      <c r="F217" s="27"/>
      <c r="G217" s="27"/>
      <c r="H217" s="27" t="s">
        <v>268</v>
      </c>
      <c r="I217" s="27"/>
      <c r="J217" s="28">
        <v>5550</v>
      </c>
    </row>
    <row r="218" spans="1:10" x14ac:dyDescent="0.25">
      <c r="A218" s="27"/>
      <c r="B218" s="27"/>
      <c r="C218" s="27"/>
      <c r="D218" s="27"/>
      <c r="E218" s="27"/>
      <c r="F218" s="27"/>
      <c r="G218" s="27"/>
      <c r="H218" s="27" t="s">
        <v>269</v>
      </c>
      <c r="I218" s="27"/>
      <c r="J218" s="28">
        <v>471572</v>
      </c>
    </row>
    <row r="219" spans="1:10" ht="15.75" thickBot="1" x14ac:dyDescent="0.3">
      <c r="A219" s="27"/>
      <c r="B219" s="27"/>
      <c r="C219" s="27"/>
      <c r="D219" s="27"/>
      <c r="E219" s="27"/>
      <c r="F219" s="27"/>
      <c r="G219" s="27"/>
      <c r="H219" s="27" t="s">
        <v>270</v>
      </c>
      <c r="I219" s="27"/>
      <c r="J219" s="30">
        <v>68345.2</v>
      </c>
    </row>
    <row r="220" spans="1:10" ht="15.75" thickBot="1" x14ac:dyDescent="0.3">
      <c r="A220" s="27"/>
      <c r="B220" s="27"/>
      <c r="C220" s="27"/>
      <c r="D220" s="27"/>
      <c r="E220" s="27"/>
      <c r="F220" s="27"/>
      <c r="G220" s="27" t="s">
        <v>271</v>
      </c>
      <c r="H220" s="27"/>
      <c r="I220" s="27"/>
      <c r="J220" s="33">
        <f>ROUND(SUM(J214:J219),5)</f>
        <v>546213.80000000005</v>
      </c>
    </row>
    <row r="221" spans="1:10" x14ac:dyDescent="0.25">
      <c r="A221" s="27"/>
      <c r="B221" s="27"/>
      <c r="C221" s="27"/>
      <c r="D221" s="27"/>
      <c r="E221" s="27"/>
      <c r="F221" s="27" t="s">
        <v>272</v>
      </c>
      <c r="G221" s="27"/>
      <c r="H221" s="27"/>
      <c r="I221" s="27"/>
      <c r="J221" s="28">
        <f>ROUND(J99+J117+J127+J134+J144+J157+J166+J213+J220,5)</f>
        <v>26941227.510000002</v>
      </c>
    </row>
    <row r="222" spans="1:10" x14ac:dyDescent="0.25">
      <c r="A222" s="27"/>
      <c r="B222" s="27"/>
      <c r="C222" s="27"/>
      <c r="D222" s="27"/>
      <c r="E222" s="27"/>
      <c r="F222" s="27" t="s">
        <v>273</v>
      </c>
      <c r="G222" s="27"/>
      <c r="H222" s="27"/>
      <c r="I222" s="27"/>
      <c r="J222" s="28"/>
    </row>
    <row r="223" spans="1:10" x14ac:dyDescent="0.25">
      <c r="A223" s="27"/>
      <c r="B223" s="27"/>
      <c r="C223" s="27"/>
      <c r="D223" s="27"/>
      <c r="E223" s="27"/>
      <c r="F223" s="27"/>
      <c r="G223" s="27" t="s">
        <v>274</v>
      </c>
      <c r="H223" s="27"/>
      <c r="I223" s="27"/>
      <c r="J223" s="28">
        <v>210000</v>
      </c>
    </row>
    <row r="224" spans="1:10" x14ac:dyDescent="0.25">
      <c r="A224" s="27"/>
      <c r="B224" s="27"/>
      <c r="C224" s="27"/>
      <c r="D224" s="27"/>
      <c r="E224" s="27"/>
      <c r="F224" s="27"/>
      <c r="G224" s="27" t="s">
        <v>275</v>
      </c>
      <c r="H224" s="27"/>
      <c r="I224" s="27"/>
      <c r="J224" s="28">
        <v>10985.4</v>
      </c>
    </row>
    <row r="225" spans="1:10" x14ac:dyDescent="0.25">
      <c r="A225" s="27"/>
      <c r="B225" s="27"/>
      <c r="C225" s="27"/>
      <c r="D225" s="27"/>
      <c r="E225" s="27"/>
      <c r="F225" s="27"/>
      <c r="G225" s="27" t="s">
        <v>276</v>
      </c>
      <c r="H225" s="27"/>
      <c r="I225" s="27"/>
      <c r="J225" s="28">
        <v>177645</v>
      </c>
    </row>
    <row r="226" spans="1:10" x14ac:dyDescent="0.25">
      <c r="A226" s="27"/>
      <c r="B226" s="27"/>
      <c r="C226" s="27"/>
      <c r="D226" s="27"/>
      <c r="E226" s="27"/>
      <c r="F226" s="27"/>
      <c r="G226" s="27" t="s">
        <v>277</v>
      </c>
      <c r="H226" s="27"/>
      <c r="I226" s="27"/>
      <c r="J226" s="28">
        <v>213781.7</v>
      </c>
    </row>
    <row r="227" spans="1:10" x14ac:dyDescent="0.25">
      <c r="A227" s="27"/>
      <c r="B227" s="27"/>
      <c r="C227" s="27"/>
      <c r="D227" s="27"/>
      <c r="E227" s="27"/>
      <c r="F227" s="27"/>
      <c r="G227" s="27" t="s">
        <v>278</v>
      </c>
      <c r="H227" s="27"/>
      <c r="I227" s="27"/>
      <c r="J227" s="28">
        <v>18087.63</v>
      </c>
    </row>
    <row r="228" spans="1:10" ht="15.75" thickBot="1" x14ac:dyDescent="0.3">
      <c r="A228" s="27"/>
      <c r="B228" s="27"/>
      <c r="C228" s="27"/>
      <c r="D228" s="27"/>
      <c r="E228" s="27"/>
      <c r="F228" s="27"/>
      <c r="G228" s="27" t="s">
        <v>279</v>
      </c>
      <c r="H228" s="27"/>
      <c r="I228" s="27"/>
      <c r="J228" s="29">
        <v>647292</v>
      </c>
    </row>
    <row r="229" spans="1:10" x14ac:dyDescent="0.25">
      <c r="A229" s="27"/>
      <c r="B229" s="27"/>
      <c r="C229" s="27"/>
      <c r="D229" s="27"/>
      <c r="E229" s="27"/>
      <c r="F229" s="27" t="s">
        <v>280</v>
      </c>
      <c r="G229" s="27"/>
      <c r="H229" s="27"/>
      <c r="I229" s="27"/>
      <c r="J229" s="28">
        <f>ROUND(SUM(J222:J228),5)</f>
        <v>1277791.73</v>
      </c>
    </row>
    <row r="230" spans="1:10" x14ac:dyDescent="0.25">
      <c r="A230" s="27"/>
      <c r="B230" s="27"/>
      <c r="C230" s="27"/>
      <c r="D230" s="27"/>
      <c r="E230" s="27"/>
      <c r="F230" s="27" t="s">
        <v>281</v>
      </c>
      <c r="G230" s="27"/>
      <c r="H230" s="27"/>
      <c r="I230" s="27"/>
      <c r="J230" s="28"/>
    </row>
    <row r="231" spans="1:10" x14ac:dyDescent="0.25">
      <c r="A231" s="27"/>
      <c r="B231" s="27"/>
      <c r="C231" s="27"/>
      <c r="D231" s="27"/>
      <c r="E231" s="27"/>
      <c r="F231" s="27"/>
      <c r="G231" s="27" t="s">
        <v>282</v>
      </c>
      <c r="H231" s="27"/>
      <c r="I231" s="27"/>
      <c r="J231" s="28"/>
    </row>
    <row r="232" spans="1:10" x14ac:dyDescent="0.25">
      <c r="A232" s="27"/>
      <c r="B232" s="27"/>
      <c r="C232" s="27"/>
      <c r="D232" s="27"/>
      <c r="E232" s="27"/>
      <c r="F232" s="27"/>
      <c r="G232" s="27"/>
      <c r="H232" s="27" t="s">
        <v>283</v>
      </c>
      <c r="I232" s="27"/>
      <c r="J232" s="28">
        <v>21749933.350000001</v>
      </c>
    </row>
    <row r="233" spans="1:10" x14ac:dyDescent="0.25">
      <c r="A233" s="27"/>
      <c r="B233" s="27"/>
      <c r="C233" s="27"/>
      <c r="D233" s="27"/>
      <c r="E233" s="27"/>
      <c r="F233" s="27"/>
      <c r="G233" s="27"/>
      <c r="H233" s="27" t="s">
        <v>284</v>
      </c>
      <c r="I233" s="27"/>
      <c r="J233" s="28">
        <v>3054788.33</v>
      </c>
    </row>
    <row r="234" spans="1:10" x14ac:dyDescent="0.25">
      <c r="A234" s="27"/>
      <c r="B234" s="27"/>
      <c r="C234" s="27"/>
      <c r="D234" s="27"/>
      <c r="E234" s="27"/>
      <c r="F234" s="27"/>
      <c r="G234" s="27"/>
      <c r="H234" s="27" t="s">
        <v>285</v>
      </c>
      <c r="I234" s="27"/>
      <c r="J234" s="28">
        <v>2601435.2200000002</v>
      </c>
    </row>
    <row r="235" spans="1:10" x14ac:dyDescent="0.25">
      <c r="A235" s="27"/>
      <c r="B235" s="27"/>
      <c r="C235" s="27"/>
      <c r="D235" s="27"/>
      <c r="E235" s="27"/>
      <c r="F235" s="27"/>
      <c r="G235" s="27"/>
      <c r="H235" s="27" t="s">
        <v>286</v>
      </c>
      <c r="I235" s="27"/>
      <c r="J235" s="28">
        <v>1564248.19</v>
      </c>
    </row>
    <row r="236" spans="1:10" x14ac:dyDescent="0.25">
      <c r="A236" s="27"/>
      <c r="B236" s="27"/>
      <c r="C236" s="27"/>
      <c r="D236" s="27"/>
      <c r="E236" s="27"/>
      <c r="F236" s="27"/>
      <c r="G236" s="27"/>
      <c r="H236" s="27" t="s">
        <v>287</v>
      </c>
      <c r="I236" s="27"/>
      <c r="J236" s="28">
        <v>2405027.04</v>
      </c>
    </row>
    <row r="237" spans="1:10" x14ac:dyDescent="0.25">
      <c r="A237" s="27"/>
      <c r="B237" s="27"/>
      <c r="C237" s="27"/>
      <c r="D237" s="27"/>
      <c r="E237" s="27"/>
      <c r="F237" s="27"/>
      <c r="G237" s="27"/>
      <c r="H237" s="27" t="s">
        <v>288</v>
      </c>
      <c r="I237" s="27"/>
      <c r="J237" s="28">
        <v>602033.04</v>
      </c>
    </row>
    <row r="238" spans="1:10" x14ac:dyDescent="0.25">
      <c r="A238" s="27"/>
      <c r="B238" s="27"/>
      <c r="C238" s="27"/>
      <c r="D238" s="27"/>
      <c r="E238" s="27"/>
      <c r="F238" s="27"/>
      <c r="G238" s="27"/>
      <c r="H238" s="27" t="s">
        <v>289</v>
      </c>
      <c r="I238" s="27"/>
      <c r="J238" s="28">
        <v>-183896.2</v>
      </c>
    </row>
    <row r="239" spans="1:10" x14ac:dyDescent="0.25">
      <c r="A239" s="27"/>
      <c r="B239" s="27"/>
      <c r="C239" s="27"/>
      <c r="D239" s="27"/>
      <c r="E239" s="27"/>
      <c r="F239" s="27"/>
      <c r="G239" s="27"/>
      <c r="H239" s="27" t="s">
        <v>290</v>
      </c>
      <c r="I239" s="27"/>
      <c r="J239" s="28">
        <v>2700000</v>
      </c>
    </row>
    <row r="240" spans="1:10" ht="15.75" thickBot="1" x14ac:dyDescent="0.3">
      <c r="A240" s="27"/>
      <c r="B240" s="27"/>
      <c r="C240" s="27"/>
      <c r="D240" s="27"/>
      <c r="E240" s="27"/>
      <c r="F240" s="27"/>
      <c r="G240" s="27"/>
      <c r="H240" s="27" t="s">
        <v>291</v>
      </c>
      <c r="I240" s="27"/>
      <c r="J240" s="29">
        <v>611291.67000000004</v>
      </c>
    </row>
    <row r="241" spans="1:10" x14ac:dyDescent="0.25">
      <c r="A241" s="27"/>
      <c r="B241" s="27"/>
      <c r="C241" s="27"/>
      <c r="D241" s="27"/>
      <c r="E241" s="27"/>
      <c r="F241" s="27"/>
      <c r="G241" s="27" t="s">
        <v>292</v>
      </c>
      <c r="H241" s="27"/>
      <c r="I241" s="27"/>
      <c r="J241" s="28">
        <f>ROUND(SUM(J231:J240),5)</f>
        <v>35104860.640000001</v>
      </c>
    </row>
    <row r="242" spans="1:10" x14ac:dyDescent="0.25">
      <c r="A242" s="27"/>
      <c r="B242" s="27"/>
      <c r="C242" s="27"/>
      <c r="D242" s="27"/>
      <c r="E242" s="27"/>
      <c r="F242" s="27"/>
      <c r="G242" s="27" t="s">
        <v>293</v>
      </c>
      <c r="H242" s="27"/>
      <c r="I242" s="27"/>
      <c r="J242" s="28"/>
    </row>
    <row r="243" spans="1:10" x14ac:dyDescent="0.25">
      <c r="A243" s="27"/>
      <c r="B243" s="27"/>
      <c r="C243" s="27"/>
      <c r="D243" s="27"/>
      <c r="E243" s="27"/>
      <c r="F243" s="27"/>
      <c r="G243" s="27"/>
      <c r="H243" s="27" t="s">
        <v>294</v>
      </c>
      <c r="I243" s="27"/>
      <c r="J243" s="28">
        <v>40816</v>
      </c>
    </row>
    <row r="244" spans="1:10" x14ac:dyDescent="0.25">
      <c r="A244" s="27"/>
      <c r="B244" s="27"/>
      <c r="C244" s="27"/>
      <c r="D244" s="27"/>
      <c r="E244" s="27"/>
      <c r="F244" s="27"/>
      <c r="G244" s="27"/>
      <c r="H244" s="27" t="s">
        <v>295</v>
      </c>
      <c r="I244" s="27"/>
      <c r="J244" s="28">
        <v>473837.9</v>
      </c>
    </row>
    <row r="245" spans="1:10" x14ac:dyDescent="0.25">
      <c r="A245" s="27"/>
      <c r="B245" s="27"/>
      <c r="C245" s="27"/>
      <c r="D245" s="27"/>
      <c r="E245" s="27"/>
      <c r="F245" s="27"/>
      <c r="G245" s="27"/>
      <c r="H245" s="27" t="s">
        <v>296</v>
      </c>
      <c r="I245" s="27"/>
      <c r="J245" s="28">
        <v>1939164.39</v>
      </c>
    </row>
    <row r="246" spans="1:10" x14ac:dyDescent="0.25">
      <c r="A246" s="27"/>
      <c r="B246" s="27"/>
      <c r="C246" s="27"/>
      <c r="D246" s="27"/>
      <c r="E246" s="27"/>
      <c r="F246" s="27"/>
      <c r="G246" s="27"/>
      <c r="H246" s="27" t="s">
        <v>297</v>
      </c>
      <c r="I246" s="27"/>
      <c r="J246" s="28"/>
    </row>
    <row r="247" spans="1:10" x14ac:dyDescent="0.25">
      <c r="A247" s="27"/>
      <c r="B247" s="27"/>
      <c r="C247" s="27"/>
      <c r="D247" s="27"/>
      <c r="E247" s="27"/>
      <c r="F247" s="27"/>
      <c r="G247" s="27"/>
      <c r="H247" s="27"/>
      <c r="I247" s="27" t="s">
        <v>298</v>
      </c>
      <c r="J247" s="28">
        <v>724039.7</v>
      </c>
    </row>
    <row r="248" spans="1:10" ht="15.75" thickBot="1" x14ac:dyDescent="0.3">
      <c r="A248" s="27"/>
      <c r="B248" s="27"/>
      <c r="C248" s="27"/>
      <c r="D248" s="27"/>
      <c r="E248" s="27"/>
      <c r="F248" s="27"/>
      <c r="G248" s="27"/>
      <c r="H248" s="27"/>
      <c r="I248" s="27" t="s">
        <v>299</v>
      </c>
      <c r="J248" s="29">
        <v>92846.76</v>
      </c>
    </row>
    <row r="249" spans="1:10" x14ac:dyDescent="0.25">
      <c r="A249" s="27"/>
      <c r="B249" s="27"/>
      <c r="C249" s="27"/>
      <c r="D249" s="27"/>
      <c r="E249" s="27"/>
      <c r="F249" s="27"/>
      <c r="G249" s="27"/>
      <c r="H249" s="27" t="s">
        <v>300</v>
      </c>
      <c r="I249" s="27"/>
      <c r="J249" s="28">
        <f>ROUND(SUM(J246:J248),5)</f>
        <v>816886.46</v>
      </c>
    </row>
    <row r="250" spans="1:10" x14ac:dyDescent="0.25">
      <c r="A250" s="27"/>
      <c r="B250" s="27"/>
      <c r="C250" s="27"/>
      <c r="D250" s="27"/>
      <c r="E250" s="27"/>
      <c r="F250" s="27"/>
      <c r="G250" s="27"/>
      <c r="H250" s="27" t="s">
        <v>301</v>
      </c>
      <c r="I250" s="27"/>
      <c r="J250" s="28">
        <v>315710</v>
      </c>
    </row>
    <row r="251" spans="1:10" x14ac:dyDescent="0.25">
      <c r="A251" s="27"/>
      <c r="B251" s="27"/>
      <c r="C251" s="27"/>
      <c r="D251" s="27"/>
      <c r="E251" s="27"/>
      <c r="F251" s="27"/>
      <c r="G251" s="27"/>
      <c r="H251" s="27" t="s">
        <v>302</v>
      </c>
      <c r="I251" s="27"/>
      <c r="J251" s="28">
        <v>75330.75</v>
      </c>
    </row>
    <row r="252" spans="1:10" x14ac:dyDescent="0.25">
      <c r="A252" s="27"/>
      <c r="B252" s="27"/>
      <c r="C252" s="27"/>
      <c r="D252" s="27"/>
      <c r="E252" s="27"/>
      <c r="F252" s="27"/>
      <c r="G252" s="27"/>
      <c r="H252" s="27" t="s">
        <v>303</v>
      </c>
      <c r="I252" s="27"/>
      <c r="J252" s="28">
        <v>171745.98</v>
      </c>
    </row>
    <row r="253" spans="1:10" x14ac:dyDescent="0.25">
      <c r="A253" s="27"/>
      <c r="B253" s="27"/>
      <c r="C253" s="27"/>
      <c r="D253" s="27"/>
      <c r="E253" s="27"/>
      <c r="F253" s="27"/>
      <c r="G253" s="27"/>
      <c r="H253" s="27" t="s">
        <v>304</v>
      </c>
      <c r="I253" s="27"/>
      <c r="J253" s="28">
        <v>452756.12</v>
      </c>
    </row>
    <row r="254" spans="1:10" x14ac:dyDescent="0.25">
      <c r="A254" s="27"/>
      <c r="B254" s="27"/>
      <c r="C254" s="27"/>
      <c r="D254" s="27"/>
      <c r="E254" s="27"/>
      <c r="F254" s="27"/>
      <c r="G254" s="27"/>
      <c r="H254" s="27" t="s">
        <v>305</v>
      </c>
      <c r="I254" s="27"/>
      <c r="J254" s="28">
        <v>235610</v>
      </c>
    </row>
    <row r="255" spans="1:10" x14ac:dyDescent="0.25">
      <c r="A255" s="27"/>
      <c r="B255" s="27"/>
      <c r="C255" s="27"/>
      <c r="D255" s="27"/>
      <c r="E255" s="27"/>
      <c r="F255" s="27"/>
      <c r="G255" s="27"/>
      <c r="H255" s="27" t="s">
        <v>306</v>
      </c>
      <c r="I255" s="27"/>
      <c r="J255" s="28">
        <v>779074.75</v>
      </c>
    </row>
    <row r="256" spans="1:10" x14ac:dyDescent="0.25">
      <c r="A256" s="27"/>
      <c r="B256" s="27"/>
      <c r="C256" s="27"/>
      <c r="D256" s="27"/>
      <c r="E256" s="27"/>
      <c r="F256" s="27"/>
      <c r="G256" s="27"/>
      <c r="H256" s="27" t="s">
        <v>307</v>
      </c>
      <c r="I256" s="27"/>
      <c r="J256" s="28">
        <v>36160.36</v>
      </c>
    </row>
    <row r="257" spans="1:10" x14ac:dyDescent="0.25">
      <c r="A257" s="27"/>
      <c r="B257" s="27"/>
      <c r="C257" s="27"/>
      <c r="D257" s="27"/>
      <c r="E257" s="27"/>
      <c r="F257" s="27"/>
      <c r="G257" s="27"/>
      <c r="H257" s="27" t="s">
        <v>308</v>
      </c>
      <c r="I257" s="27"/>
      <c r="J257" s="28">
        <v>11370</v>
      </c>
    </row>
    <row r="258" spans="1:10" ht="15.75" thickBot="1" x14ac:dyDescent="0.3">
      <c r="A258" s="27"/>
      <c r="B258" s="27"/>
      <c r="C258" s="27"/>
      <c r="D258" s="27"/>
      <c r="E258" s="27"/>
      <c r="F258" s="27"/>
      <c r="G258" s="27"/>
      <c r="H258" s="27" t="s">
        <v>309</v>
      </c>
      <c r="I258" s="27"/>
      <c r="J258" s="29">
        <v>60210</v>
      </c>
    </row>
    <row r="259" spans="1:10" x14ac:dyDescent="0.25">
      <c r="A259" s="27"/>
      <c r="B259" s="27"/>
      <c r="C259" s="27"/>
      <c r="D259" s="27"/>
      <c r="E259" s="27"/>
      <c r="F259" s="27"/>
      <c r="G259" s="27" t="s">
        <v>310</v>
      </c>
      <c r="H259" s="27"/>
      <c r="I259" s="27"/>
      <c r="J259" s="28">
        <f>ROUND(SUM(J242:J245)+SUM(J249:J258),5)</f>
        <v>5408672.71</v>
      </c>
    </row>
    <row r="260" spans="1:10" x14ac:dyDescent="0.25">
      <c r="A260" s="27"/>
      <c r="B260" s="27"/>
      <c r="C260" s="27"/>
      <c r="D260" s="27"/>
      <c r="E260" s="27"/>
      <c r="F260" s="27"/>
      <c r="G260" s="27" t="s">
        <v>311</v>
      </c>
      <c r="H260" s="27"/>
      <c r="I260" s="27"/>
      <c r="J260" s="28"/>
    </row>
    <row r="261" spans="1:10" x14ac:dyDescent="0.25">
      <c r="A261" s="27"/>
      <c r="B261" s="27"/>
      <c r="C261" s="27"/>
      <c r="D261" s="27"/>
      <c r="E261" s="27"/>
      <c r="F261" s="27"/>
      <c r="G261" s="27"/>
      <c r="H261" s="27" t="s">
        <v>312</v>
      </c>
      <c r="I261" s="27"/>
      <c r="J261" s="28">
        <v>124406.2</v>
      </c>
    </row>
    <row r="262" spans="1:10" x14ac:dyDescent="0.25">
      <c r="A262" s="27"/>
      <c r="B262" s="27"/>
      <c r="C262" s="27"/>
      <c r="D262" s="27"/>
      <c r="E262" s="27"/>
      <c r="F262" s="27"/>
      <c r="G262" s="27"/>
      <c r="H262" s="27" t="s">
        <v>313</v>
      </c>
      <c r="I262" s="27"/>
      <c r="J262" s="28">
        <v>124491.74</v>
      </c>
    </row>
    <row r="263" spans="1:10" x14ac:dyDescent="0.25">
      <c r="A263" s="27"/>
      <c r="B263" s="27"/>
      <c r="C263" s="27"/>
      <c r="D263" s="27"/>
      <c r="E263" s="27"/>
      <c r="F263" s="27"/>
      <c r="G263" s="27"/>
      <c r="H263" s="27" t="s">
        <v>314</v>
      </c>
      <c r="I263" s="27"/>
      <c r="J263" s="28">
        <v>1592777.42</v>
      </c>
    </row>
    <row r="264" spans="1:10" x14ac:dyDescent="0.25">
      <c r="A264" s="27"/>
      <c r="B264" s="27"/>
      <c r="C264" s="27"/>
      <c r="D264" s="27"/>
      <c r="E264" s="27"/>
      <c r="F264" s="27"/>
      <c r="G264" s="27"/>
      <c r="H264" s="27" t="s">
        <v>315</v>
      </c>
      <c r="I264" s="27"/>
      <c r="J264" s="28">
        <v>1006116.28</v>
      </c>
    </row>
    <row r="265" spans="1:10" x14ac:dyDescent="0.25">
      <c r="A265" s="27"/>
      <c r="B265" s="27"/>
      <c r="C265" s="27"/>
      <c r="D265" s="27"/>
      <c r="E265" s="27"/>
      <c r="F265" s="27"/>
      <c r="G265" s="27"/>
      <c r="H265" s="27" t="s">
        <v>316</v>
      </c>
      <c r="I265" s="27"/>
      <c r="J265" s="28">
        <v>154336.53</v>
      </c>
    </row>
    <row r="266" spans="1:10" ht="15.75" thickBot="1" x14ac:dyDescent="0.3">
      <c r="A266" s="27"/>
      <c r="B266" s="27"/>
      <c r="C266" s="27"/>
      <c r="D266" s="27"/>
      <c r="E266" s="27"/>
      <c r="F266" s="27"/>
      <c r="G266" s="27"/>
      <c r="H266" s="27" t="s">
        <v>317</v>
      </c>
      <c r="I266" s="27"/>
      <c r="J266" s="29">
        <v>320963</v>
      </c>
    </row>
    <row r="267" spans="1:10" x14ac:dyDescent="0.25">
      <c r="A267" s="27"/>
      <c r="B267" s="27"/>
      <c r="C267" s="27"/>
      <c r="D267" s="27"/>
      <c r="E267" s="27"/>
      <c r="F267" s="27"/>
      <c r="G267" s="27" t="s">
        <v>318</v>
      </c>
      <c r="H267" s="27"/>
      <c r="I267" s="27"/>
      <c r="J267" s="28">
        <f>ROUND(SUM(J260:J266),5)</f>
        <v>3323091.17</v>
      </c>
    </row>
    <row r="268" spans="1:10" x14ac:dyDescent="0.25">
      <c r="A268" s="27"/>
      <c r="B268" s="27"/>
      <c r="C268" s="27"/>
      <c r="D268" s="27"/>
      <c r="E268" s="27"/>
      <c r="F268" s="27"/>
      <c r="G268" s="27" t="s">
        <v>319</v>
      </c>
      <c r="H268" s="27"/>
      <c r="I268" s="27"/>
      <c r="J268" s="28"/>
    </row>
    <row r="269" spans="1:10" x14ac:dyDescent="0.25">
      <c r="A269" s="27"/>
      <c r="B269" s="27"/>
      <c r="C269" s="27"/>
      <c r="D269" s="27"/>
      <c r="E269" s="27"/>
      <c r="F269" s="27"/>
      <c r="G269" s="27"/>
      <c r="H269" s="27" t="s">
        <v>320</v>
      </c>
      <c r="I269" s="27"/>
      <c r="J269" s="28">
        <v>95223.22</v>
      </c>
    </row>
    <row r="270" spans="1:10" x14ac:dyDescent="0.25">
      <c r="A270" s="27"/>
      <c r="B270" s="27"/>
      <c r="C270" s="27"/>
      <c r="D270" s="27"/>
      <c r="E270" s="27"/>
      <c r="F270" s="27"/>
      <c r="G270" s="27"/>
      <c r="H270" s="27" t="s">
        <v>321</v>
      </c>
      <c r="I270" s="27"/>
      <c r="J270" s="28">
        <v>104899.2</v>
      </c>
    </row>
    <row r="271" spans="1:10" x14ac:dyDescent="0.25">
      <c r="A271" s="27"/>
      <c r="B271" s="27"/>
      <c r="C271" s="27"/>
      <c r="D271" s="27"/>
      <c r="E271" s="27"/>
      <c r="F271" s="27"/>
      <c r="G271" s="27"/>
      <c r="H271" s="27" t="s">
        <v>322</v>
      </c>
      <c r="I271" s="27"/>
      <c r="J271" s="28">
        <v>765000</v>
      </c>
    </row>
    <row r="272" spans="1:10" ht="15.75" thickBot="1" x14ac:dyDescent="0.3">
      <c r="A272" s="27"/>
      <c r="B272" s="27"/>
      <c r="C272" s="27"/>
      <c r="D272" s="27"/>
      <c r="E272" s="27"/>
      <c r="F272" s="27"/>
      <c r="G272" s="27"/>
      <c r="H272" s="27" t="s">
        <v>323</v>
      </c>
      <c r="I272" s="27"/>
      <c r="J272" s="29">
        <v>1295370.45</v>
      </c>
    </row>
    <row r="273" spans="1:10" x14ac:dyDescent="0.25">
      <c r="A273" s="27"/>
      <c r="B273" s="27"/>
      <c r="C273" s="27"/>
      <c r="D273" s="27"/>
      <c r="E273" s="27"/>
      <c r="F273" s="27"/>
      <c r="G273" s="27" t="s">
        <v>324</v>
      </c>
      <c r="H273" s="27"/>
      <c r="I273" s="27"/>
      <c r="J273" s="28">
        <f>ROUND(SUM(J268:J272),5)</f>
        <v>2260492.87</v>
      </c>
    </row>
    <row r="274" spans="1:10" x14ac:dyDescent="0.25">
      <c r="A274" s="27"/>
      <c r="B274" s="27"/>
      <c r="C274" s="27"/>
      <c r="D274" s="27"/>
      <c r="E274" s="27"/>
      <c r="F274" s="27"/>
      <c r="G274" s="27" t="s">
        <v>325</v>
      </c>
      <c r="H274" s="27"/>
      <c r="I274" s="27"/>
      <c r="J274" s="28"/>
    </row>
    <row r="275" spans="1:10" x14ac:dyDescent="0.25">
      <c r="A275" s="27"/>
      <c r="B275" s="27"/>
      <c r="C275" s="27"/>
      <c r="D275" s="27"/>
      <c r="E275" s="27"/>
      <c r="F275" s="27"/>
      <c r="G275" s="27"/>
      <c r="H275" s="27" t="s">
        <v>326</v>
      </c>
      <c r="I275" s="27"/>
      <c r="J275" s="28">
        <v>1164666</v>
      </c>
    </row>
    <row r="276" spans="1:10" x14ac:dyDescent="0.25">
      <c r="A276" s="27"/>
      <c r="B276" s="27"/>
      <c r="C276" s="27"/>
      <c r="D276" s="27"/>
      <c r="E276" s="27"/>
      <c r="F276" s="27"/>
      <c r="G276" s="27"/>
      <c r="H276" s="27" t="s">
        <v>327</v>
      </c>
      <c r="I276" s="27"/>
      <c r="J276" s="28">
        <v>1049100</v>
      </c>
    </row>
    <row r="277" spans="1:10" x14ac:dyDescent="0.25">
      <c r="A277" s="27"/>
      <c r="B277" s="27"/>
      <c r="C277" s="27"/>
      <c r="D277" s="27"/>
      <c r="E277" s="27"/>
      <c r="F277" s="27"/>
      <c r="G277" s="27"/>
      <c r="H277" s="27" t="s">
        <v>328</v>
      </c>
      <c r="I277" s="27"/>
      <c r="J277" s="28">
        <v>429568.02</v>
      </c>
    </row>
    <row r="278" spans="1:10" x14ac:dyDescent="0.25">
      <c r="A278" s="27"/>
      <c r="B278" s="27"/>
      <c r="C278" s="27"/>
      <c r="D278" s="27"/>
      <c r="E278" s="27"/>
      <c r="F278" s="27"/>
      <c r="G278" s="27"/>
      <c r="H278" s="27" t="s">
        <v>329</v>
      </c>
      <c r="I278" s="27"/>
      <c r="J278" s="28">
        <v>1223391.33</v>
      </c>
    </row>
    <row r="279" spans="1:10" x14ac:dyDescent="0.25">
      <c r="A279" s="27"/>
      <c r="B279" s="27"/>
      <c r="C279" s="27"/>
      <c r="D279" s="27"/>
      <c r="E279" s="27"/>
      <c r="F279" s="27"/>
      <c r="G279" s="27"/>
      <c r="H279" s="27" t="s">
        <v>330</v>
      </c>
      <c r="I279" s="27"/>
      <c r="J279" s="28">
        <v>563331</v>
      </c>
    </row>
    <row r="280" spans="1:10" x14ac:dyDescent="0.25">
      <c r="A280" s="27"/>
      <c r="B280" s="27"/>
      <c r="C280" s="27"/>
      <c r="D280" s="27"/>
      <c r="E280" s="27"/>
      <c r="F280" s="27"/>
      <c r="G280" s="27"/>
      <c r="H280" s="27" t="s">
        <v>331</v>
      </c>
      <c r="I280" s="27"/>
      <c r="J280" s="28">
        <v>10815</v>
      </c>
    </row>
    <row r="281" spans="1:10" ht="15.75" thickBot="1" x14ac:dyDescent="0.3">
      <c r="A281" s="27"/>
      <c r="B281" s="27"/>
      <c r="C281" s="27"/>
      <c r="D281" s="27"/>
      <c r="E281" s="27"/>
      <c r="F281" s="27"/>
      <c r="G281" s="27"/>
      <c r="H281" s="27" t="s">
        <v>332</v>
      </c>
      <c r="I281" s="27"/>
      <c r="J281" s="29">
        <v>22447</v>
      </c>
    </row>
    <row r="282" spans="1:10" x14ac:dyDescent="0.25">
      <c r="A282" s="27"/>
      <c r="B282" s="27"/>
      <c r="C282" s="27"/>
      <c r="D282" s="27"/>
      <c r="E282" s="27"/>
      <c r="F282" s="27"/>
      <c r="G282" s="27" t="s">
        <v>333</v>
      </c>
      <c r="H282" s="27"/>
      <c r="I282" s="27"/>
      <c r="J282" s="28">
        <f>ROUND(SUM(J274:J281),5)</f>
        <v>4463318.3499999996</v>
      </c>
    </row>
    <row r="283" spans="1:10" x14ac:dyDescent="0.25">
      <c r="A283" s="27"/>
      <c r="B283" s="27"/>
      <c r="C283" s="27"/>
      <c r="D283" s="27"/>
      <c r="E283" s="27"/>
      <c r="F283" s="27"/>
      <c r="G283" s="27" t="s">
        <v>334</v>
      </c>
      <c r="H283" s="27"/>
      <c r="I283" s="27"/>
      <c r="J283" s="28"/>
    </row>
    <row r="284" spans="1:10" x14ac:dyDescent="0.25">
      <c r="A284" s="27"/>
      <c r="B284" s="27"/>
      <c r="C284" s="27"/>
      <c r="D284" s="27"/>
      <c r="E284" s="27"/>
      <c r="F284" s="27"/>
      <c r="G284" s="27"/>
      <c r="H284" s="27" t="s">
        <v>335</v>
      </c>
      <c r="I284" s="27"/>
      <c r="J284" s="28">
        <v>386310.65</v>
      </c>
    </row>
    <row r="285" spans="1:10" x14ac:dyDescent="0.25">
      <c r="A285" s="27"/>
      <c r="B285" s="27"/>
      <c r="C285" s="27"/>
      <c r="D285" s="27"/>
      <c r="E285" s="27"/>
      <c r="F285" s="27"/>
      <c r="G285" s="27"/>
      <c r="H285" s="27" t="s">
        <v>336</v>
      </c>
      <c r="I285" s="27"/>
      <c r="J285" s="28">
        <v>1091186.47</v>
      </c>
    </row>
    <row r="286" spans="1:10" x14ac:dyDescent="0.25">
      <c r="A286" s="27"/>
      <c r="B286" s="27"/>
      <c r="C286" s="27"/>
      <c r="D286" s="27"/>
      <c r="E286" s="27"/>
      <c r="F286" s="27"/>
      <c r="G286" s="27"/>
      <c r="H286" s="27" t="s">
        <v>337</v>
      </c>
      <c r="I286" s="27"/>
      <c r="J286" s="28">
        <v>225430.59</v>
      </c>
    </row>
    <row r="287" spans="1:10" ht="15.75" thickBot="1" x14ac:dyDescent="0.3">
      <c r="A287" s="27"/>
      <c r="B287" s="27"/>
      <c r="C287" s="27"/>
      <c r="D287" s="27"/>
      <c r="E287" s="27"/>
      <c r="F287" s="27"/>
      <c r="G287" s="27"/>
      <c r="H287" s="27" t="s">
        <v>338</v>
      </c>
      <c r="I287" s="27"/>
      <c r="J287" s="29">
        <v>196638.2</v>
      </c>
    </row>
    <row r="288" spans="1:10" x14ac:dyDescent="0.25">
      <c r="A288" s="27"/>
      <c r="B288" s="27"/>
      <c r="C288" s="27"/>
      <c r="D288" s="27"/>
      <c r="E288" s="27"/>
      <c r="F288" s="27"/>
      <c r="G288" s="27" t="s">
        <v>339</v>
      </c>
      <c r="H288" s="27"/>
      <c r="I288" s="27"/>
      <c r="J288" s="28">
        <f>ROUND(SUM(J283:J287),5)</f>
        <v>1899565.91</v>
      </c>
    </row>
    <row r="289" spans="1:10" x14ac:dyDescent="0.25">
      <c r="A289" s="27"/>
      <c r="B289" s="27"/>
      <c r="C289" s="27"/>
      <c r="D289" s="27"/>
      <c r="E289" s="27"/>
      <c r="F289" s="27"/>
      <c r="G289" s="27" t="s">
        <v>340</v>
      </c>
      <c r="H289" s="27"/>
      <c r="I289" s="27"/>
      <c r="J289" s="28"/>
    </row>
    <row r="290" spans="1:10" ht="15.75" thickBot="1" x14ac:dyDescent="0.3">
      <c r="A290" s="27"/>
      <c r="B290" s="27"/>
      <c r="C290" s="27"/>
      <c r="D290" s="27"/>
      <c r="E290" s="27"/>
      <c r="F290" s="27"/>
      <c r="G290" s="27"/>
      <c r="H290" s="27" t="s">
        <v>341</v>
      </c>
      <c r="I290" s="27"/>
      <c r="J290" s="29">
        <v>15071</v>
      </c>
    </row>
    <row r="291" spans="1:10" x14ac:dyDescent="0.25">
      <c r="A291" s="27"/>
      <c r="B291" s="27"/>
      <c r="C291" s="27"/>
      <c r="D291" s="27"/>
      <c r="E291" s="27"/>
      <c r="F291" s="27"/>
      <c r="G291" s="27" t="s">
        <v>342</v>
      </c>
      <c r="H291" s="27"/>
      <c r="I291" s="27"/>
      <c r="J291" s="28">
        <f>ROUND(SUM(J289:J290),5)</f>
        <v>15071</v>
      </c>
    </row>
    <row r="292" spans="1:10" x14ac:dyDescent="0.25">
      <c r="A292" s="27"/>
      <c r="B292" s="27"/>
      <c r="C292" s="27"/>
      <c r="D292" s="27"/>
      <c r="E292" s="27"/>
      <c r="F292" s="27"/>
      <c r="G292" s="27" t="s">
        <v>343</v>
      </c>
      <c r="H292" s="27"/>
      <c r="I292" s="27"/>
      <c r="J292" s="28"/>
    </row>
    <row r="293" spans="1:10" x14ac:dyDescent="0.25">
      <c r="A293" s="27"/>
      <c r="B293" s="27"/>
      <c r="C293" s="27"/>
      <c r="D293" s="27"/>
      <c r="E293" s="27"/>
      <c r="F293" s="27"/>
      <c r="G293" s="27"/>
      <c r="H293" s="27" t="s">
        <v>344</v>
      </c>
      <c r="I293" s="27"/>
      <c r="J293" s="28">
        <v>495341.31</v>
      </c>
    </row>
    <row r="294" spans="1:10" x14ac:dyDescent="0.25">
      <c r="A294" s="27"/>
      <c r="B294" s="27"/>
      <c r="C294" s="27"/>
      <c r="D294" s="27"/>
      <c r="E294" s="27"/>
      <c r="F294" s="27"/>
      <c r="G294" s="27"/>
      <c r="H294" s="27" t="s">
        <v>345</v>
      </c>
      <c r="I294" s="27"/>
      <c r="J294" s="28">
        <v>169056.72</v>
      </c>
    </row>
    <row r="295" spans="1:10" x14ac:dyDescent="0.25">
      <c r="A295" s="27"/>
      <c r="B295" s="27"/>
      <c r="C295" s="27"/>
      <c r="D295" s="27"/>
      <c r="E295" s="27"/>
      <c r="F295" s="27"/>
      <c r="G295" s="27"/>
      <c r="H295" s="27" t="s">
        <v>346</v>
      </c>
      <c r="I295" s="27"/>
      <c r="J295" s="28">
        <v>2464395.56</v>
      </c>
    </row>
    <row r="296" spans="1:10" x14ac:dyDescent="0.25">
      <c r="A296" s="27"/>
      <c r="B296" s="27"/>
      <c r="C296" s="27"/>
      <c r="D296" s="27"/>
      <c r="E296" s="27"/>
      <c r="F296" s="27"/>
      <c r="G296" s="27"/>
      <c r="H296" s="27" t="s">
        <v>347</v>
      </c>
      <c r="I296" s="27"/>
      <c r="J296" s="28">
        <v>566435.43999999994</v>
      </c>
    </row>
    <row r="297" spans="1:10" x14ac:dyDescent="0.25">
      <c r="A297" s="27"/>
      <c r="B297" s="27"/>
      <c r="C297" s="27"/>
      <c r="D297" s="27"/>
      <c r="E297" s="27"/>
      <c r="F297" s="27"/>
      <c r="G297" s="27"/>
      <c r="H297" s="27" t="s">
        <v>348</v>
      </c>
      <c r="I297" s="27"/>
      <c r="J297" s="28">
        <v>154405.60999999999</v>
      </c>
    </row>
    <row r="298" spans="1:10" x14ac:dyDescent="0.25">
      <c r="A298" s="27"/>
      <c r="B298" s="27"/>
      <c r="C298" s="27"/>
      <c r="D298" s="27"/>
      <c r="E298" s="27"/>
      <c r="F298" s="27"/>
      <c r="G298" s="27"/>
      <c r="H298" s="27" t="s">
        <v>349</v>
      </c>
      <c r="I298" s="27"/>
      <c r="J298" s="28">
        <v>112120</v>
      </c>
    </row>
    <row r="299" spans="1:10" x14ac:dyDescent="0.25">
      <c r="A299" s="27"/>
      <c r="B299" s="27"/>
      <c r="C299" s="27"/>
      <c r="D299" s="27"/>
      <c r="E299" s="27"/>
      <c r="F299" s="27"/>
      <c r="G299" s="27"/>
      <c r="H299" s="27" t="s">
        <v>350</v>
      </c>
      <c r="I299" s="27"/>
      <c r="J299" s="28">
        <v>155261.29999999999</v>
      </c>
    </row>
    <row r="300" spans="1:10" x14ac:dyDescent="0.25">
      <c r="A300" s="27"/>
      <c r="B300" s="27"/>
      <c r="C300" s="27"/>
      <c r="D300" s="27"/>
      <c r="E300" s="27"/>
      <c r="F300" s="27"/>
      <c r="G300" s="27"/>
      <c r="H300" s="27" t="s">
        <v>351</v>
      </c>
      <c r="I300" s="27"/>
      <c r="J300" s="28">
        <v>36187.589999999997</v>
      </c>
    </row>
    <row r="301" spans="1:10" ht="15.75" thickBot="1" x14ac:dyDescent="0.3">
      <c r="A301" s="27"/>
      <c r="B301" s="27"/>
      <c r="C301" s="27"/>
      <c r="D301" s="27"/>
      <c r="E301" s="27"/>
      <c r="F301" s="27"/>
      <c r="G301" s="27"/>
      <c r="H301" s="27" t="s">
        <v>352</v>
      </c>
      <c r="I301" s="27"/>
      <c r="J301" s="29">
        <v>15</v>
      </c>
    </row>
    <row r="302" spans="1:10" x14ac:dyDescent="0.25">
      <c r="A302" s="27"/>
      <c r="B302" s="27"/>
      <c r="C302" s="27"/>
      <c r="D302" s="27"/>
      <c r="E302" s="27"/>
      <c r="F302" s="27"/>
      <c r="G302" s="27" t="s">
        <v>353</v>
      </c>
      <c r="H302" s="27"/>
      <c r="I302" s="27"/>
      <c r="J302" s="28">
        <f>ROUND(SUM(J292:J301),5)</f>
        <v>4153218.53</v>
      </c>
    </row>
    <row r="303" spans="1:10" ht="15.75" thickBot="1" x14ac:dyDescent="0.3">
      <c r="A303" s="27"/>
      <c r="B303" s="27"/>
      <c r="C303" s="27"/>
      <c r="D303" s="27"/>
      <c r="E303" s="27"/>
      <c r="F303" s="27"/>
      <c r="G303" s="27" t="s">
        <v>354</v>
      </c>
      <c r="H303" s="27"/>
      <c r="I303" s="27"/>
      <c r="J303" s="30">
        <v>5111</v>
      </c>
    </row>
    <row r="304" spans="1:10" ht="15.75" thickBot="1" x14ac:dyDescent="0.3">
      <c r="A304" s="27"/>
      <c r="B304" s="27"/>
      <c r="C304" s="27"/>
      <c r="D304" s="27"/>
      <c r="E304" s="27"/>
      <c r="F304" s="27" t="s">
        <v>355</v>
      </c>
      <c r="G304" s="27"/>
      <c r="H304" s="27"/>
      <c r="I304" s="27"/>
      <c r="J304" s="34">
        <f>ROUND(J230+J241+J259+J267+J273+J282+J288+J291+SUM(J302:J303),5)</f>
        <v>56633402.18</v>
      </c>
    </row>
    <row r="305" spans="1:11" ht="15.75" thickBot="1" x14ac:dyDescent="0.3">
      <c r="A305" s="27"/>
      <c r="B305" s="27"/>
      <c r="C305" s="27"/>
      <c r="D305" s="27"/>
      <c r="E305" s="27" t="s">
        <v>356</v>
      </c>
      <c r="F305" s="27"/>
      <c r="G305" s="27"/>
      <c r="H305" s="27"/>
      <c r="I305" s="27"/>
      <c r="J305" s="34">
        <f>ROUND(J98+J221+J229+J304,5)</f>
        <v>84852421.420000002</v>
      </c>
      <c r="K305" s="71">
        <f>SUM(K85:K304)</f>
        <v>452395</v>
      </c>
    </row>
    <row r="306" spans="1:11" ht="15.75" thickBot="1" x14ac:dyDescent="0.3">
      <c r="A306" s="27"/>
      <c r="B306" s="27"/>
      <c r="C306" s="27"/>
      <c r="D306" s="27" t="s">
        <v>357</v>
      </c>
      <c r="E306" s="27"/>
      <c r="F306" s="27"/>
      <c r="G306" s="27"/>
      <c r="H306" s="27"/>
      <c r="I306" s="27"/>
      <c r="J306" s="33">
        <f>ROUND(J97+J305,5)</f>
        <v>84852421.420000002</v>
      </c>
      <c r="K306" s="72">
        <f>SUM(K305/J37)</f>
        <v>1.8996449307585224E-3</v>
      </c>
    </row>
    <row r="307" spans="1:11" x14ac:dyDescent="0.25">
      <c r="A307" s="27"/>
      <c r="B307" s="27" t="s">
        <v>358</v>
      </c>
      <c r="C307" s="27"/>
      <c r="D307" s="27"/>
      <c r="E307" s="27"/>
      <c r="F307" s="27"/>
      <c r="G307" s="27"/>
      <c r="H307" s="27"/>
      <c r="I307" s="27"/>
      <c r="J307" s="28">
        <f>ROUND(J2+J96-J306,5)</f>
        <v>38577472.439999998</v>
      </c>
    </row>
    <row r="308" spans="1:11" x14ac:dyDescent="0.25">
      <c r="A308" s="27"/>
      <c r="B308" s="27" t="s">
        <v>359</v>
      </c>
      <c r="C308" s="27"/>
      <c r="D308" s="27"/>
      <c r="E308" s="27"/>
      <c r="F308" s="27"/>
      <c r="G308" s="27"/>
      <c r="H308" s="27"/>
      <c r="I308" s="27"/>
      <c r="J308" s="28"/>
    </row>
    <row r="309" spans="1:11" x14ac:dyDescent="0.25">
      <c r="A309" s="27"/>
      <c r="B309" s="27"/>
      <c r="C309" s="27" t="s">
        <v>360</v>
      </c>
      <c r="D309" s="27"/>
      <c r="E309" s="27"/>
      <c r="F309" s="27"/>
      <c r="G309" s="27"/>
      <c r="H309" s="27"/>
      <c r="I309" s="27"/>
      <c r="J309" s="28"/>
    </row>
    <row r="310" spans="1:11" x14ac:dyDescent="0.25">
      <c r="A310" s="27"/>
      <c r="B310" s="27"/>
      <c r="C310" s="27"/>
      <c r="D310" s="27" t="s">
        <v>361</v>
      </c>
      <c r="E310" s="27"/>
      <c r="F310" s="27"/>
      <c r="G310" s="27"/>
      <c r="H310" s="27"/>
      <c r="I310" s="27"/>
      <c r="J310" s="28"/>
    </row>
    <row r="311" spans="1:11" x14ac:dyDescent="0.25">
      <c r="A311" s="27"/>
      <c r="B311" s="27"/>
      <c r="C311" s="27"/>
      <c r="D311" s="27"/>
      <c r="E311" s="27" t="s">
        <v>362</v>
      </c>
      <c r="F311" s="27"/>
      <c r="G311" s="27"/>
      <c r="H311" s="27"/>
      <c r="I311" s="27"/>
      <c r="J311" s="28">
        <v>38586</v>
      </c>
    </row>
    <row r="312" spans="1:11" x14ac:dyDescent="0.25">
      <c r="A312" s="27"/>
      <c r="B312" s="27"/>
      <c r="C312" s="27"/>
      <c r="D312" s="27"/>
      <c r="E312" s="27" t="s">
        <v>363</v>
      </c>
      <c r="F312" s="27"/>
      <c r="G312" s="27"/>
      <c r="H312" s="27"/>
      <c r="I312" s="27"/>
      <c r="J312" s="28">
        <v>124379</v>
      </c>
    </row>
    <row r="313" spans="1:11" x14ac:dyDescent="0.25">
      <c r="A313" s="27"/>
      <c r="B313" s="27"/>
      <c r="C313" s="27"/>
      <c r="D313" s="27"/>
      <c r="E313" s="27" t="s">
        <v>364</v>
      </c>
      <c r="F313" s="27"/>
      <c r="G313" s="27"/>
      <c r="H313" s="27"/>
      <c r="I313" s="27"/>
      <c r="J313" s="28">
        <v>11697.2</v>
      </c>
    </row>
    <row r="314" spans="1:11" ht="15.75" thickBot="1" x14ac:dyDescent="0.3">
      <c r="A314" s="27"/>
      <c r="B314" s="27"/>
      <c r="C314" s="27"/>
      <c r="D314" s="27"/>
      <c r="E314" s="27" t="s">
        <v>365</v>
      </c>
      <c r="F314" s="27"/>
      <c r="G314" s="27"/>
      <c r="H314" s="27"/>
      <c r="I314" s="27"/>
      <c r="J314" s="30">
        <v>-170659.49</v>
      </c>
    </row>
    <row r="315" spans="1:11" ht="15.75" thickBot="1" x14ac:dyDescent="0.3">
      <c r="A315" s="27"/>
      <c r="B315" s="27"/>
      <c r="C315" s="27"/>
      <c r="D315" s="27" t="s">
        <v>366</v>
      </c>
      <c r="E315" s="27"/>
      <c r="F315" s="27"/>
      <c r="G315" s="27"/>
      <c r="H315" s="27"/>
      <c r="I315" s="27"/>
      <c r="J315" s="33">
        <f>ROUND(SUM(J310:J314),5)</f>
        <v>4002.71</v>
      </c>
    </row>
    <row r="316" spans="1:11" x14ac:dyDescent="0.25">
      <c r="A316" s="27"/>
      <c r="B316" s="27"/>
      <c r="C316" s="27" t="s">
        <v>367</v>
      </c>
      <c r="D316" s="27"/>
      <c r="E316" s="27"/>
      <c r="F316" s="27"/>
      <c r="G316" s="27"/>
      <c r="H316" s="27"/>
      <c r="I316" s="27"/>
      <c r="J316" s="28">
        <f>ROUND(J309+J315,5)</f>
        <v>4002.71</v>
      </c>
    </row>
    <row r="317" spans="1:11" x14ac:dyDescent="0.25">
      <c r="A317" s="27"/>
      <c r="B317" s="27"/>
      <c r="C317" s="27" t="s">
        <v>368</v>
      </c>
      <c r="D317" s="27"/>
      <c r="E317" s="27"/>
      <c r="F317" s="27"/>
      <c r="G317" s="27"/>
      <c r="H317" s="27"/>
      <c r="I317" s="27"/>
      <c r="J317" s="28"/>
    </row>
    <row r="318" spans="1:11" ht="15.75" thickBot="1" x14ac:dyDescent="0.3">
      <c r="A318" s="27"/>
      <c r="B318" s="27"/>
      <c r="C318" s="27"/>
      <c r="D318" s="27" t="s">
        <v>369</v>
      </c>
      <c r="E318" s="27"/>
      <c r="F318" s="27"/>
      <c r="G318" s="27"/>
      <c r="H318" s="27"/>
      <c r="I318" s="27"/>
      <c r="J318" s="30">
        <v>4920</v>
      </c>
    </row>
    <row r="319" spans="1:11" ht="15.75" thickBot="1" x14ac:dyDescent="0.3">
      <c r="A319" s="27"/>
      <c r="B319" s="27"/>
      <c r="C319" s="27" t="s">
        <v>370</v>
      </c>
      <c r="D319" s="27"/>
      <c r="E319" s="27"/>
      <c r="F319" s="27"/>
      <c r="G319" s="27"/>
      <c r="H319" s="27"/>
      <c r="I319" s="27"/>
      <c r="J319" s="34">
        <f>ROUND(SUM(J317:J318),5)</f>
        <v>4920</v>
      </c>
    </row>
    <row r="320" spans="1:11" ht="15.75" thickBot="1" x14ac:dyDescent="0.3">
      <c r="A320" s="27"/>
      <c r="B320" s="27" t="s">
        <v>371</v>
      </c>
      <c r="C320" s="27"/>
      <c r="D320" s="27"/>
      <c r="E320" s="27"/>
      <c r="F320" s="27"/>
      <c r="G320" s="27"/>
      <c r="H320" s="27"/>
      <c r="I320" s="27"/>
      <c r="J320" s="34">
        <f>ROUND(J308+J316-J319,5)</f>
        <v>-917.29</v>
      </c>
    </row>
    <row r="321" spans="1:10" ht="15.75" thickBot="1" x14ac:dyDescent="0.3">
      <c r="A321" s="27" t="s">
        <v>372</v>
      </c>
      <c r="B321" s="27"/>
      <c r="C321" s="27"/>
      <c r="D321" s="27"/>
      <c r="E321" s="27"/>
      <c r="F321" s="27"/>
      <c r="G321" s="27"/>
      <c r="H321" s="27"/>
      <c r="I321" s="27"/>
      <c r="J321" s="35">
        <f>ROUND(J307+J320,5)</f>
        <v>38576555.149999999</v>
      </c>
    </row>
    <row r="322" spans="1:10" ht="15.75" thickTop="1" x14ac:dyDescent="0.25">
      <c r="A322" s="50"/>
      <c r="B322" s="50"/>
      <c r="C322" s="50"/>
      <c r="D322" s="50"/>
      <c r="E322" s="50"/>
      <c r="F322" s="50"/>
      <c r="G322" s="50"/>
      <c r="H322" s="50"/>
      <c r="I322" s="50"/>
      <c r="J322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322"/>
  <sheetViews>
    <sheetView workbookViewId="0">
      <selection activeCell="L7" sqref="L7"/>
    </sheetView>
  </sheetViews>
  <sheetFormatPr defaultRowHeight="15" x14ac:dyDescent="0.25"/>
  <cols>
    <col min="9" max="9" width="28.140625" customWidth="1"/>
    <col min="10" max="10" width="15.42578125" customWidth="1"/>
    <col min="11" max="11" width="11.5703125" bestFit="1" customWidth="1"/>
  </cols>
  <sheetData>
    <row r="1" spans="1:13" ht="15.75" thickBot="1" x14ac:dyDescent="0.3">
      <c r="A1" s="31"/>
      <c r="B1" s="31"/>
      <c r="C1" s="31"/>
      <c r="D1" s="31"/>
      <c r="E1" s="31"/>
      <c r="F1" s="31"/>
      <c r="G1" s="31"/>
      <c r="H1" s="31"/>
      <c r="I1" s="31"/>
      <c r="J1" s="32" t="s">
        <v>52</v>
      </c>
      <c r="K1" s="102"/>
      <c r="L1" s="102"/>
      <c r="M1" s="102"/>
    </row>
    <row r="2" spans="1:13" ht="15.75" thickTop="1" x14ac:dyDescent="0.25">
      <c r="A2" s="27"/>
      <c r="B2" s="27" t="s">
        <v>53</v>
      </c>
      <c r="C2" s="27"/>
      <c r="D2" s="27"/>
      <c r="E2" s="27"/>
      <c r="F2" s="27"/>
      <c r="G2" s="27"/>
      <c r="H2" s="27"/>
      <c r="I2" s="27"/>
      <c r="J2" s="28"/>
      <c r="K2" s="23"/>
      <c r="L2" s="23"/>
      <c r="M2" s="23"/>
    </row>
    <row r="3" spans="1:13" x14ac:dyDescent="0.25">
      <c r="A3" s="27"/>
      <c r="B3" s="27"/>
      <c r="C3" s="27"/>
      <c r="D3" s="27" t="s">
        <v>54</v>
      </c>
      <c r="E3" s="27"/>
      <c r="F3" s="27"/>
      <c r="G3" s="27"/>
      <c r="H3" s="27"/>
      <c r="I3" s="27"/>
      <c r="J3" s="28"/>
      <c r="K3" s="23"/>
      <c r="L3" s="23"/>
      <c r="M3" s="23"/>
    </row>
    <row r="4" spans="1:13" x14ac:dyDescent="0.25">
      <c r="A4" s="27"/>
      <c r="B4" s="27"/>
      <c r="C4" s="27"/>
      <c r="D4" s="27"/>
      <c r="E4" s="27" t="s">
        <v>55</v>
      </c>
      <c r="F4" s="27"/>
      <c r="G4" s="27"/>
      <c r="H4" s="27"/>
      <c r="I4" s="27"/>
      <c r="J4" s="28"/>
      <c r="K4" s="23"/>
      <c r="L4" s="23"/>
      <c r="M4" s="23"/>
    </row>
    <row r="5" spans="1:13" x14ac:dyDescent="0.25">
      <c r="A5" s="27"/>
      <c r="B5" s="27"/>
      <c r="C5" s="27"/>
      <c r="D5" s="27"/>
      <c r="E5" s="27"/>
      <c r="F5" s="27" t="s">
        <v>56</v>
      </c>
      <c r="G5" s="27"/>
      <c r="H5" s="27"/>
      <c r="I5" s="27"/>
      <c r="J5" s="28">
        <v>85476202.180000007</v>
      </c>
      <c r="K5" s="23"/>
      <c r="L5" s="23"/>
      <c r="M5" s="23"/>
    </row>
    <row r="6" spans="1:13" x14ac:dyDescent="0.25">
      <c r="A6" s="27"/>
      <c r="B6" s="27"/>
      <c r="C6" s="27"/>
      <c r="D6" s="27"/>
      <c r="E6" s="27"/>
      <c r="F6" s="27" t="s">
        <v>57</v>
      </c>
      <c r="G6" s="27"/>
      <c r="H6" s="27"/>
      <c r="I6" s="27"/>
      <c r="J6" s="28">
        <v>9400219.8000000007</v>
      </c>
      <c r="K6" s="23"/>
      <c r="L6" s="23"/>
      <c r="M6" s="23"/>
    </row>
    <row r="7" spans="1:13" x14ac:dyDescent="0.25">
      <c r="A7" s="27"/>
      <c r="B7" s="27"/>
      <c r="C7" s="27"/>
      <c r="D7" s="27"/>
      <c r="E7" s="27"/>
      <c r="F7" s="27" t="s">
        <v>58</v>
      </c>
      <c r="G7" s="27"/>
      <c r="H7" s="27"/>
      <c r="I7" s="27"/>
      <c r="J7" s="28">
        <v>3691677.82</v>
      </c>
      <c r="K7" s="23"/>
      <c r="L7" s="23"/>
      <c r="M7" s="23"/>
    </row>
    <row r="8" spans="1:13" x14ac:dyDescent="0.25">
      <c r="A8" s="27"/>
      <c r="B8" s="27"/>
      <c r="C8" s="27"/>
      <c r="D8" s="27"/>
      <c r="E8" s="27"/>
      <c r="F8" s="27" t="s">
        <v>59</v>
      </c>
      <c r="G8" s="27"/>
      <c r="H8" s="27"/>
      <c r="I8" s="27"/>
      <c r="J8" s="28">
        <v>4244807.01</v>
      </c>
      <c r="K8" s="23"/>
      <c r="L8" s="23"/>
      <c r="M8" s="23"/>
    </row>
    <row r="9" spans="1:13" x14ac:dyDescent="0.25">
      <c r="A9" s="27"/>
      <c r="B9" s="27"/>
      <c r="C9" s="27"/>
      <c r="D9" s="27"/>
      <c r="E9" s="27"/>
      <c r="F9" s="27" t="s">
        <v>60</v>
      </c>
      <c r="G9" s="27"/>
      <c r="H9" s="27"/>
      <c r="I9" s="27"/>
      <c r="J9" s="28">
        <v>57966772.770000003</v>
      </c>
      <c r="K9" s="23"/>
      <c r="L9" s="23"/>
      <c r="M9" s="23"/>
    </row>
    <row r="10" spans="1:13" x14ac:dyDescent="0.25">
      <c r="A10" s="27"/>
      <c r="B10" s="27"/>
      <c r="C10" s="27"/>
      <c r="D10" s="27"/>
      <c r="E10" s="27"/>
      <c r="F10" s="27" t="s">
        <v>61</v>
      </c>
      <c r="G10" s="27"/>
      <c r="H10" s="27"/>
      <c r="I10" s="27"/>
      <c r="J10" s="28">
        <v>794531.15</v>
      </c>
      <c r="K10" s="23"/>
      <c r="L10" s="23"/>
      <c r="M10" s="23"/>
    </row>
    <row r="11" spans="1:13" x14ac:dyDescent="0.25">
      <c r="A11" s="27"/>
      <c r="B11" s="27"/>
      <c r="C11" s="27"/>
      <c r="D11" s="27"/>
      <c r="E11" s="27"/>
      <c r="F11" s="27" t="s">
        <v>62</v>
      </c>
      <c r="G11" s="27"/>
      <c r="H11" s="27"/>
      <c r="I11" s="27"/>
      <c r="J11" s="28"/>
      <c r="K11" s="23"/>
      <c r="L11" s="23"/>
      <c r="M11" s="23"/>
    </row>
    <row r="12" spans="1:13" x14ac:dyDescent="0.25">
      <c r="A12" s="27"/>
      <c r="B12" s="27"/>
      <c r="C12" s="27"/>
      <c r="D12" s="27"/>
      <c r="E12" s="27"/>
      <c r="F12" s="27"/>
      <c r="G12" s="27" t="s">
        <v>63</v>
      </c>
      <c r="H12" s="27"/>
      <c r="I12" s="27"/>
      <c r="J12" s="28">
        <v>26865</v>
      </c>
      <c r="K12" s="23"/>
      <c r="L12" s="23"/>
      <c r="M12" s="23"/>
    </row>
    <row r="13" spans="1:13" x14ac:dyDescent="0.25">
      <c r="A13" s="27"/>
      <c r="B13" s="27"/>
      <c r="C13" s="27"/>
      <c r="D13" s="27"/>
      <c r="E13" s="27"/>
      <c r="F13" s="27"/>
      <c r="G13" s="27" t="s">
        <v>64</v>
      </c>
      <c r="H13" s="27"/>
      <c r="I13" s="27"/>
      <c r="J13" s="28">
        <v>57700</v>
      </c>
      <c r="K13" s="23"/>
      <c r="L13" s="23"/>
      <c r="M13" s="23"/>
    </row>
    <row r="14" spans="1:13" x14ac:dyDescent="0.25">
      <c r="A14" s="27"/>
      <c r="B14" s="27"/>
      <c r="C14" s="27"/>
      <c r="D14" s="27"/>
      <c r="E14" s="27"/>
      <c r="F14" s="27"/>
      <c r="G14" s="27" t="s">
        <v>65</v>
      </c>
      <c r="H14" s="27"/>
      <c r="I14" s="27"/>
      <c r="J14" s="28">
        <v>-12947.5</v>
      </c>
      <c r="K14" s="23"/>
      <c r="L14" s="23"/>
      <c r="M14" s="23"/>
    </row>
    <row r="15" spans="1:13" x14ac:dyDescent="0.25">
      <c r="A15" s="27"/>
      <c r="B15" s="27"/>
      <c r="C15" s="27"/>
      <c r="D15" s="27"/>
      <c r="E15" s="27"/>
      <c r="F15" s="27"/>
      <c r="G15" s="27" t="s">
        <v>66</v>
      </c>
      <c r="H15" s="27"/>
      <c r="I15" s="27"/>
      <c r="J15" s="28">
        <v>-9127</v>
      </c>
      <c r="K15" s="23"/>
      <c r="L15" s="23"/>
      <c r="M15" s="23"/>
    </row>
    <row r="16" spans="1:13" x14ac:dyDescent="0.25">
      <c r="A16" s="27"/>
      <c r="B16" s="27"/>
      <c r="C16" s="27"/>
      <c r="D16" s="27"/>
      <c r="E16" s="27"/>
      <c r="F16" s="27"/>
      <c r="G16" s="27" t="s">
        <v>67</v>
      </c>
      <c r="H16" s="27"/>
      <c r="I16" s="27"/>
      <c r="J16" s="28">
        <v>-435</v>
      </c>
      <c r="K16" s="23"/>
      <c r="L16" s="23"/>
      <c r="M16" s="23"/>
    </row>
    <row r="17" spans="1:13" x14ac:dyDescent="0.25">
      <c r="A17" s="27"/>
      <c r="B17" s="27"/>
      <c r="C17" s="27"/>
      <c r="D17" s="27"/>
      <c r="E17" s="27"/>
      <c r="F17" s="27"/>
      <c r="G17" s="27" t="s">
        <v>68</v>
      </c>
      <c r="H17" s="27"/>
      <c r="I17" s="27"/>
      <c r="J17" s="28">
        <v>-18472</v>
      </c>
      <c r="K17" s="23"/>
      <c r="L17" s="23"/>
      <c r="M17" s="23"/>
    </row>
    <row r="18" spans="1:13" x14ac:dyDescent="0.25">
      <c r="A18" s="27"/>
      <c r="B18" s="27"/>
      <c r="C18" s="27"/>
      <c r="D18" s="27"/>
      <c r="E18" s="27"/>
      <c r="F18" s="27"/>
      <c r="G18" s="27" t="s">
        <v>69</v>
      </c>
      <c r="H18" s="27"/>
      <c r="I18" s="27"/>
      <c r="J18" s="28">
        <v>-144981</v>
      </c>
      <c r="K18" s="23"/>
      <c r="L18" s="23"/>
      <c r="M18" s="23"/>
    </row>
    <row r="19" spans="1:13" x14ac:dyDescent="0.25">
      <c r="A19" s="27"/>
      <c r="B19" s="27"/>
      <c r="C19" s="27"/>
      <c r="D19" s="27"/>
      <c r="E19" s="27"/>
      <c r="F19" s="27"/>
      <c r="G19" s="27" t="s">
        <v>70</v>
      </c>
      <c r="H19" s="27"/>
      <c r="I19" s="27"/>
      <c r="J19" s="28">
        <v>-30666</v>
      </c>
      <c r="K19" s="23"/>
      <c r="L19" s="23"/>
      <c r="M19" s="23"/>
    </row>
    <row r="20" spans="1:13" x14ac:dyDescent="0.25">
      <c r="A20" s="27"/>
      <c r="B20" s="27"/>
      <c r="C20" s="27"/>
      <c r="D20" s="27"/>
      <c r="E20" s="27"/>
      <c r="F20" s="27"/>
      <c r="G20" s="27" t="s">
        <v>71</v>
      </c>
      <c r="H20" s="27"/>
      <c r="I20" s="27"/>
      <c r="J20" s="28">
        <v>-135434</v>
      </c>
      <c r="K20" s="23"/>
      <c r="L20" s="23"/>
      <c r="M20" s="23"/>
    </row>
    <row r="21" spans="1:13" x14ac:dyDescent="0.25">
      <c r="A21" s="27"/>
      <c r="B21" s="27"/>
      <c r="C21" s="27"/>
      <c r="D21" s="27"/>
      <c r="E21" s="27"/>
      <c r="F21" s="27"/>
      <c r="G21" s="27" t="s">
        <v>72</v>
      </c>
      <c r="H21" s="27"/>
      <c r="I21" s="27"/>
      <c r="J21" s="28">
        <v>-11426</v>
      </c>
      <c r="K21" s="23"/>
      <c r="L21" s="23"/>
      <c r="M21" s="23"/>
    </row>
    <row r="22" spans="1:13" x14ac:dyDescent="0.25">
      <c r="A22" s="27"/>
      <c r="B22" s="27"/>
      <c r="C22" s="27"/>
      <c r="D22" s="27"/>
      <c r="E22" s="27"/>
      <c r="F22" s="27"/>
      <c r="G22" s="27" t="s">
        <v>73</v>
      </c>
      <c r="H22" s="27"/>
      <c r="I22" s="27"/>
      <c r="J22" s="28">
        <v>-50200</v>
      </c>
      <c r="K22" s="23"/>
      <c r="L22" s="23"/>
      <c r="M22" s="23"/>
    </row>
    <row r="23" spans="1:13" x14ac:dyDescent="0.25">
      <c r="A23" s="27"/>
      <c r="B23" s="27"/>
      <c r="C23" s="27"/>
      <c r="D23" s="27"/>
      <c r="E23" s="27"/>
      <c r="F23" s="27"/>
      <c r="G23" s="27" t="s">
        <v>74</v>
      </c>
      <c r="H23" s="27"/>
      <c r="I23" s="27"/>
      <c r="J23" s="28">
        <v>-106482.85</v>
      </c>
      <c r="K23" s="23"/>
      <c r="L23" s="23"/>
      <c r="M23" s="23"/>
    </row>
    <row r="24" spans="1:13" x14ac:dyDescent="0.25">
      <c r="A24" s="27"/>
      <c r="B24" s="27"/>
      <c r="C24" s="27"/>
      <c r="D24" s="27"/>
      <c r="E24" s="27"/>
      <c r="F24" s="27"/>
      <c r="G24" s="27" t="s">
        <v>75</v>
      </c>
      <c r="H24" s="27"/>
      <c r="I24" s="27"/>
      <c r="J24" s="28">
        <v>-3075</v>
      </c>
      <c r="K24" s="23"/>
      <c r="L24" s="23"/>
      <c r="M24" s="23"/>
    </row>
    <row r="25" spans="1:13" x14ac:dyDescent="0.25">
      <c r="A25" s="27"/>
      <c r="B25" s="27"/>
      <c r="C25" s="27"/>
      <c r="D25" s="27"/>
      <c r="E25" s="27"/>
      <c r="F25" s="27"/>
      <c r="G25" s="27" t="s">
        <v>76</v>
      </c>
      <c r="H25" s="27"/>
      <c r="I25" s="27"/>
      <c r="J25" s="28">
        <v>-3000</v>
      </c>
      <c r="K25" s="23"/>
      <c r="L25" s="23"/>
      <c r="M25" s="23"/>
    </row>
    <row r="26" spans="1:13" x14ac:dyDescent="0.25">
      <c r="A26" s="27"/>
      <c r="B26" s="27"/>
      <c r="C26" s="27"/>
      <c r="D26" s="27"/>
      <c r="E26" s="27"/>
      <c r="F26" s="27"/>
      <c r="G26" s="27" t="s">
        <v>77</v>
      </c>
      <c r="H26" s="27"/>
      <c r="I26" s="27"/>
      <c r="J26" s="28">
        <v>-4159</v>
      </c>
      <c r="K26" s="23"/>
      <c r="L26" s="23"/>
      <c r="M26" s="23"/>
    </row>
    <row r="27" spans="1:13" x14ac:dyDescent="0.25">
      <c r="A27" s="27"/>
      <c r="B27" s="27"/>
      <c r="C27" s="27"/>
      <c r="D27" s="27"/>
      <c r="E27" s="27"/>
      <c r="F27" s="27"/>
      <c r="G27" s="27" t="s">
        <v>78</v>
      </c>
      <c r="H27" s="27"/>
      <c r="I27" s="27"/>
      <c r="J27" s="28">
        <v>-1423</v>
      </c>
      <c r="K27" s="23"/>
      <c r="L27" s="23"/>
      <c r="M27" s="23"/>
    </row>
    <row r="28" spans="1:13" x14ac:dyDescent="0.25">
      <c r="A28" s="27"/>
      <c r="B28" s="27"/>
      <c r="C28" s="27"/>
      <c r="D28" s="27"/>
      <c r="E28" s="27"/>
      <c r="F28" s="27"/>
      <c r="G28" s="27" t="s">
        <v>79</v>
      </c>
      <c r="H28" s="27"/>
      <c r="I28" s="27"/>
      <c r="J28" s="28">
        <v>-250218.04</v>
      </c>
      <c r="K28" s="23"/>
      <c r="L28" s="23"/>
      <c r="M28" s="23"/>
    </row>
    <row r="29" spans="1:13" ht="15.75" thickBot="1" x14ac:dyDescent="0.3">
      <c r="A29" s="27"/>
      <c r="B29" s="27"/>
      <c r="C29" s="27"/>
      <c r="D29" s="27"/>
      <c r="E29" s="27"/>
      <c r="F29" s="27"/>
      <c r="G29" s="27" t="s">
        <v>80</v>
      </c>
      <c r="H29" s="27"/>
      <c r="I29" s="27"/>
      <c r="J29" s="30">
        <v>-145</v>
      </c>
      <c r="K29" s="23"/>
      <c r="L29" s="23"/>
      <c r="M29" s="23"/>
    </row>
    <row r="30" spans="1:13" ht="15.75" thickBot="1" x14ac:dyDescent="0.3">
      <c r="A30" s="27"/>
      <c r="B30" s="27"/>
      <c r="C30" s="27"/>
      <c r="D30" s="27"/>
      <c r="E30" s="27"/>
      <c r="F30" s="27" t="s">
        <v>81</v>
      </c>
      <c r="G30" s="27"/>
      <c r="H30" s="27"/>
      <c r="I30" s="27"/>
      <c r="J30" s="33">
        <f>ROUND(SUM(J11:J29),5)</f>
        <v>-697626.39</v>
      </c>
      <c r="K30" s="23"/>
      <c r="L30" s="23"/>
      <c r="M30" s="23"/>
    </row>
    <row r="31" spans="1:13" x14ac:dyDescent="0.25">
      <c r="A31" s="27"/>
      <c r="B31" s="27"/>
      <c r="C31" s="27"/>
      <c r="D31" s="27"/>
      <c r="E31" s="27" t="s">
        <v>82</v>
      </c>
      <c r="F31" s="27"/>
      <c r="G31" s="27"/>
      <c r="H31" s="27"/>
      <c r="I31" s="27"/>
      <c r="J31" s="28">
        <f>ROUND(SUM(J4:J10)+J30,5)</f>
        <v>160876584.34</v>
      </c>
      <c r="K31" s="23"/>
      <c r="L31" s="23"/>
      <c r="M31" s="23"/>
    </row>
    <row r="32" spans="1:13" x14ac:dyDescent="0.25">
      <c r="A32" s="27"/>
      <c r="B32" s="27"/>
      <c r="C32" s="27"/>
      <c r="D32" s="27"/>
      <c r="E32" s="27" t="s">
        <v>83</v>
      </c>
      <c r="F32" s="27"/>
      <c r="G32" s="27"/>
      <c r="H32" s="27"/>
      <c r="I32" s="27"/>
      <c r="J32" s="28"/>
      <c r="K32" s="23"/>
      <c r="L32" s="23"/>
      <c r="M32" s="23"/>
    </row>
    <row r="33" spans="1:13" x14ac:dyDescent="0.25">
      <c r="A33" s="27"/>
      <c r="B33" s="27"/>
      <c r="C33" s="27"/>
      <c r="D33" s="27"/>
      <c r="E33" s="27"/>
      <c r="F33" s="27" t="s">
        <v>84</v>
      </c>
      <c r="G33" s="27"/>
      <c r="H33" s="27"/>
      <c r="I33" s="27"/>
      <c r="J33" s="28">
        <v>76780500</v>
      </c>
      <c r="K33" s="23"/>
      <c r="L33" s="23"/>
      <c r="M33" s="23"/>
    </row>
    <row r="34" spans="1:13" x14ac:dyDescent="0.25">
      <c r="A34" s="27"/>
      <c r="B34" s="27"/>
      <c r="C34" s="27"/>
      <c r="D34" s="27"/>
      <c r="E34" s="27"/>
      <c r="F34" s="27" t="s">
        <v>85</v>
      </c>
      <c r="G34" s="27"/>
      <c r="H34" s="27"/>
      <c r="I34" s="27"/>
      <c r="J34" s="28">
        <v>1164168.46</v>
      </c>
      <c r="K34" s="23"/>
      <c r="L34" s="23"/>
      <c r="M34" s="23"/>
    </row>
    <row r="35" spans="1:13" ht="15.75" thickBot="1" x14ac:dyDescent="0.3">
      <c r="A35" s="27"/>
      <c r="B35" s="27"/>
      <c r="C35" s="27"/>
      <c r="D35" s="27"/>
      <c r="E35" s="27"/>
      <c r="F35" s="27" t="s">
        <v>86</v>
      </c>
      <c r="G35" s="27"/>
      <c r="H35" s="27"/>
      <c r="I35" s="27"/>
      <c r="J35" s="30">
        <v>600000</v>
      </c>
      <c r="K35" s="23"/>
      <c r="L35" s="23"/>
      <c r="M35" s="23"/>
    </row>
    <row r="36" spans="1:13" ht="15.75" thickBot="1" x14ac:dyDescent="0.3">
      <c r="A36" s="27"/>
      <c r="B36" s="27"/>
      <c r="C36" s="27"/>
      <c r="D36" s="27"/>
      <c r="E36" s="27" t="s">
        <v>87</v>
      </c>
      <c r="F36" s="27"/>
      <c r="G36" s="27"/>
      <c r="H36" s="27"/>
      <c r="I36" s="27"/>
      <c r="J36" s="33">
        <f>ROUND(SUM(J32:J35),5)</f>
        <v>78544668.459999993</v>
      </c>
      <c r="K36" s="23"/>
      <c r="L36" s="23"/>
      <c r="M36" s="23"/>
    </row>
    <row r="37" spans="1:13" x14ac:dyDescent="0.25">
      <c r="A37" s="27"/>
      <c r="B37" s="27"/>
      <c r="C37" s="27"/>
      <c r="D37" s="27" t="s">
        <v>88</v>
      </c>
      <c r="E37" s="27"/>
      <c r="F37" s="27"/>
      <c r="G37" s="27"/>
      <c r="H37" s="27"/>
      <c r="I37" s="27"/>
      <c r="J37" s="28">
        <f>ROUND(J3+J31+J36,5)</f>
        <v>239421252.80000001</v>
      </c>
      <c r="K37" s="23"/>
      <c r="L37" s="23"/>
      <c r="M37" s="23"/>
    </row>
    <row r="38" spans="1:13" x14ac:dyDescent="0.25">
      <c r="A38" s="27"/>
      <c r="B38" s="27"/>
      <c r="C38" s="27"/>
      <c r="D38" s="27" t="s">
        <v>89</v>
      </c>
      <c r="E38" s="27"/>
      <c r="F38" s="27"/>
      <c r="G38" s="27"/>
      <c r="H38" s="27"/>
      <c r="I38" s="27"/>
      <c r="J38" s="28"/>
      <c r="K38" s="23"/>
      <c r="L38" s="23"/>
      <c r="M38" s="23"/>
    </row>
    <row r="39" spans="1:13" x14ac:dyDescent="0.25">
      <c r="A39" s="27"/>
      <c r="B39" s="27"/>
      <c r="C39" s="27"/>
      <c r="D39" s="27"/>
      <c r="E39" s="27" t="s">
        <v>90</v>
      </c>
      <c r="F39" s="27"/>
      <c r="G39" s="27"/>
      <c r="H39" s="27"/>
      <c r="I39" s="27"/>
      <c r="J39" s="28"/>
      <c r="K39" s="23"/>
      <c r="L39" s="23"/>
      <c r="M39" s="23"/>
    </row>
    <row r="40" spans="1:13" x14ac:dyDescent="0.25">
      <c r="A40" s="27"/>
      <c r="B40" s="27"/>
      <c r="C40" s="27"/>
      <c r="D40" s="27"/>
      <c r="E40" s="27"/>
      <c r="F40" s="27" t="s">
        <v>91</v>
      </c>
      <c r="G40" s="27"/>
      <c r="H40" s="27"/>
      <c r="I40" s="27"/>
      <c r="J40" s="28"/>
      <c r="K40" s="23"/>
      <c r="L40" s="23"/>
      <c r="M40" s="23"/>
    </row>
    <row r="41" spans="1:13" x14ac:dyDescent="0.25">
      <c r="A41" s="27"/>
      <c r="B41" s="27"/>
      <c r="C41" s="27"/>
      <c r="D41" s="27"/>
      <c r="E41" s="27"/>
      <c r="F41" s="27"/>
      <c r="G41" s="27" t="s">
        <v>92</v>
      </c>
      <c r="H41" s="27"/>
      <c r="I41" s="27"/>
      <c r="J41" s="28">
        <v>1429571.05</v>
      </c>
      <c r="K41" s="23"/>
      <c r="L41" s="23"/>
      <c r="M41" s="23"/>
    </row>
    <row r="42" spans="1:13" ht="15.75" thickBot="1" x14ac:dyDescent="0.3">
      <c r="A42" s="27"/>
      <c r="B42" s="27"/>
      <c r="C42" s="27"/>
      <c r="D42" s="27"/>
      <c r="E42" s="27"/>
      <c r="F42" s="27"/>
      <c r="G42" s="27" t="s">
        <v>93</v>
      </c>
      <c r="H42" s="27"/>
      <c r="I42" s="27"/>
      <c r="J42" s="29">
        <v>2878381.5</v>
      </c>
      <c r="K42" s="23"/>
      <c r="L42" s="23"/>
      <c r="M42" s="23"/>
    </row>
    <row r="43" spans="1:13" x14ac:dyDescent="0.25">
      <c r="A43" s="27"/>
      <c r="B43" s="27"/>
      <c r="C43" s="27"/>
      <c r="D43" s="27"/>
      <c r="E43" s="27"/>
      <c r="F43" s="27" t="s">
        <v>94</v>
      </c>
      <c r="G43" s="27"/>
      <c r="H43" s="27"/>
      <c r="I43" s="27"/>
      <c r="J43" s="28">
        <f>ROUND(SUM(J40:J42),5)</f>
        <v>4307952.55</v>
      </c>
      <c r="K43" s="23"/>
      <c r="L43" s="23"/>
      <c r="M43" s="23"/>
    </row>
    <row r="44" spans="1:13" x14ac:dyDescent="0.25">
      <c r="A44" s="27"/>
      <c r="B44" s="27"/>
      <c r="C44" s="27"/>
      <c r="D44" s="27"/>
      <c r="E44" s="27"/>
      <c r="F44" s="27" t="s">
        <v>95</v>
      </c>
      <c r="G44" s="27"/>
      <c r="H44" s="27"/>
      <c r="I44" s="27"/>
      <c r="J44" s="28"/>
      <c r="K44" s="23"/>
      <c r="L44" s="23"/>
      <c r="M44" s="23"/>
    </row>
    <row r="45" spans="1:13" x14ac:dyDescent="0.25">
      <c r="A45" s="27"/>
      <c r="B45" s="27"/>
      <c r="C45" s="27"/>
      <c r="D45" s="27"/>
      <c r="E45" s="27"/>
      <c r="F45" s="27"/>
      <c r="G45" s="27" t="s">
        <v>96</v>
      </c>
      <c r="H45" s="27"/>
      <c r="I45" s="27"/>
      <c r="J45" s="28">
        <v>-1670657</v>
      </c>
      <c r="K45" s="23"/>
      <c r="L45" s="23"/>
      <c r="M45" s="23"/>
    </row>
    <row r="46" spans="1:13" ht="15.75" thickBot="1" x14ac:dyDescent="0.3">
      <c r="A46" s="27"/>
      <c r="B46" s="27"/>
      <c r="C46" s="27"/>
      <c r="D46" s="27"/>
      <c r="E46" s="27"/>
      <c r="F46" s="27"/>
      <c r="G46" s="27" t="s">
        <v>97</v>
      </c>
      <c r="H46" s="27"/>
      <c r="I46" s="27"/>
      <c r="J46" s="29">
        <v>-2564740.5</v>
      </c>
      <c r="K46" s="23"/>
      <c r="L46" s="23"/>
      <c r="M46" s="23"/>
    </row>
    <row r="47" spans="1:13" x14ac:dyDescent="0.25">
      <c r="A47" s="27"/>
      <c r="B47" s="27"/>
      <c r="C47" s="27"/>
      <c r="D47" s="27"/>
      <c r="E47" s="27"/>
      <c r="F47" s="27" t="s">
        <v>98</v>
      </c>
      <c r="G47" s="27"/>
      <c r="H47" s="27"/>
      <c r="I47" s="27"/>
      <c r="J47" s="28">
        <f>ROUND(SUM(J44:J46),5)</f>
        <v>-4235397.5</v>
      </c>
      <c r="K47" s="23"/>
      <c r="L47" s="23"/>
      <c r="M47" s="23"/>
    </row>
    <row r="48" spans="1:13" x14ac:dyDescent="0.25">
      <c r="A48" s="27"/>
      <c r="B48" s="27"/>
      <c r="C48" s="27"/>
      <c r="D48" s="27"/>
      <c r="E48" s="27"/>
      <c r="F48" s="27" t="s">
        <v>99</v>
      </c>
      <c r="G48" s="27"/>
      <c r="H48" s="27"/>
      <c r="I48" s="27"/>
      <c r="J48" s="28"/>
      <c r="K48" s="23"/>
      <c r="L48" s="23"/>
      <c r="M48" s="23"/>
    </row>
    <row r="49" spans="1:13" x14ac:dyDescent="0.25">
      <c r="A49" s="27"/>
      <c r="B49" s="27"/>
      <c r="C49" s="27"/>
      <c r="D49" s="27"/>
      <c r="E49" s="27"/>
      <c r="F49" s="27"/>
      <c r="G49" s="27" t="s">
        <v>100</v>
      </c>
      <c r="H49" s="27"/>
      <c r="I49" s="27"/>
      <c r="J49" s="28">
        <v>41798348.530000001</v>
      </c>
      <c r="K49" s="23"/>
      <c r="L49" s="23"/>
      <c r="M49" s="23"/>
    </row>
    <row r="50" spans="1:13" x14ac:dyDescent="0.25">
      <c r="A50" s="27"/>
      <c r="B50" s="27"/>
      <c r="C50" s="27"/>
      <c r="D50" s="27"/>
      <c r="E50" s="27"/>
      <c r="F50" s="27"/>
      <c r="G50" s="27" t="s">
        <v>101</v>
      </c>
      <c r="H50" s="27"/>
      <c r="I50" s="27"/>
      <c r="J50" s="28">
        <v>1456844.65</v>
      </c>
      <c r="K50" s="23"/>
      <c r="L50" s="23"/>
      <c r="M50" s="23"/>
    </row>
    <row r="51" spans="1:13" x14ac:dyDescent="0.25">
      <c r="A51" s="27"/>
      <c r="B51" s="27"/>
      <c r="C51" s="27"/>
      <c r="D51" s="27"/>
      <c r="E51" s="27"/>
      <c r="F51" s="27"/>
      <c r="G51" s="27" t="s">
        <v>102</v>
      </c>
      <c r="H51" s="27"/>
      <c r="I51" s="27"/>
      <c r="J51" s="28">
        <v>115100</v>
      </c>
      <c r="K51" s="23"/>
      <c r="L51" s="23"/>
      <c r="M51" s="23"/>
    </row>
    <row r="52" spans="1:13" x14ac:dyDescent="0.25">
      <c r="A52" s="27"/>
      <c r="B52" s="27"/>
      <c r="C52" s="27"/>
      <c r="D52" s="27"/>
      <c r="E52" s="27"/>
      <c r="F52" s="27"/>
      <c r="G52" s="27" t="s">
        <v>103</v>
      </c>
      <c r="H52" s="27"/>
      <c r="I52" s="27"/>
      <c r="J52" s="28">
        <v>4888329.43</v>
      </c>
      <c r="K52" s="23"/>
      <c r="L52" s="23"/>
      <c r="M52" s="23"/>
    </row>
    <row r="53" spans="1:13" ht="15.75" thickBot="1" x14ac:dyDescent="0.3">
      <c r="A53" s="27"/>
      <c r="B53" s="27"/>
      <c r="C53" s="27"/>
      <c r="D53" s="27"/>
      <c r="E53" s="27"/>
      <c r="F53" s="27"/>
      <c r="G53" s="27" t="s">
        <v>104</v>
      </c>
      <c r="H53" s="27"/>
      <c r="I53" s="27"/>
      <c r="J53" s="29">
        <v>55269.3</v>
      </c>
      <c r="K53" s="23"/>
      <c r="L53" s="23"/>
      <c r="M53" s="23"/>
    </row>
    <row r="54" spans="1:13" x14ac:dyDescent="0.25">
      <c r="A54" s="27"/>
      <c r="B54" s="27"/>
      <c r="C54" s="27"/>
      <c r="D54" s="27"/>
      <c r="E54" s="27"/>
      <c r="F54" s="27" t="s">
        <v>105</v>
      </c>
      <c r="G54" s="27"/>
      <c r="H54" s="27"/>
      <c r="I54" s="27"/>
      <c r="J54" s="28">
        <f>ROUND(SUM(J48:J53),5)</f>
        <v>48313891.909999996</v>
      </c>
      <c r="K54" s="23"/>
      <c r="L54" s="23"/>
      <c r="M54" s="23"/>
    </row>
    <row r="55" spans="1:13" x14ac:dyDescent="0.25">
      <c r="A55" s="27"/>
      <c r="B55" s="27"/>
      <c r="C55" s="27"/>
      <c r="D55" s="27"/>
      <c r="E55" s="27"/>
      <c r="F55" s="27" t="s">
        <v>106</v>
      </c>
      <c r="G55" s="27"/>
      <c r="H55" s="27"/>
      <c r="I55" s="27"/>
      <c r="J55" s="28"/>
      <c r="K55" s="23"/>
      <c r="L55" s="23"/>
      <c r="M55" s="23"/>
    </row>
    <row r="56" spans="1:13" x14ac:dyDescent="0.25">
      <c r="A56" s="27"/>
      <c r="B56" s="27"/>
      <c r="C56" s="27"/>
      <c r="D56" s="27"/>
      <c r="E56" s="27"/>
      <c r="F56" s="27"/>
      <c r="G56" s="27" t="s">
        <v>107</v>
      </c>
      <c r="H56" s="27"/>
      <c r="I56" s="27"/>
      <c r="J56" s="28"/>
      <c r="K56" s="23"/>
      <c r="L56" s="23"/>
      <c r="M56" s="23"/>
    </row>
    <row r="57" spans="1:13" x14ac:dyDescent="0.25">
      <c r="A57" s="27"/>
      <c r="B57" s="27"/>
      <c r="C57" s="27"/>
      <c r="D57" s="27"/>
      <c r="E57" s="27"/>
      <c r="F57" s="27"/>
      <c r="G57" s="27"/>
      <c r="H57" s="27" t="s">
        <v>108</v>
      </c>
      <c r="I57" s="27"/>
      <c r="J57" s="28">
        <v>354500</v>
      </c>
      <c r="K57" s="23"/>
      <c r="L57" s="23"/>
      <c r="M57" s="23"/>
    </row>
    <row r="58" spans="1:13" x14ac:dyDescent="0.25">
      <c r="A58" s="27"/>
      <c r="B58" s="27"/>
      <c r="C58" s="27"/>
      <c r="D58" s="27"/>
      <c r="E58" s="27"/>
      <c r="F58" s="27"/>
      <c r="G58" s="27"/>
      <c r="H58" s="27" t="s">
        <v>109</v>
      </c>
      <c r="I58" s="27"/>
      <c r="J58" s="28">
        <v>82848.25</v>
      </c>
      <c r="K58" s="23"/>
      <c r="L58" s="23"/>
      <c r="M58" s="23"/>
    </row>
    <row r="59" spans="1:13" x14ac:dyDescent="0.25">
      <c r="A59" s="27"/>
      <c r="B59" s="27"/>
      <c r="C59" s="27"/>
      <c r="D59" s="27"/>
      <c r="E59" s="27"/>
      <c r="F59" s="27"/>
      <c r="G59" s="27"/>
      <c r="H59" s="27" t="s">
        <v>110</v>
      </c>
      <c r="I59" s="27"/>
      <c r="J59" s="28">
        <v>32590</v>
      </c>
      <c r="K59" s="23"/>
      <c r="L59" s="23"/>
      <c r="M59" s="23"/>
    </row>
    <row r="60" spans="1:13" x14ac:dyDescent="0.25">
      <c r="A60" s="27"/>
      <c r="B60" s="27"/>
      <c r="C60" s="27"/>
      <c r="D60" s="27"/>
      <c r="E60" s="27"/>
      <c r="F60" s="27"/>
      <c r="G60" s="27"/>
      <c r="H60" s="27" t="s">
        <v>111</v>
      </c>
      <c r="I60" s="27"/>
      <c r="J60" s="28">
        <v>37241</v>
      </c>
      <c r="K60" s="23"/>
      <c r="L60" s="23"/>
      <c r="M60" s="23"/>
    </row>
    <row r="61" spans="1:13" x14ac:dyDescent="0.25">
      <c r="A61" s="27"/>
      <c r="B61" s="27"/>
      <c r="C61" s="27"/>
      <c r="D61" s="27"/>
      <c r="E61" s="27"/>
      <c r="F61" s="27"/>
      <c r="G61" s="27"/>
      <c r="H61" s="27" t="s">
        <v>112</v>
      </c>
      <c r="I61" s="27"/>
      <c r="J61" s="28">
        <v>44900</v>
      </c>
      <c r="K61" s="23"/>
      <c r="L61" s="23"/>
      <c r="M61" s="23"/>
    </row>
    <row r="62" spans="1:13" x14ac:dyDescent="0.25">
      <c r="A62" s="27"/>
      <c r="B62" s="27"/>
      <c r="C62" s="27"/>
      <c r="D62" s="27"/>
      <c r="E62" s="27"/>
      <c r="F62" s="27"/>
      <c r="G62" s="27"/>
      <c r="H62" s="27" t="s">
        <v>113</v>
      </c>
      <c r="I62" s="27"/>
      <c r="J62" s="28">
        <v>240</v>
      </c>
      <c r="K62" s="23"/>
      <c r="L62" s="23"/>
      <c r="M62" s="23"/>
    </row>
    <row r="63" spans="1:13" x14ac:dyDescent="0.25">
      <c r="A63" s="27"/>
      <c r="B63" s="27"/>
      <c r="C63" s="27"/>
      <c r="D63" s="27"/>
      <c r="E63" s="27"/>
      <c r="F63" s="27"/>
      <c r="G63" s="27"/>
      <c r="H63" s="27" t="s">
        <v>114</v>
      </c>
      <c r="I63" s="27"/>
      <c r="J63" s="28">
        <v>16219</v>
      </c>
      <c r="K63" s="23"/>
      <c r="L63" s="23"/>
      <c r="M63" s="23"/>
    </row>
    <row r="64" spans="1:13" x14ac:dyDescent="0.25">
      <c r="A64" s="27"/>
      <c r="B64" s="27"/>
      <c r="C64" s="27"/>
      <c r="D64" s="27"/>
      <c r="E64" s="27"/>
      <c r="F64" s="27"/>
      <c r="G64" s="27"/>
      <c r="H64" s="27" t="s">
        <v>115</v>
      </c>
      <c r="I64" s="27"/>
      <c r="J64" s="28">
        <v>47500</v>
      </c>
      <c r="K64" s="23"/>
      <c r="L64" s="23"/>
      <c r="M64" s="23"/>
    </row>
    <row r="65" spans="1:13" x14ac:dyDescent="0.25">
      <c r="A65" s="27"/>
      <c r="B65" s="27"/>
      <c r="C65" s="27"/>
      <c r="D65" s="27"/>
      <c r="E65" s="27"/>
      <c r="F65" s="27"/>
      <c r="G65" s="27"/>
      <c r="H65" s="27" t="s">
        <v>116</v>
      </c>
      <c r="I65" s="27"/>
      <c r="J65" s="28">
        <v>656207</v>
      </c>
      <c r="K65" s="23"/>
      <c r="L65" s="23"/>
      <c r="M65" s="23"/>
    </row>
    <row r="66" spans="1:13" ht="15.75" thickBot="1" x14ac:dyDescent="0.3">
      <c r="A66" s="27"/>
      <c r="B66" s="27"/>
      <c r="C66" s="27"/>
      <c r="D66" s="27"/>
      <c r="E66" s="27"/>
      <c r="F66" s="27"/>
      <c r="G66" s="27"/>
      <c r="H66" s="27" t="s">
        <v>117</v>
      </c>
      <c r="I66" s="27"/>
      <c r="J66" s="29">
        <v>3022677.76</v>
      </c>
      <c r="K66" s="23"/>
      <c r="L66" s="23"/>
      <c r="M66" s="23"/>
    </row>
    <row r="67" spans="1:13" x14ac:dyDescent="0.25">
      <c r="A67" s="27"/>
      <c r="B67" s="27"/>
      <c r="C67" s="27"/>
      <c r="D67" s="27"/>
      <c r="E67" s="27"/>
      <c r="F67" s="27"/>
      <c r="G67" s="27" t="s">
        <v>118</v>
      </c>
      <c r="H67" s="27"/>
      <c r="I67" s="27"/>
      <c r="J67" s="28">
        <f>ROUND(SUM(J56:J66),5)</f>
        <v>4294923.01</v>
      </c>
      <c r="K67" s="23"/>
      <c r="L67" s="23"/>
      <c r="M67" s="23"/>
    </row>
    <row r="68" spans="1:13" x14ac:dyDescent="0.25">
      <c r="A68" s="27"/>
      <c r="B68" s="27"/>
      <c r="C68" s="27"/>
      <c r="D68" s="27"/>
      <c r="E68" s="27"/>
      <c r="F68" s="27"/>
      <c r="G68" s="27" t="s">
        <v>119</v>
      </c>
      <c r="H68" s="27"/>
      <c r="I68" s="27"/>
      <c r="J68" s="28">
        <v>2537043.29</v>
      </c>
      <c r="K68" s="23"/>
      <c r="L68" s="23"/>
      <c r="M68" s="23"/>
    </row>
    <row r="69" spans="1:13" ht="15.75" thickBot="1" x14ac:dyDescent="0.3">
      <c r="A69" s="27"/>
      <c r="B69" s="27"/>
      <c r="C69" s="27"/>
      <c r="D69" s="27"/>
      <c r="E69" s="27"/>
      <c r="F69" s="27"/>
      <c r="G69" s="27" t="s">
        <v>120</v>
      </c>
      <c r="H69" s="27"/>
      <c r="I69" s="27"/>
      <c r="J69" s="29">
        <v>16863.29</v>
      </c>
      <c r="K69" s="23"/>
      <c r="L69" s="23"/>
      <c r="M69" s="23"/>
    </row>
    <row r="70" spans="1:13" x14ac:dyDescent="0.25">
      <c r="A70" s="27"/>
      <c r="B70" s="27"/>
      <c r="C70" s="27"/>
      <c r="D70" s="27"/>
      <c r="E70" s="27"/>
      <c r="F70" s="27" t="s">
        <v>121</v>
      </c>
      <c r="G70" s="27"/>
      <c r="H70" s="27"/>
      <c r="I70" s="27"/>
      <c r="J70" s="28">
        <f>ROUND(J55+SUM(J67:J69),5)</f>
        <v>6848829.5899999999</v>
      </c>
      <c r="K70" s="23"/>
      <c r="L70" s="23"/>
      <c r="M70" s="23"/>
    </row>
    <row r="71" spans="1:13" x14ac:dyDescent="0.25">
      <c r="A71" s="27"/>
      <c r="B71" s="27"/>
      <c r="C71" s="27"/>
      <c r="D71" s="27"/>
      <c r="E71" s="27"/>
      <c r="F71" s="27" t="s">
        <v>122</v>
      </c>
      <c r="G71" s="27"/>
      <c r="H71" s="27"/>
      <c r="I71" s="27"/>
      <c r="J71" s="28"/>
      <c r="K71" s="23"/>
      <c r="L71" s="23"/>
      <c r="M71" s="23"/>
    </row>
    <row r="72" spans="1:13" x14ac:dyDescent="0.25">
      <c r="A72" s="27"/>
      <c r="B72" s="27"/>
      <c r="C72" s="27"/>
      <c r="D72" s="27"/>
      <c r="E72" s="27"/>
      <c r="F72" s="27"/>
      <c r="G72" s="27" t="s">
        <v>123</v>
      </c>
      <c r="H72" s="27"/>
      <c r="I72" s="27"/>
      <c r="J72" s="28">
        <v>47871322.530000001</v>
      </c>
      <c r="K72" s="23"/>
      <c r="L72" s="23"/>
      <c r="M72" s="23"/>
    </row>
    <row r="73" spans="1:13" x14ac:dyDescent="0.25">
      <c r="A73" s="27"/>
      <c r="B73" s="27"/>
      <c r="C73" s="27"/>
      <c r="D73" s="27"/>
      <c r="E73" s="27"/>
      <c r="F73" s="27"/>
      <c r="G73" s="27" t="s">
        <v>124</v>
      </c>
      <c r="H73" s="27"/>
      <c r="I73" s="27"/>
      <c r="J73" s="28">
        <v>1904647.45</v>
      </c>
      <c r="K73" s="23"/>
      <c r="L73" s="23"/>
      <c r="M73" s="23"/>
    </row>
    <row r="74" spans="1:13" x14ac:dyDescent="0.25">
      <c r="A74" s="27"/>
      <c r="B74" s="27"/>
      <c r="C74" s="27"/>
      <c r="D74" s="27"/>
      <c r="E74" s="27"/>
      <c r="F74" s="27"/>
      <c r="G74" s="27" t="s">
        <v>125</v>
      </c>
      <c r="H74" s="27"/>
      <c r="I74" s="27"/>
      <c r="J74" s="28">
        <v>354537.87</v>
      </c>
      <c r="K74" s="23"/>
      <c r="L74" s="23"/>
      <c r="M74" s="23"/>
    </row>
    <row r="75" spans="1:13" x14ac:dyDescent="0.25">
      <c r="A75" s="27"/>
      <c r="B75" s="27"/>
      <c r="C75" s="27"/>
      <c r="D75" s="27"/>
      <c r="E75" s="27"/>
      <c r="F75" s="27"/>
      <c r="G75" s="27" t="s">
        <v>126</v>
      </c>
      <c r="H75" s="27"/>
      <c r="I75" s="27"/>
      <c r="J75" s="28">
        <v>291912.90000000002</v>
      </c>
      <c r="K75" s="23"/>
      <c r="L75" s="23"/>
      <c r="M75" s="23"/>
    </row>
    <row r="76" spans="1:13" ht="15.75" thickBot="1" x14ac:dyDescent="0.3">
      <c r="A76" s="27"/>
      <c r="B76" s="27"/>
      <c r="C76" s="27"/>
      <c r="D76" s="27"/>
      <c r="E76" s="27"/>
      <c r="F76" s="27"/>
      <c r="G76" s="27" t="s">
        <v>127</v>
      </c>
      <c r="H76" s="27"/>
      <c r="I76" s="27"/>
      <c r="J76" s="29">
        <v>1177493.21</v>
      </c>
      <c r="K76" s="23"/>
      <c r="L76" s="23"/>
      <c r="M76" s="23"/>
    </row>
    <row r="77" spans="1:13" x14ac:dyDescent="0.25">
      <c r="A77" s="27"/>
      <c r="B77" s="27"/>
      <c r="C77" s="27"/>
      <c r="D77" s="27"/>
      <c r="E77" s="27"/>
      <c r="F77" s="27" t="s">
        <v>128</v>
      </c>
      <c r="G77" s="27"/>
      <c r="H77" s="27"/>
      <c r="I77" s="27"/>
      <c r="J77" s="28">
        <f>ROUND(SUM(J71:J76),5)</f>
        <v>51599913.960000001</v>
      </c>
      <c r="K77" s="23"/>
      <c r="L77" s="23"/>
      <c r="M77" s="23"/>
    </row>
    <row r="78" spans="1:13" x14ac:dyDescent="0.25">
      <c r="A78" s="27"/>
      <c r="B78" s="27"/>
      <c r="C78" s="27"/>
      <c r="D78" s="27"/>
      <c r="E78" s="27"/>
      <c r="F78" s="27" t="s">
        <v>129</v>
      </c>
      <c r="G78" s="27"/>
      <c r="H78" s="27"/>
      <c r="I78" s="27"/>
      <c r="J78" s="28"/>
      <c r="K78" s="23"/>
      <c r="L78" s="23"/>
      <c r="M78" s="23"/>
    </row>
    <row r="79" spans="1:13" x14ac:dyDescent="0.25">
      <c r="A79" s="27"/>
      <c r="B79" s="27"/>
      <c r="C79" s="27"/>
      <c r="D79" s="27"/>
      <c r="E79" s="27"/>
      <c r="F79" s="27"/>
      <c r="G79" s="27" t="s">
        <v>130</v>
      </c>
      <c r="H79" s="27"/>
      <c r="I79" s="27"/>
      <c r="J79" s="28">
        <v>3892458.5</v>
      </c>
      <c r="K79" s="23"/>
      <c r="L79" s="23"/>
      <c r="M79" s="23"/>
    </row>
    <row r="80" spans="1:13" x14ac:dyDescent="0.25">
      <c r="A80" s="27"/>
      <c r="B80" s="27"/>
      <c r="C80" s="27"/>
      <c r="D80" s="27"/>
      <c r="E80" s="27"/>
      <c r="F80" s="27"/>
      <c r="G80" s="27" t="s">
        <v>131</v>
      </c>
      <c r="H80" s="27"/>
      <c r="I80" s="27"/>
      <c r="J80" s="28">
        <v>467095.02</v>
      </c>
      <c r="K80" s="23"/>
      <c r="L80" s="23"/>
      <c r="M80" s="23"/>
    </row>
    <row r="81" spans="1:13" x14ac:dyDescent="0.25">
      <c r="A81" s="27"/>
      <c r="B81" s="27"/>
      <c r="C81" s="27"/>
      <c r="D81" s="27"/>
      <c r="E81" s="27"/>
      <c r="F81" s="27"/>
      <c r="G81" s="27" t="s">
        <v>132</v>
      </c>
      <c r="H81" s="27"/>
      <c r="I81" s="27"/>
      <c r="J81" s="28">
        <v>116773.75999999999</v>
      </c>
      <c r="K81" s="23"/>
      <c r="L81" s="23"/>
      <c r="M81" s="23"/>
    </row>
    <row r="82" spans="1:13" x14ac:dyDescent="0.25">
      <c r="A82" s="27"/>
      <c r="B82" s="27"/>
      <c r="C82" s="27"/>
      <c r="D82" s="27"/>
      <c r="E82" s="27"/>
      <c r="F82" s="27"/>
      <c r="G82" s="27" t="s">
        <v>133</v>
      </c>
      <c r="H82" s="27"/>
      <c r="I82" s="27"/>
      <c r="J82" s="28">
        <v>954408.71</v>
      </c>
      <c r="K82" s="23"/>
      <c r="L82" s="23"/>
      <c r="M82" s="23"/>
    </row>
    <row r="83" spans="1:13" x14ac:dyDescent="0.25">
      <c r="A83" s="27"/>
      <c r="B83" s="27"/>
      <c r="C83" s="27"/>
      <c r="D83" s="27"/>
      <c r="E83" s="27"/>
      <c r="F83" s="27"/>
      <c r="G83" s="27" t="s">
        <v>134</v>
      </c>
      <c r="H83" s="27"/>
      <c r="I83" s="27"/>
      <c r="J83" s="28">
        <v>1132776.42</v>
      </c>
      <c r="K83" s="23"/>
      <c r="L83" s="23"/>
      <c r="M83" s="23"/>
    </row>
    <row r="84" spans="1:13" ht="15.75" thickBot="1" x14ac:dyDescent="0.3">
      <c r="A84" s="27"/>
      <c r="B84" s="27"/>
      <c r="C84" s="27"/>
      <c r="D84" s="27"/>
      <c r="E84" s="27"/>
      <c r="F84" s="27"/>
      <c r="G84" s="27" t="s">
        <v>135</v>
      </c>
      <c r="H84" s="27"/>
      <c r="I84" s="27"/>
      <c r="J84" s="29">
        <v>1117078.06</v>
      </c>
      <c r="K84" s="23"/>
      <c r="L84" s="23"/>
      <c r="M84" s="23"/>
    </row>
    <row r="85" spans="1:13" x14ac:dyDescent="0.25">
      <c r="A85" s="27"/>
      <c r="B85" s="27"/>
      <c r="C85" s="27"/>
      <c r="D85" s="27"/>
      <c r="E85" s="27"/>
      <c r="F85" s="27" t="s">
        <v>136</v>
      </c>
      <c r="G85" s="27"/>
      <c r="H85" s="27"/>
      <c r="I85" s="27"/>
      <c r="J85" s="28">
        <f>ROUND(SUM(J78:J84),5)</f>
        <v>7680590.4699999997</v>
      </c>
      <c r="K85" s="23"/>
      <c r="L85" s="23"/>
      <c r="M85" s="23"/>
    </row>
    <row r="86" spans="1:13" x14ac:dyDescent="0.25">
      <c r="A86" s="27"/>
      <c r="B86" s="27"/>
      <c r="C86" s="27"/>
      <c r="D86" s="27"/>
      <c r="E86" s="27"/>
      <c r="F86" s="27" t="s">
        <v>137</v>
      </c>
      <c r="G86" s="27"/>
      <c r="H86" s="27"/>
      <c r="I86" s="27"/>
      <c r="J86" s="28"/>
      <c r="K86" s="23"/>
      <c r="L86" s="23"/>
      <c r="M86" s="23"/>
    </row>
    <row r="87" spans="1:13" x14ac:dyDescent="0.25">
      <c r="A87" s="27"/>
      <c r="B87" s="27"/>
      <c r="C87" s="27"/>
      <c r="D87" s="27"/>
      <c r="E87" s="27"/>
      <c r="F87" s="27"/>
      <c r="G87" s="27" t="s">
        <v>138</v>
      </c>
      <c r="H87" s="27"/>
      <c r="I87" s="27"/>
      <c r="J87" s="28">
        <v>148150</v>
      </c>
      <c r="K87" s="23"/>
      <c r="L87" s="23"/>
      <c r="M87" s="23"/>
    </row>
    <row r="88" spans="1:13" x14ac:dyDescent="0.25">
      <c r="A88" s="27"/>
      <c r="B88" s="27"/>
      <c r="C88" s="27"/>
      <c r="D88" s="27"/>
      <c r="E88" s="27"/>
      <c r="F88" s="27"/>
      <c r="G88" s="27" t="s">
        <v>139</v>
      </c>
      <c r="H88" s="27"/>
      <c r="I88" s="27"/>
      <c r="J88" s="28">
        <v>13881</v>
      </c>
      <c r="K88" s="23"/>
      <c r="L88" s="23"/>
      <c r="M88" s="23"/>
    </row>
    <row r="89" spans="1:13" x14ac:dyDescent="0.25">
      <c r="A89" s="27"/>
      <c r="B89" s="27"/>
      <c r="C89" s="27"/>
      <c r="D89" s="27"/>
      <c r="E89" s="27"/>
      <c r="F89" s="27"/>
      <c r="G89" s="27" t="s">
        <v>140</v>
      </c>
      <c r="H89" s="27"/>
      <c r="I89" s="27"/>
      <c r="J89" s="28">
        <v>10270</v>
      </c>
      <c r="K89" s="23"/>
      <c r="L89" s="23"/>
      <c r="M89" s="23"/>
    </row>
    <row r="90" spans="1:13" x14ac:dyDescent="0.25">
      <c r="A90" s="27"/>
      <c r="B90" s="27"/>
      <c r="C90" s="27"/>
      <c r="D90" s="27"/>
      <c r="E90" s="27"/>
      <c r="F90" s="27"/>
      <c r="G90" s="27" t="s">
        <v>141</v>
      </c>
      <c r="H90" s="27"/>
      <c r="I90" s="27"/>
      <c r="J90" s="28">
        <v>27780</v>
      </c>
      <c r="K90" s="23"/>
      <c r="L90" s="23"/>
      <c r="M90" s="23"/>
    </row>
    <row r="91" spans="1:13" x14ac:dyDescent="0.25">
      <c r="A91" s="27"/>
      <c r="B91" s="27"/>
      <c r="C91" s="27"/>
      <c r="D91" s="27"/>
      <c r="E91" s="27"/>
      <c r="F91" s="27"/>
      <c r="G91" s="27" t="s">
        <v>142</v>
      </c>
      <c r="H91" s="27"/>
      <c r="I91" s="27"/>
      <c r="J91" s="28">
        <v>2800</v>
      </c>
      <c r="K91" s="23"/>
      <c r="L91" s="23"/>
      <c r="M91" s="23"/>
    </row>
    <row r="92" spans="1:13" ht="15.75" thickBot="1" x14ac:dyDescent="0.3">
      <c r="A92" s="27"/>
      <c r="B92" s="27"/>
      <c r="C92" s="27"/>
      <c r="D92" s="27"/>
      <c r="E92" s="27"/>
      <c r="F92" s="27"/>
      <c r="G92" s="27" t="s">
        <v>143</v>
      </c>
      <c r="H92" s="27"/>
      <c r="I92" s="27"/>
      <c r="J92" s="30">
        <v>5800</v>
      </c>
      <c r="K92" s="23"/>
      <c r="L92" s="23"/>
      <c r="M92" s="23"/>
    </row>
    <row r="93" spans="1:13" ht="15.75" thickBot="1" x14ac:dyDescent="0.3">
      <c r="A93" s="27"/>
      <c r="B93" s="27"/>
      <c r="C93" s="27"/>
      <c r="D93" s="27"/>
      <c r="E93" s="27"/>
      <c r="F93" s="27" t="s">
        <v>144</v>
      </c>
      <c r="G93" s="27"/>
      <c r="H93" s="27"/>
      <c r="I93" s="27"/>
      <c r="J93" s="34">
        <f>ROUND(SUM(J86:J92),5)</f>
        <v>208681</v>
      </c>
      <c r="K93" s="23"/>
      <c r="L93" s="23"/>
      <c r="M93" s="23"/>
    </row>
    <row r="94" spans="1:13" ht="15.75" thickBot="1" x14ac:dyDescent="0.3">
      <c r="A94" s="27"/>
      <c r="B94" s="27"/>
      <c r="C94" s="27"/>
      <c r="D94" s="27"/>
      <c r="E94" s="27" t="s">
        <v>145</v>
      </c>
      <c r="F94" s="27"/>
      <c r="G94" s="27"/>
      <c r="H94" s="27"/>
      <c r="I94" s="27"/>
      <c r="J94" s="34">
        <f>ROUND(J39+J43+J47+J54+J70+J77+J85+J93,5)</f>
        <v>114724461.98</v>
      </c>
      <c r="K94" s="23"/>
      <c r="L94" s="23"/>
      <c r="M94" s="23"/>
    </row>
    <row r="95" spans="1:13" ht="15.75" thickBot="1" x14ac:dyDescent="0.3">
      <c r="A95" s="27"/>
      <c r="B95" s="27"/>
      <c r="C95" s="27"/>
      <c r="D95" s="27" t="s">
        <v>146</v>
      </c>
      <c r="E95" s="27"/>
      <c r="F95" s="27"/>
      <c r="G95" s="27"/>
      <c r="H95" s="27"/>
      <c r="I95" s="27"/>
      <c r="J95" s="33">
        <f>ROUND(J38+J94,5)</f>
        <v>114724461.98</v>
      </c>
      <c r="K95" s="23"/>
      <c r="L95" s="23"/>
      <c r="M95" s="23"/>
    </row>
    <row r="96" spans="1:13" x14ac:dyDescent="0.25">
      <c r="A96" s="27"/>
      <c r="B96" s="27"/>
      <c r="C96" s="27" t="s">
        <v>147</v>
      </c>
      <c r="D96" s="27"/>
      <c r="E96" s="27"/>
      <c r="F96" s="27"/>
      <c r="G96" s="27"/>
      <c r="H96" s="27"/>
      <c r="I96" s="27"/>
      <c r="J96" s="28">
        <f>ROUND(J37-J95,5)</f>
        <v>124696790.81999999</v>
      </c>
      <c r="K96" s="72">
        <f>SUM(J96/J37)</f>
        <v>0.52082590564407905</v>
      </c>
      <c r="L96" s="103">
        <f>SUM([1]Sheet1!$J$96)</f>
        <v>123429893.86</v>
      </c>
      <c r="M96" s="84">
        <f>SUM(J96-L96)</f>
        <v>1266896.9599999934</v>
      </c>
    </row>
    <row r="97" spans="1:13" x14ac:dyDescent="0.25">
      <c r="A97" s="27"/>
      <c r="B97" s="27"/>
      <c r="C97" s="27"/>
      <c r="D97" s="27" t="s">
        <v>148</v>
      </c>
      <c r="E97" s="27"/>
      <c r="F97" s="27"/>
      <c r="G97" s="27"/>
      <c r="H97" s="27"/>
      <c r="I97" s="27"/>
      <c r="J97" s="28"/>
      <c r="K97" s="23"/>
      <c r="L97" s="23"/>
      <c r="M97" s="23"/>
    </row>
    <row r="98" spans="1:13" x14ac:dyDescent="0.25">
      <c r="A98" s="27"/>
      <c r="B98" s="27"/>
      <c r="C98" s="27"/>
      <c r="D98" s="27"/>
      <c r="E98" s="27" t="s">
        <v>149</v>
      </c>
      <c r="F98" s="27"/>
      <c r="G98" s="27"/>
      <c r="H98" s="27"/>
      <c r="I98" s="27"/>
      <c r="J98" s="28"/>
      <c r="K98" s="23"/>
      <c r="L98" s="23"/>
      <c r="M98" s="23"/>
    </row>
    <row r="99" spans="1:13" x14ac:dyDescent="0.25">
      <c r="A99" s="27"/>
      <c r="B99" s="27"/>
      <c r="C99" s="27"/>
      <c r="D99" s="27"/>
      <c r="E99" s="27"/>
      <c r="F99" s="27" t="s">
        <v>150</v>
      </c>
      <c r="G99" s="27"/>
      <c r="H99" s="27"/>
      <c r="I99" s="27"/>
      <c r="J99" s="28"/>
      <c r="K99" s="23"/>
      <c r="L99" s="23"/>
      <c r="M99" s="23"/>
    </row>
    <row r="100" spans="1:13" x14ac:dyDescent="0.25">
      <c r="A100" s="27"/>
      <c r="B100" s="27"/>
      <c r="C100" s="27"/>
      <c r="D100" s="27"/>
      <c r="E100" s="27"/>
      <c r="F100" s="27"/>
      <c r="G100" s="27" t="s">
        <v>151</v>
      </c>
      <c r="H100" s="27"/>
      <c r="I100" s="27"/>
      <c r="J100" s="28"/>
      <c r="K100" s="23"/>
      <c r="L100" s="23"/>
      <c r="M100" s="23"/>
    </row>
    <row r="101" spans="1:13" x14ac:dyDescent="0.25">
      <c r="A101" s="27"/>
      <c r="B101" s="27"/>
      <c r="C101" s="27"/>
      <c r="D101" s="27"/>
      <c r="E101" s="27"/>
      <c r="F101" s="27"/>
      <c r="G101" s="27"/>
      <c r="H101" s="27" t="s">
        <v>152</v>
      </c>
      <c r="I101" s="27"/>
      <c r="J101" s="28">
        <v>92482</v>
      </c>
      <c r="K101" s="23"/>
      <c r="L101" s="23"/>
      <c r="M101" s="23"/>
    </row>
    <row r="102" spans="1:13" x14ac:dyDescent="0.25">
      <c r="A102" s="27"/>
      <c r="B102" s="27"/>
      <c r="C102" s="27"/>
      <c r="D102" s="27"/>
      <c r="E102" s="27"/>
      <c r="F102" s="27"/>
      <c r="G102" s="27"/>
      <c r="H102" s="27" t="s">
        <v>153</v>
      </c>
      <c r="I102" s="27"/>
      <c r="J102" s="28">
        <v>497657.75</v>
      </c>
      <c r="K102" s="23"/>
      <c r="L102" s="23"/>
      <c r="M102" s="23"/>
    </row>
    <row r="103" spans="1:13" x14ac:dyDescent="0.25">
      <c r="A103" s="27"/>
      <c r="B103" s="27"/>
      <c r="C103" s="27"/>
      <c r="D103" s="27"/>
      <c r="E103" s="27"/>
      <c r="F103" s="27"/>
      <c r="G103" s="27"/>
      <c r="H103" s="27" t="s">
        <v>154</v>
      </c>
      <c r="I103" s="27"/>
      <c r="J103" s="28">
        <v>176100</v>
      </c>
      <c r="K103" s="107">
        <f>SUM(J103)</f>
        <v>176100</v>
      </c>
      <c r="L103" s="23"/>
      <c r="M103" s="23"/>
    </row>
    <row r="104" spans="1:13" x14ac:dyDescent="0.25">
      <c r="A104" s="27"/>
      <c r="B104" s="27"/>
      <c r="C104" s="27"/>
      <c r="D104" s="27"/>
      <c r="E104" s="27"/>
      <c r="F104" s="27"/>
      <c r="G104" s="27"/>
      <c r="H104" s="27" t="s">
        <v>155</v>
      </c>
      <c r="I104" s="27"/>
      <c r="J104" s="28">
        <v>657607.77</v>
      </c>
      <c r="K104" s="23"/>
      <c r="L104" s="23"/>
      <c r="M104" s="23"/>
    </row>
    <row r="105" spans="1:13" x14ac:dyDescent="0.25">
      <c r="A105" s="27"/>
      <c r="B105" s="27"/>
      <c r="C105" s="27"/>
      <c r="D105" s="27"/>
      <c r="E105" s="27"/>
      <c r="F105" s="27"/>
      <c r="G105" s="27"/>
      <c r="H105" s="27" t="s">
        <v>156</v>
      </c>
      <c r="I105" s="27"/>
      <c r="J105" s="28">
        <v>15850.8</v>
      </c>
      <c r="K105" s="23"/>
      <c r="L105" s="23"/>
      <c r="M105" s="23"/>
    </row>
    <row r="106" spans="1:13" x14ac:dyDescent="0.25">
      <c r="A106" s="27"/>
      <c r="B106" s="27"/>
      <c r="C106" s="27"/>
      <c r="D106" s="27"/>
      <c r="E106" s="27"/>
      <c r="F106" s="27"/>
      <c r="G106" s="27"/>
      <c r="H106" s="27" t="s">
        <v>157</v>
      </c>
      <c r="I106" s="27"/>
      <c r="J106" s="28"/>
      <c r="K106" s="23"/>
      <c r="L106" s="23"/>
      <c r="M106" s="23"/>
    </row>
    <row r="107" spans="1:13" x14ac:dyDescent="0.25">
      <c r="A107" s="27"/>
      <c r="B107" s="27"/>
      <c r="C107" s="27"/>
      <c r="D107" s="27"/>
      <c r="E107" s="27"/>
      <c r="F107" s="27"/>
      <c r="G107" s="27"/>
      <c r="H107" s="27"/>
      <c r="I107" s="27" t="s">
        <v>158</v>
      </c>
      <c r="J107" s="28">
        <v>50115.5</v>
      </c>
      <c r="K107" s="23"/>
      <c r="L107" s="23"/>
      <c r="M107" s="23"/>
    </row>
    <row r="108" spans="1:13" ht="15.75" thickBot="1" x14ac:dyDescent="0.3">
      <c r="A108" s="27"/>
      <c r="B108" s="27"/>
      <c r="C108" s="27"/>
      <c r="D108" s="27"/>
      <c r="E108" s="27"/>
      <c r="F108" s="27"/>
      <c r="G108" s="27"/>
      <c r="H108" s="27"/>
      <c r="I108" s="27" t="s">
        <v>159</v>
      </c>
      <c r="J108" s="29">
        <v>188611</v>
      </c>
      <c r="K108" s="23"/>
      <c r="L108" s="23"/>
      <c r="M108" s="23"/>
    </row>
    <row r="109" spans="1:13" x14ac:dyDescent="0.25">
      <c r="A109" s="27"/>
      <c r="B109" s="27"/>
      <c r="C109" s="27"/>
      <c r="D109" s="27"/>
      <c r="E109" s="27"/>
      <c r="F109" s="27"/>
      <c r="G109" s="27"/>
      <c r="H109" s="27" t="s">
        <v>160</v>
      </c>
      <c r="I109" s="27"/>
      <c r="J109" s="28">
        <f>ROUND(SUM(J106:J108),5)</f>
        <v>238726.5</v>
      </c>
      <c r="K109" s="23"/>
      <c r="L109" s="23"/>
      <c r="M109" s="23"/>
    </row>
    <row r="110" spans="1:13" x14ac:dyDescent="0.25">
      <c r="A110" s="27"/>
      <c r="B110" s="27"/>
      <c r="C110" s="27"/>
      <c r="D110" s="27"/>
      <c r="E110" s="27"/>
      <c r="F110" s="27"/>
      <c r="G110" s="27"/>
      <c r="H110" s="27" t="s">
        <v>161</v>
      </c>
      <c r="I110" s="27"/>
      <c r="J110" s="28">
        <v>285783</v>
      </c>
      <c r="K110" s="23"/>
      <c r="L110" s="23"/>
      <c r="M110" s="23"/>
    </row>
    <row r="111" spans="1:13" x14ac:dyDescent="0.25">
      <c r="A111" s="27"/>
      <c r="B111" s="27"/>
      <c r="C111" s="27"/>
      <c r="D111" s="27"/>
      <c r="E111" s="27"/>
      <c r="F111" s="27"/>
      <c r="G111" s="27"/>
      <c r="H111" s="27" t="s">
        <v>162</v>
      </c>
      <c r="I111" s="27"/>
      <c r="J111" s="28">
        <v>217393</v>
      </c>
      <c r="K111" s="23"/>
      <c r="L111" s="23"/>
      <c r="M111" s="23"/>
    </row>
    <row r="112" spans="1:13" x14ac:dyDescent="0.25">
      <c r="A112" s="27"/>
      <c r="B112" s="27"/>
      <c r="C112" s="27"/>
      <c r="D112" s="27"/>
      <c r="E112" s="27"/>
      <c r="F112" s="27"/>
      <c r="G112" s="27"/>
      <c r="H112" s="27" t="s">
        <v>163</v>
      </c>
      <c r="I112" s="27"/>
      <c r="J112" s="28"/>
      <c r="K112" s="23"/>
      <c r="L112" s="23"/>
      <c r="M112" s="23"/>
    </row>
    <row r="113" spans="1:13" x14ac:dyDescent="0.25">
      <c r="A113" s="27"/>
      <c r="B113" s="27"/>
      <c r="C113" s="27"/>
      <c r="D113" s="27"/>
      <c r="E113" s="27"/>
      <c r="F113" s="27"/>
      <c r="G113" s="27"/>
      <c r="H113" s="27"/>
      <c r="I113" s="27" t="s">
        <v>164</v>
      </c>
      <c r="J113" s="28">
        <v>118496.87</v>
      </c>
      <c r="K113" s="23"/>
      <c r="L113" s="23"/>
      <c r="M113" s="23"/>
    </row>
    <row r="114" spans="1:13" ht="15.75" thickBot="1" x14ac:dyDescent="0.3">
      <c r="A114" s="27"/>
      <c r="B114" s="27"/>
      <c r="C114" s="27"/>
      <c r="D114" s="27"/>
      <c r="E114" s="27"/>
      <c r="F114" s="27"/>
      <c r="G114" s="27"/>
      <c r="H114" s="27"/>
      <c r="I114" s="27" t="s">
        <v>165</v>
      </c>
      <c r="J114" s="29">
        <v>73387.73</v>
      </c>
      <c r="K114" s="23"/>
      <c r="L114" s="23"/>
      <c r="M114" s="23"/>
    </row>
    <row r="115" spans="1:13" x14ac:dyDescent="0.25">
      <c r="A115" s="27"/>
      <c r="B115" s="27"/>
      <c r="C115" s="27"/>
      <c r="D115" s="27"/>
      <c r="E115" s="27"/>
      <c r="F115" s="27"/>
      <c r="G115" s="27"/>
      <c r="H115" s="27" t="s">
        <v>166</v>
      </c>
      <c r="I115" s="27"/>
      <c r="J115" s="28">
        <f>ROUND(SUM(J112:J114),5)</f>
        <v>191884.6</v>
      </c>
      <c r="K115" s="23"/>
      <c r="L115" s="23"/>
      <c r="M115" s="23"/>
    </row>
    <row r="116" spans="1:13" ht="15.75" thickBot="1" x14ac:dyDescent="0.3">
      <c r="A116" s="27"/>
      <c r="B116" s="27"/>
      <c r="C116" s="27"/>
      <c r="D116" s="27"/>
      <c r="E116" s="27"/>
      <c r="F116" s="27"/>
      <c r="G116" s="27"/>
      <c r="H116" s="27" t="s">
        <v>167</v>
      </c>
      <c r="I116" s="27"/>
      <c r="J116" s="29">
        <v>110205</v>
      </c>
      <c r="K116" s="23"/>
      <c r="L116" s="23"/>
      <c r="M116" s="23"/>
    </row>
    <row r="117" spans="1:13" x14ac:dyDescent="0.25">
      <c r="A117" s="27"/>
      <c r="B117" s="27"/>
      <c r="C117" s="27"/>
      <c r="D117" s="27"/>
      <c r="E117" s="27"/>
      <c r="F117" s="27"/>
      <c r="G117" s="27" t="s">
        <v>168</v>
      </c>
      <c r="H117" s="27"/>
      <c r="I117" s="27"/>
      <c r="J117" s="28">
        <f>ROUND(SUM(J100:J105)+SUM(J109:J111)+SUM(J115:J116),5)</f>
        <v>2483690.42</v>
      </c>
      <c r="K117" s="23"/>
      <c r="L117" s="23"/>
      <c r="M117" s="23"/>
    </row>
    <row r="118" spans="1:13" x14ac:dyDescent="0.25">
      <c r="A118" s="27"/>
      <c r="B118" s="27"/>
      <c r="C118" s="27"/>
      <c r="D118" s="27"/>
      <c r="E118" s="27"/>
      <c r="F118" s="27"/>
      <c r="G118" s="27" t="s">
        <v>169</v>
      </c>
      <c r="H118" s="27"/>
      <c r="I118" s="27"/>
      <c r="J118" s="28"/>
      <c r="K118" s="23"/>
      <c r="L118" s="23"/>
      <c r="M118" s="23"/>
    </row>
    <row r="119" spans="1:13" x14ac:dyDescent="0.25">
      <c r="A119" s="27"/>
      <c r="B119" s="27"/>
      <c r="C119" s="27"/>
      <c r="D119" s="27"/>
      <c r="E119" s="27"/>
      <c r="F119" s="27"/>
      <c r="G119" s="27"/>
      <c r="H119" s="27" t="s">
        <v>170</v>
      </c>
      <c r="I119" s="27"/>
      <c r="J119" s="28">
        <v>2921199.99</v>
      </c>
      <c r="K119" s="23"/>
      <c r="L119" s="23"/>
      <c r="M119" s="23"/>
    </row>
    <row r="120" spans="1:13" x14ac:dyDescent="0.25">
      <c r="A120" s="27"/>
      <c r="B120" s="27"/>
      <c r="C120" s="27"/>
      <c r="D120" s="27"/>
      <c r="E120" s="27"/>
      <c r="F120" s="27"/>
      <c r="G120" s="27"/>
      <c r="H120" s="27" t="s">
        <v>171</v>
      </c>
      <c r="I120" s="27"/>
      <c r="J120" s="28">
        <v>339744</v>
      </c>
      <c r="K120" s="23"/>
      <c r="L120" s="23"/>
      <c r="M120" s="23"/>
    </row>
    <row r="121" spans="1:13" x14ac:dyDescent="0.25">
      <c r="A121" s="27"/>
      <c r="B121" s="27"/>
      <c r="C121" s="27"/>
      <c r="D121" s="27"/>
      <c r="E121" s="27"/>
      <c r="F121" s="27"/>
      <c r="G121" s="27"/>
      <c r="H121" s="27" t="s">
        <v>172</v>
      </c>
      <c r="I121" s="27"/>
      <c r="J121" s="28">
        <v>84906.02</v>
      </c>
      <c r="K121" s="23"/>
      <c r="L121" s="23"/>
      <c r="M121" s="23"/>
    </row>
    <row r="122" spans="1:13" x14ac:dyDescent="0.25">
      <c r="A122" s="27"/>
      <c r="B122" s="27"/>
      <c r="C122" s="27"/>
      <c r="D122" s="27"/>
      <c r="E122" s="27"/>
      <c r="F122" s="27"/>
      <c r="G122" s="27"/>
      <c r="H122" s="27" t="s">
        <v>173</v>
      </c>
      <c r="I122" s="27"/>
      <c r="J122" s="28">
        <v>55000</v>
      </c>
      <c r="K122" s="23"/>
      <c r="L122" s="23"/>
      <c r="M122" s="23"/>
    </row>
    <row r="123" spans="1:13" x14ac:dyDescent="0.25">
      <c r="A123" s="27"/>
      <c r="B123" s="27"/>
      <c r="C123" s="27"/>
      <c r="D123" s="27"/>
      <c r="E123" s="27"/>
      <c r="F123" s="27"/>
      <c r="G123" s="27"/>
      <c r="H123" s="27" t="s">
        <v>174</v>
      </c>
      <c r="I123" s="27"/>
      <c r="J123" s="28">
        <v>393899</v>
      </c>
      <c r="K123" s="23"/>
      <c r="L123" s="23"/>
      <c r="M123" s="23"/>
    </row>
    <row r="124" spans="1:13" x14ac:dyDescent="0.25">
      <c r="A124" s="27"/>
      <c r="B124" s="27"/>
      <c r="C124" s="27"/>
      <c r="D124" s="27"/>
      <c r="E124" s="27"/>
      <c r="F124" s="27"/>
      <c r="G124" s="27"/>
      <c r="H124" s="27" t="s">
        <v>175</v>
      </c>
      <c r="I124" s="27"/>
      <c r="J124" s="28">
        <v>368450</v>
      </c>
      <c r="K124" s="23"/>
      <c r="L124" s="23"/>
      <c r="M124" s="23"/>
    </row>
    <row r="125" spans="1:13" x14ac:dyDescent="0.25">
      <c r="A125" s="27"/>
      <c r="B125" s="27"/>
      <c r="C125" s="27"/>
      <c r="D125" s="27"/>
      <c r="E125" s="27"/>
      <c r="F125" s="27"/>
      <c r="G125" s="27"/>
      <c r="H125" s="27" t="s">
        <v>176</v>
      </c>
      <c r="I125" s="27"/>
      <c r="J125" s="28">
        <v>438000</v>
      </c>
      <c r="K125" s="23"/>
      <c r="L125" s="23"/>
      <c r="M125" s="23"/>
    </row>
    <row r="126" spans="1:13" ht="15.75" thickBot="1" x14ac:dyDescent="0.3">
      <c r="A126" s="27"/>
      <c r="B126" s="27"/>
      <c r="C126" s="27"/>
      <c r="D126" s="27"/>
      <c r="E126" s="27"/>
      <c r="F126" s="27"/>
      <c r="G126" s="27"/>
      <c r="H126" s="27" t="s">
        <v>177</v>
      </c>
      <c r="I126" s="27"/>
      <c r="J126" s="29">
        <v>-42038.1</v>
      </c>
      <c r="K126" s="23"/>
      <c r="L126" s="23"/>
      <c r="M126" s="23"/>
    </row>
    <row r="127" spans="1:13" x14ac:dyDescent="0.25">
      <c r="A127" s="27"/>
      <c r="B127" s="27"/>
      <c r="C127" s="27"/>
      <c r="D127" s="27"/>
      <c r="E127" s="27"/>
      <c r="F127" s="27"/>
      <c r="G127" s="27" t="s">
        <v>178</v>
      </c>
      <c r="H127" s="27"/>
      <c r="I127" s="27"/>
      <c r="J127" s="28">
        <f>ROUND(SUM(J118:J126),5)</f>
        <v>4559160.91</v>
      </c>
      <c r="K127" s="23"/>
      <c r="L127" s="23"/>
      <c r="M127" s="23"/>
    </row>
    <row r="128" spans="1:13" x14ac:dyDescent="0.25">
      <c r="A128" s="27"/>
      <c r="B128" s="27"/>
      <c r="C128" s="27"/>
      <c r="D128" s="27"/>
      <c r="E128" s="27"/>
      <c r="F128" s="27"/>
      <c r="G128" s="27" t="s">
        <v>179</v>
      </c>
      <c r="H128" s="27"/>
      <c r="I128" s="27"/>
      <c r="J128" s="28"/>
      <c r="K128" s="23"/>
      <c r="L128" s="23"/>
      <c r="M128" s="23"/>
    </row>
    <row r="129" spans="1:13" x14ac:dyDescent="0.25">
      <c r="A129" s="27"/>
      <c r="B129" s="27"/>
      <c r="C129" s="27"/>
      <c r="D129" s="27"/>
      <c r="E129" s="27"/>
      <c r="F129" s="27"/>
      <c r="G129" s="27"/>
      <c r="H129" s="27" t="s">
        <v>180</v>
      </c>
      <c r="I129" s="27"/>
      <c r="J129" s="28">
        <v>5284.36</v>
      </c>
      <c r="K129" s="23"/>
      <c r="L129" s="23"/>
      <c r="M129" s="23"/>
    </row>
    <row r="130" spans="1:13" x14ac:dyDescent="0.25">
      <c r="A130" s="27"/>
      <c r="B130" s="27"/>
      <c r="C130" s="27"/>
      <c r="D130" s="27"/>
      <c r="E130" s="27"/>
      <c r="F130" s="27"/>
      <c r="G130" s="27"/>
      <c r="H130" s="27" t="s">
        <v>181</v>
      </c>
      <c r="I130" s="27"/>
      <c r="J130" s="28">
        <v>51090.85</v>
      </c>
      <c r="K130" s="23"/>
      <c r="L130" s="23"/>
      <c r="M130" s="23"/>
    </row>
    <row r="131" spans="1:13" x14ac:dyDescent="0.25">
      <c r="A131" s="27"/>
      <c r="B131" s="27"/>
      <c r="C131" s="27"/>
      <c r="D131" s="27"/>
      <c r="E131" s="27"/>
      <c r="F131" s="27"/>
      <c r="G131" s="27"/>
      <c r="H131" s="27" t="s">
        <v>182</v>
      </c>
      <c r="I131" s="27"/>
      <c r="J131" s="28">
        <v>152541.88</v>
      </c>
      <c r="K131" s="23"/>
      <c r="L131" s="23"/>
      <c r="M131" s="23"/>
    </row>
    <row r="132" spans="1:13" x14ac:dyDescent="0.25">
      <c r="A132" s="27"/>
      <c r="B132" s="27"/>
      <c r="C132" s="27"/>
      <c r="D132" s="27"/>
      <c r="E132" s="27"/>
      <c r="F132" s="27"/>
      <c r="G132" s="27"/>
      <c r="H132" s="27" t="s">
        <v>183</v>
      </c>
      <c r="I132" s="27"/>
      <c r="J132" s="28">
        <v>179431.05</v>
      </c>
      <c r="K132" s="23"/>
      <c r="L132" s="23"/>
      <c r="M132" s="23"/>
    </row>
    <row r="133" spans="1:13" ht="15.75" thickBot="1" x14ac:dyDescent="0.3">
      <c r="A133" s="27"/>
      <c r="B133" s="27"/>
      <c r="C133" s="27"/>
      <c r="D133" s="27"/>
      <c r="E133" s="27"/>
      <c r="F133" s="27"/>
      <c r="G133" s="27"/>
      <c r="H133" s="27" t="s">
        <v>184</v>
      </c>
      <c r="I133" s="27"/>
      <c r="J133" s="29">
        <v>332878.2</v>
      </c>
      <c r="K133" s="23"/>
      <c r="L133" s="23"/>
      <c r="M133" s="23"/>
    </row>
    <row r="134" spans="1:13" x14ac:dyDescent="0.25">
      <c r="A134" s="27"/>
      <c r="B134" s="27"/>
      <c r="C134" s="27"/>
      <c r="D134" s="27"/>
      <c r="E134" s="27"/>
      <c r="F134" s="27"/>
      <c r="G134" s="27" t="s">
        <v>185</v>
      </c>
      <c r="H134" s="27"/>
      <c r="I134" s="27"/>
      <c r="J134" s="28">
        <f>ROUND(SUM(J128:J133),5)</f>
        <v>721226.34</v>
      </c>
      <c r="K134" s="23"/>
      <c r="L134" s="23"/>
      <c r="M134" s="23"/>
    </row>
    <row r="135" spans="1:13" x14ac:dyDescent="0.25">
      <c r="A135" s="27"/>
      <c r="B135" s="27"/>
      <c r="C135" s="27"/>
      <c r="D135" s="27"/>
      <c r="E135" s="27"/>
      <c r="F135" s="27"/>
      <c r="G135" s="27" t="s">
        <v>186</v>
      </c>
      <c r="H135" s="27"/>
      <c r="I135" s="27"/>
      <c r="J135" s="28"/>
      <c r="K135" s="23"/>
      <c r="L135" s="23"/>
      <c r="M135" s="23"/>
    </row>
    <row r="136" spans="1:13" x14ac:dyDescent="0.25">
      <c r="A136" s="27"/>
      <c r="B136" s="27"/>
      <c r="C136" s="27"/>
      <c r="D136" s="27"/>
      <c r="E136" s="27"/>
      <c r="F136" s="27"/>
      <c r="G136" s="27"/>
      <c r="H136" s="27" t="s">
        <v>187</v>
      </c>
      <c r="I136" s="27"/>
      <c r="J136" s="28">
        <v>213749</v>
      </c>
      <c r="K136" s="23"/>
      <c r="L136" s="23"/>
      <c r="M136" s="23"/>
    </row>
    <row r="137" spans="1:13" x14ac:dyDescent="0.25">
      <c r="A137" s="27"/>
      <c r="B137" s="27"/>
      <c r="C137" s="27"/>
      <c r="D137" s="27"/>
      <c r="E137" s="27"/>
      <c r="F137" s="27"/>
      <c r="G137" s="27"/>
      <c r="H137" s="27" t="s">
        <v>188</v>
      </c>
      <c r="I137" s="27"/>
      <c r="J137" s="28">
        <v>37780.86</v>
      </c>
      <c r="K137" s="23"/>
      <c r="L137" s="23"/>
      <c r="M137" s="23"/>
    </row>
    <row r="138" spans="1:13" x14ac:dyDescent="0.25">
      <c r="A138" s="27"/>
      <c r="B138" s="27"/>
      <c r="C138" s="27"/>
      <c r="D138" s="27"/>
      <c r="E138" s="27"/>
      <c r="F138" s="27"/>
      <c r="G138" s="27"/>
      <c r="H138" s="27" t="s">
        <v>189</v>
      </c>
      <c r="I138" s="27"/>
      <c r="J138" s="28">
        <v>36370</v>
      </c>
      <c r="K138" s="23"/>
      <c r="L138" s="23"/>
      <c r="M138" s="23"/>
    </row>
    <row r="139" spans="1:13" x14ac:dyDescent="0.25">
      <c r="A139" s="27"/>
      <c r="B139" s="27"/>
      <c r="C139" s="27"/>
      <c r="D139" s="27"/>
      <c r="E139" s="27"/>
      <c r="F139" s="27"/>
      <c r="G139" s="27"/>
      <c r="H139" s="27" t="s">
        <v>190</v>
      </c>
      <c r="I139" s="27"/>
      <c r="J139" s="28">
        <v>175340</v>
      </c>
      <c r="K139" s="23"/>
      <c r="L139" s="23"/>
      <c r="M139" s="23"/>
    </row>
    <row r="140" spans="1:13" x14ac:dyDescent="0.25">
      <c r="A140" s="27"/>
      <c r="B140" s="27"/>
      <c r="C140" s="27"/>
      <c r="D140" s="27"/>
      <c r="E140" s="27"/>
      <c r="F140" s="27"/>
      <c r="G140" s="27"/>
      <c r="H140" s="27" t="s">
        <v>191</v>
      </c>
      <c r="I140" s="27"/>
      <c r="J140" s="28">
        <v>30529</v>
      </c>
      <c r="K140" s="23"/>
      <c r="L140" s="23"/>
      <c r="M140" s="23"/>
    </row>
    <row r="141" spans="1:13" x14ac:dyDescent="0.25">
      <c r="A141" s="27"/>
      <c r="B141" s="27"/>
      <c r="C141" s="27"/>
      <c r="D141" s="27"/>
      <c r="E141" s="27"/>
      <c r="F141" s="27"/>
      <c r="G141" s="27"/>
      <c r="H141" s="27" t="s">
        <v>192</v>
      </c>
      <c r="I141" s="27"/>
      <c r="J141" s="28">
        <v>11000</v>
      </c>
      <c r="K141" s="23"/>
      <c r="L141" s="23"/>
      <c r="M141" s="23"/>
    </row>
    <row r="142" spans="1:13" x14ac:dyDescent="0.25">
      <c r="A142" s="27"/>
      <c r="B142" s="27"/>
      <c r="C142" s="27"/>
      <c r="D142" s="27"/>
      <c r="E142" s="27"/>
      <c r="F142" s="27"/>
      <c r="G142" s="27"/>
      <c r="H142" s="27" t="s">
        <v>193</v>
      </c>
      <c r="I142" s="27"/>
      <c r="J142" s="28">
        <v>1121391</v>
      </c>
      <c r="K142" s="23"/>
      <c r="L142" s="23"/>
      <c r="M142" s="23"/>
    </row>
    <row r="143" spans="1:13" ht="15.75" thickBot="1" x14ac:dyDescent="0.3">
      <c r="A143" s="27"/>
      <c r="B143" s="27"/>
      <c r="C143" s="27"/>
      <c r="D143" s="27"/>
      <c r="E143" s="27"/>
      <c r="F143" s="27"/>
      <c r="G143" s="27"/>
      <c r="H143" s="27" t="s">
        <v>194</v>
      </c>
      <c r="I143" s="27"/>
      <c r="J143" s="29">
        <v>172827</v>
      </c>
      <c r="K143" s="23"/>
      <c r="L143" s="23"/>
      <c r="M143" s="23"/>
    </row>
    <row r="144" spans="1:13" x14ac:dyDescent="0.25">
      <c r="A144" s="27"/>
      <c r="B144" s="27"/>
      <c r="C144" s="27"/>
      <c r="D144" s="27"/>
      <c r="E144" s="27"/>
      <c r="F144" s="27"/>
      <c r="G144" s="27" t="s">
        <v>195</v>
      </c>
      <c r="H144" s="27"/>
      <c r="I144" s="27"/>
      <c r="J144" s="28">
        <f>ROUND(SUM(J135:J143),5)</f>
        <v>1798986.86</v>
      </c>
      <c r="K144" s="23"/>
      <c r="L144" s="23"/>
      <c r="M144" s="23"/>
    </row>
    <row r="145" spans="1:13" x14ac:dyDescent="0.25">
      <c r="A145" s="27"/>
      <c r="B145" s="27"/>
      <c r="C145" s="27"/>
      <c r="D145" s="27"/>
      <c r="E145" s="27"/>
      <c r="F145" s="27"/>
      <c r="G145" s="27" t="s">
        <v>196</v>
      </c>
      <c r="H145" s="27"/>
      <c r="I145" s="27"/>
      <c r="J145" s="28"/>
      <c r="K145" s="23"/>
      <c r="L145" s="23"/>
      <c r="M145" s="23"/>
    </row>
    <row r="146" spans="1:13" x14ac:dyDescent="0.25">
      <c r="A146" s="27"/>
      <c r="B146" s="27"/>
      <c r="C146" s="27"/>
      <c r="D146" s="27"/>
      <c r="E146" s="27"/>
      <c r="F146" s="27"/>
      <c r="G146" s="27"/>
      <c r="H146" s="27" t="s">
        <v>197</v>
      </c>
      <c r="I146" s="27"/>
      <c r="J146" s="28">
        <v>659396.5</v>
      </c>
      <c r="K146" s="23"/>
      <c r="L146" s="23"/>
      <c r="M146" s="23"/>
    </row>
    <row r="147" spans="1:13" x14ac:dyDescent="0.25">
      <c r="A147" s="27"/>
      <c r="B147" s="27"/>
      <c r="C147" s="27"/>
      <c r="D147" s="27"/>
      <c r="E147" s="27"/>
      <c r="F147" s="27"/>
      <c r="G147" s="27"/>
      <c r="H147" s="27" t="s">
        <v>198</v>
      </c>
      <c r="I147" s="27"/>
      <c r="J147" s="28">
        <v>250650</v>
      </c>
      <c r="K147" s="23"/>
      <c r="L147" s="23"/>
      <c r="M147" s="23"/>
    </row>
    <row r="148" spans="1:13" x14ac:dyDescent="0.25">
      <c r="A148" s="27"/>
      <c r="B148" s="27"/>
      <c r="C148" s="27"/>
      <c r="D148" s="27"/>
      <c r="E148" s="27"/>
      <c r="F148" s="27"/>
      <c r="G148" s="27"/>
      <c r="H148" s="27" t="s">
        <v>199</v>
      </c>
      <c r="I148" s="27"/>
      <c r="J148" s="28">
        <v>89336</v>
      </c>
      <c r="K148" s="23"/>
      <c r="L148" s="23"/>
      <c r="M148" s="23"/>
    </row>
    <row r="149" spans="1:13" x14ac:dyDescent="0.25">
      <c r="A149" s="27"/>
      <c r="B149" s="27"/>
      <c r="C149" s="27"/>
      <c r="D149" s="27"/>
      <c r="E149" s="27"/>
      <c r="F149" s="27"/>
      <c r="G149" s="27"/>
      <c r="H149" s="27" t="s">
        <v>200</v>
      </c>
      <c r="I149" s="27"/>
      <c r="J149" s="28">
        <v>375918.06</v>
      </c>
      <c r="K149" s="23"/>
      <c r="L149" s="23"/>
      <c r="M149" s="23"/>
    </row>
    <row r="150" spans="1:13" x14ac:dyDescent="0.25">
      <c r="A150" s="27"/>
      <c r="B150" s="27"/>
      <c r="C150" s="27"/>
      <c r="D150" s="27"/>
      <c r="E150" s="27"/>
      <c r="F150" s="27"/>
      <c r="G150" s="27"/>
      <c r="H150" s="27" t="s">
        <v>201</v>
      </c>
      <c r="I150" s="27"/>
      <c r="J150" s="28">
        <v>70993</v>
      </c>
      <c r="K150" s="23"/>
      <c r="L150" s="23"/>
      <c r="M150" s="23"/>
    </row>
    <row r="151" spans="1:13" x14ac:dyDescent="0.25">
      <c r="A151" s="27"/>
      <c r="B151" s="27"/>
      <c r="C151" s="27"/>
      <c r="D151" s="27"/>
      <c r="E151" s="27"/>
      <c r="F151" s="27"/>
      <c r="G151" s="27"/>
      <c r="H151" s="27" t="s">
        <v>202</v>
      </c>
      <c r="I151" s="27"/>
      <c r="J151" s="28">
        <v>710532</v>
      </c>
      <c r="K151" s="23"/>
      <c r="L151" s="23"/>
      <c r="M151" s="23"/>
    </row>
    <row r="152" spans="1:13" x14ac:dyDescent="0.25">
      <c r="A152" s="27"/>
      <c r="B152" s="27"/>
      <c r="C152" s="27"/>
      <c r="D152" s="27"/>
      <c r="E152" s="27"/>
      <c r="F152" s="27"/>
      <c r="G152" s="27"/>
      <c r="H152" s="27" t="s">
        <v>203</v>
      </c>
      <c r="I152" s="27"/>
      <c r="J152" s="28">
        <v>49505</v>
      </c>
      <c r="K152" s="23"/>
      <c r="L152" s="23"/>
      <c r="M152" s="23"/>
    </row>
    <row r="153" spans="1:13" x14ac:dyDescent="0.25">
      <c r="A153" s="27"/>
      <c r="B153" s="27"/>
      <c r="C153" s="27"/>
      <c r="D153" s="27"/>
      <c r="E153" s="27"/>
      <c r="F153" s="27"/>
      <c r="G153" s="27"/>
      <c r="H153" s="27" t="s">
        <v>204</v>
      </c>
      <c r="I153" s="27"/>
      <c r="J153" s="28">
        <v>1448080.04</v>
      </c>
      <c r="K153" s="23"/>
      <c r="L153" s="23"/>
      <c r="M153" s="23"/>
    </row>
    <row r="154" spans="1:13" x14ac:dyDescent="0.25">
      <c r="A154" s="27"/>
      <c r="B154" s="27"/>
      <c r="C154" s="27"/>
      <c r="D154" s="27"/>
      <c r="E154" s="27"/>
      <c r="F154" s="27"/>
      <c r="G154" s="27"/>
      <c r="H154" s="27" t="s">
        <v>205</v>
      </c>
      <c r="I154" s="27"/>
      <c r="J154" s="28">
        <v>1000006.59</v>
      </c>
      <c r="K154" s="23"/>
      <c r="L154" s="23"/>
      <c r="M154" s="23"/>
    </row>
    <row r="155" spans="1:13" x14ac:dyDescent="0.25">
      <c r="A155" s="27"/>
      <c r="B155" s="27"/>
      <c r="C155" s="27"/>
      <c r="D155" s="27"/>
      <c r="E155" s="27"/>
      <c r="F155" s="27"/>
      <c r="G155" s="27"/>
      <c r="H155" s="27" t="s">
        <v>206</v>
      </c>
      <c r="I155" s="27"/>
      <c r="J155" s="28">
        <v>1253005.27</v>
      </c>
      <c r="K155" s="23"/>
      <c r="L155" s="23"/>
      <c r="M155" s="23"/>
    </row>
    <row r="156" spans="1:13" ht="15.75" thickBot="1" x14ac:dyDescent="0.3">
      <c r="A156" s="27"/>
      <c r="B156" s="27"/>
      <c r="C156" s="27"/>
      <c r="D156" s="27"/>
      <c r="E156" s="27"/>
      <c r="F156" s="27"/>
      <c r="G156" s="27"/>
      <c r="H156" s="27" t="s">
        <v>207</v>
      </c>
      <c r="I156" s="27"/>
      <c r="J156" s="29">
        <v>8898</v>
      </c>
      <c r="K156" s="23"/>
      <c r="L156" s="23"/>
      <c r="M156" s="23"/>
    </row>
    <row r="157" spans="1:13" x14ac:dyDescent="0.25">
      <c r="A157" s="27"/>
      <c r="B157" s="27"/>
      <c r="C157" s="27"/>
      <c r="D157" s="27"/>
      <c r="E157" s="27"/>
      <c r="F157" s="27"/>
      <c r="G157" s="27" t="s">
        <v>208</v>
      </c>
      <c r="H157" s="27"/>
      <c r="I157" s="27"/>
      <c r="J157" s="28">
        <f>ROUND(SUM(J145:J156),5)</f>
        <v>5916320.46</v>
      </c>
      <c r="K157" s="23"/>
      <c r="L157" s="23"/>
      <c r="M157" s="23"/>
    </row>
    <row r="158" spans="1:13" x14ac:dyDescent="0.25">
      <c r="A158" s="27"/>
      <c r="B158" s="27"/>
      <c r="C158" s="27"/>
      <c r="D158" s="27"/>
      <c r="E158" s="27"/>
      <c r="F158" s="27"/>
      <c r="G158" s="27" t="s">
        <v>209</v>
      </c>
      <c r="H158" s="27"/>
      <c r="I158" s="27"/>
      <c r="J158" s="28"/>
      <c r="K158" s="23"/>
      <c r="L158" s="23"/>
      <c r="M158" s="23"/>
    </row>
    <row r="159" spans="1:13" x14ac:dyDescent="0.25">
      <c r="A159" s="27"/>
      <c r="B159" s="27"/>
      <c r="C159" s="27"/>
      <c r="D159" s="27"/>
      <c r="E159" s="27"/>
      <c r="F159" s="27"/>
      <c r="G159" s="27"/>
      <c r="H159" s="27" t="s">
        <v>210</v>
      </c>
      <c r="I159" s="27"/>
      <c r="J159" s="28">
        <v>84568.01</v>
      </c>
      <c r="K159" s="23"/>
      <c r="L159" s="23"/>
      <c r="M159" s="23"/>
    </row>
    <row r="160" spans="1:13" x14ac:dyDescent="0.25">
      <c r="A160" s="27"/>
      <c r="B160" s="27"/>
      <c r="C160" s="27"/>
      <c r="D160" s="27"/>
      <c r="E160" s="27"/>
      <c r="F160" s="27"/>
      <c r="G160" s="27"/>
      <c r="H160" s="27" t="s">
        <v>211</v>
      </c>
      <c r="I160" s="27"/>
      <c r="J160" s="28">
        <v>50126.78</v>
      </c>
      <c r="K160" s="23"/>
      <c r="L160" s="23"/>
      <c r="M160" s="23"/>
    </row>
    <row r="161" spans="1:13" x14ac:dyDescent="0.25">
      <c r="A161" s="27"/>
      <c r="B161" s="27"/>
      <c r="C161" s="27"/>
      <c r="D161" s="27"/>
      <c r="E161" s="27"/>
      <c r="F161" s="27"/>
      <c r="G161" s="27"/>
      <c r="H161" s="27" t="s">
        <v>212</v>
      </c>
      <c r="I161" s="27"/>
      <c r="J161" s="28">
        <v>771149.56</v>
      </c>
      <c r="K161" s="23"/>
      <c r="L161" s="23"/>
      <c r="M161" s="23"/>
    </row>
    <row r="162" spans="1:13" x14ac:dyDescent="0.25">
      <c r="A162" s="27"/>
      <c r="B162" s="27"/>
      <c r="C162" s="27"/>
      <c r="D162" s="27"/>
      <c r="E162" s="27"/>
      <c r="F162" s="27"/>
      <c r="G162" s="27"/>
      <c r="H162" s="27" t="s">
        <v>213</v>
      </c>
      <c r="I162" s="27"/>
      <c r="J162" s="28">
        <v>10917.38</v>
      </c>
      <c r="K162" s="23"/>
      <c r="L162" s="23"/>
      <c r="M162" s="23"/>
    </row>
    <row r="163" spans="1:13" x14ac:dyDescent="0.25">
      <c r="A163" s="27"/>
      <c r="B163" s="27"/>
      <c r="C163" s="27"/>
      <c r="D163" s="27"/>
      <c r="E163" s="27"/>
      <c r="F163" s="27"/>
      <c r="G163" s="27"/>
      <c r="H163" s="27" t="s">
        <v>214</v>
      </c>
      <c r="I163" s="27"/>
      <c r="J163" s="28">
        <v>2683</v>
      </c>
      <c r="K163" s="23"/>
      <c r="L163" s="23"/>
      <c r="M163" s="23"/>
    </row>
    <row r="164" spans="1:13" x14ac:dyDescent="0.25">
      <c r="A164" s="27"/>
      <c r="B164" s="27"/>
      <c r="C164" s="27"/>
      <c r="D164" s="27"/>
      <c r="E164" s="27"/>
      <c r="F164" s="27"/>
      <c r="G164" s="27"/>
      <c r="H164" s="27" t="s">
        <v>215</v>
      </c>
      <c r="I164" s="27"/>
      <c r="J164" s="28">
        <v>2226593.58</v>
      </c>
      <c r="K164" s="23"/>
      <c r="L164" s="23"/>
      <c r="M164" s="23"/>
    </row>
    <row r="165" spans="1:13" ht="15.75" thickBot="1" x14ac:dyDescent="0.3">
      <c r="A165" s="27"/>
      <c r="B165" s="27"/>
      <c r="C165" s="27"/>
      <c r="D165" s="27"/>
      <c r="E165" s="27"/>
      <c r="F165" s="27"/>
      <c r="G165" s="27"/>
      <c r="H165" s="27" t="s">
        <v>216</v>
      </c>
      <c r="I165" s="27"/>
      <c r="J165" s="29">
        <v>5140</v>
      </c>
      <c r="K165" s="23"/>
      <c r="L165" s="23"/>
      <c r="M165" s="23"/>
    </row>
    <row r="166" spans="1:13" x14ac:dyDescent="0.25">
      <c r="A166" s="27"/>
      <c r="B166" s="27"/>
      <c r="C166" s="27"/>
      <c r="D166" s="27"/>
      <c r="E166" s="27"/>
      <c r="F166" s="27"/>
      <c r="G166" s="27" t="s">
        <v>217</v>
      </c>
      <c r="H166" s="27"/>
      <c r="I166" s="27"/>
      <c r="J166" s="28">
        <f>ROUND(SUM(J158:J165),5)</f>
        <v>3151178.31</v>
      </c>
      <c r="K166" s="23"/>
      <c r="L166" s="23"/>
      <c r="M166" s="23"/>
    </row>
    <row r="167" spans="1:13" x14ac:dyDescent="0.25">
      <c r="A167" s="27"/>
      <c r="B167" s="27"/>
      <c r="C167" s="27"/>
      <c r="D167" s="27"/>
      <c r="E167" s="27"/>
      <c r="F167" s="27"/>
      <c r="G167" s="27" t="s">
        <v>218</v>
      </c>
      <c r="H167" s="27"/>
      <c r="I167" s="27"/>
      <c r="J167" s="28"/>
      <c r="K167" s="23"/>
      <c r="L167" s="23"/>
      <c r="M167" s="23"/>
    </row>
    <row r="168" spans="1:13" x14ac:dyDescent="0.25">
      <c r="A168" s="27"/>
      <c r="B168" s="27"/>
      <c r="C168" s="27"/>
      <c r="D168" s="27"/>
      <c r="E168" s="27"/>
      <c r="F168" s="27"/>
      <c r="G168" s="27"/>
      <c r="H168" s="27" t="s">
        <v>219</v>
      </c>
      <c r="I168" s="27"/>
      <c r="J168" s="28"/>
      <c r="K168" s="23"/>
      <c r="L168" s="23"/>
      <c r="M168" s="23"/>
    </row>
    <row r="169" spans="1:13" x14ac:dyDescent="0.25">
      <c r="A169" s="27"/>
      <c r="B169" s="27"/>
      <c r="C169" s="27"/>
      <c r="D169" s="27"/>
      <c r="E169" s="27"/>
      <c r="F169" s="27"/>
      <c r="G169" s="27"/>
      <c r="H169" s="27"/>
      <c r="I169" s="27" t="s">
        <v>220</v>
      </c>
      <c r="J169" s="28">
        <v>39038</v>
      </c>
      <c r="K169" s="23"/>
      <c r="L169" s="23"/>
      <c r="M169" s="23"/>
    </row>
    <row r="170" spans="1:13" x14ac:dyDescent="0.25">
      <c r="A170" s="27"/>
      <c r="B170" s="27"/>
      <c r="C170" s="27"/>
      <c r="D170" s="27"/>
      <c r="E170" s="27"/>
      <c r="F170" s="27"/>
      <c r="G170" s="27"/>
      <c r="H170" s="27"/>
      <c r="I170" s="27" t="s">
        <v>221</v>
      </c>
      <c r="J170" s="28">
        <v>800</v>
      </c>
      <c r="K170" s="23"/>
      <c r="L170" s="23"/>
      <c r="M170" s="23"/>
    </row>
    <row r="171" spans="1:13" x14ac:dyDescent="0.25">
      <c r="A171" s="27"/>
      <c r="B171" s="27"/>
      <c r="C171" s="27"/>
      <c r="D171" s="27"/>
      <c r="E171" s="27"/>
      <c r="F171" s="27"/>
      <c r="G171" s="27"/>
      <c r="H171" s="27"/>
      <c r="I171" s="27" t="s">
        <v>222</v>
      </c>
      <c r="J171" s="28">
        <v>1070075.1499999999</v>
      </c>
      <c r="K171" s="23"/>
      <c r="L171" s="23"/>
      <c r="M171" s="23"/>
    </row>
    <row r="172" spans="1:13" x14ac:dyDescent="0.25">
      <c r="A172" s="27"/>
      <c r="B172" s="27"/>
      <c r="C172" s="27"/>
      <c r="D172" s="27"/>
      <c r="E172" s="27"/>
      <c r="F172" s="27"/>
      <c r="G172" s="27"/>
      <c r="H172" s="27"/>
      <c r="I172" s="27" t="s">
        <v>223</v>
      </c>
      <c r="J172" s="28">
        <v>276295</v>
      </c>
      <c r="K172" s="107">
        <f>SUM(J172)</f>
        <v>276295</v>
      </c>
      <c r="L172" s="23"/>
      <c r="M172" s="23"/>
    </row>
    <row r="173" spans="1:13" x14ac:dyDescent="0.25">
      <c r="A173" s="27"/>
      <c r="B173" s="27"/>
      <c r="C173" s="27"/>
      <c r="D173" s="27"/>
      <c r="E173" s="27"/>
      <c r="F173" s="27"/>
      <c r="G173" s="27"/>
      <c r="H173" s="27"/>
      <c r="I173" s="27" t="s">
        <v>224</v>
      </c>
      <c r="J173" s="28">
        <v>739572.5</v>
      </c>
      <c r="K173" s="23"/>
      <c r="L173" s="23"/>
      <c r="M173" s="23"/>
    </row>
    <row r="174" spans="1:13" x14ac:dyDescent="0.25">
      <c r="A174" s="27"/>
      <c r="B174" s="27"/>
      <c r="C174" s="27"/>
      <c r="D174" s="27"/>
      <c r="E174" s="27"/>
      <c r="F174" s="27"/>
      <c r="G174" s="27"/>
      <c r="H174" s="27"/>
      <c r="I174" s="27" t="s">
        <v>225</v>
      </c>
      <c r="J174" s="28">
        <v>29033.599999999999</v>
      </c>
      <c r="K174" s="23"/>
      <c r="L174" s="23"/>
      <c r="M174" s="23"/>
    </row>
    <row r="175" spans="1:13" x14ac:dyDescent="0.25">
      <c r="A175" s="27"/>
      <c r="B175" s="27"/>
      <c r="C175" s="27"/>
      <c r="D175" s="27"/>
      <c r="E175" s="27"/>
      <c r="F175" s="27"/>
      <c r="G175" s="27"/>
      <c r="H175" s="27"/>
      <c r="I175" s="27" t="s">
        <v>226</v>
      </c>
      <c r="J175" s="28">
        <v>22063</v>
      </c>
      <c r="K175" s="23"/>
      <c r="L175" s="23"/>
      <c r="M175" s="23"/>
    </row>
    <row r="176" spans="1:13" x14ac:dyDescent="0.25">
      <c r="A176" s="27"/>
      <c r="B176" s="27"/>
      <c r="C176" s="27"/>
      <c r="D176" s="27"/>
      <c r="E176" s="27"/>
      <c r="F176" s="27"/>
      <c r="G176" s="27"/>
      <c r="H176" s="27"/>
      <c r="I176" s="27" t="s">
        <v>227</v>
      </c>
      <c r="J176" s="28">
        <v>15000</v>
      </c>
      <c r="K176" s="23"/>
      <c r="L176" s="23"/>
      <c r="M176" s="23"/>
    </row>
    <row r="177" spans="1:13" x14ac:dyDescent="0.25">
      <c r="A177" s="27"/>
      <c r="B177" s="27"/>
      <c r="C177" s="27"/>
      <c r="D177" s="27"/>
      <c r="E177" s="27"/>
      <c r="F177" s="27"/>
      <c r="G177" s="27"/>
      <c r="H177" s="27"/>
      <c r="I177" s="27" t="s">
        <v>228</v>
      </c>
      <c r="J177" s="28">
        <v>123188.91</v>
      </c>
      <c r="K177" s="23"/>
      <c r="L177" s="23"/>
      <c r="M177" s="23"/>
    </row>
    <row r="178" spans="1:13" ht="15.75" thickBot="1" x14ac:dyDescent="0.3">
      <c r="A178" s="27"/>
      <c r="B178" s="27"/>
      <c r="C178" s="27"/>
      <c r="D178" s="27"/>
      <c r="E178" s="27"/>
      <c r="F178" s="27"/>
      <c r="G178" s="27"/>
      <c r="H178" s="27"/>
      <c r="I178" s="27" t="s">
        <v>229</v>
      </c>
      <c r="J178" s="29">
        <v>140038</v>
      </c>
      <c r="K178" s="23"/>
      <c r="L178" s="23"/>
      <c r="M178" s="23"/>
    </row>
    <row r="179" spans="1:13" x14ac:dyDescent="0.25">
      <c r="A179" s="27"/>
      <c r="B179" s="27"/>
      <c r="C179" s="27"/>
      <c r="D179" s="27"/>
      <c r="E179" s="27"/>
      <c r="F179" s="27"/>
      <c r="G179" s="27"/>
      <c r="H179" s="27" t="s">
        <v>230</v>
      </c>
      <c r="I179" s="27"/>
      <c r="J179" s="28">
        <f>ROUND(SUM(J168:J178),5)</f>
        <v>2455104.16</v>
      </c>
      <c r="K179" s="23"/>
      <c r="L179" s="23"/>
      <c r="M179" s="23"/>
    </row>
    <row r="180" spans="1:13" x14ac:dyDescent="0.25">
      <c r="A180" s="27"/>
      <c r="B180" s="27"/>
      <c r="C180" s="27"/>
      <c r="D180" s="27"/>
      <c r="E180" s="27"/>
      <c r="F180" s="27"/>
      <c r="G180" s="27"/>
      <c r="H180" s="27" t="s">
        <v>231</v>
      </c>
      <c r="I180" s="27"/>
      <c r="J180" s="28"/>
      <c r="K180" s="23"/>
      <c r="L180" s="23"/>
      <c r="M180" s="23"/>
    </row>
    <row r="181" spans="1:13" x14ac:dyDescent="0.25">
      <c r="A181" s="27"/>
      <c r="B181" s="27"/>
      <c r="C181" s="27"/>
      <c r="D181" s="27"/>
      <c r="E181" s="27"/>
      <c r="F181" s="27"/>
      <c r="G181" s="27"/>
      <c r="H181" s="27"/>
      <c r="I181" s="27" t="s">
        <v>232</v>
      </c>
      <c r="J181" s="28">
        <v>1745500</v>
      </c>
      <c r="K181" s="23"/>
      <c r="L181" s="23"/>
      <c r="M181" s="23"/>
    </row>
    <row r="182" spans="1:13" x14ac:dyDescent="0.25">
      <c r="A182" s="27"/>
      <c r="B182" s="27"/>
      <c r="C182" s="27"/>
      <c r="D182" s="27"/>
      <c r="E182" s="27"/>
      <c r="F182" s="27"/>
      <c r="G182" s="27"/>
      <c r="H182" s="27"/>
      <c r="I182" s="27" t="s">
        <v>233</v>
      </c>
      <c r="J182" s="28">
        <v>217740</v>
      </c>
      <c r="K182" s="23"/>
      <c r="L182" s="23"/>
      <c r="M182" s="23"/>
    </row>
    <row r="183" spans="1:13" x14ac:dyDescent="0.25">
      <c r="A183" s="27"/>
      <c r="B183" s="27"/>
      <c r="C183" s="27"/>
      <c r="D183" s="27"/>
      <c r="E183" s="27"/>
      <c r="F183" s="27"/>
      <c r="G183" s="27"/>
      <c r="H183" s="27"/>
      <c r="I183" s="27" t="s">
        <v>234</v>
      </c>
      <c r="J183" s="28">
        <v>54435</v>
      </c>
      <c r="K183" s="23"/>
      <c r="L183" s="23"/>
      <c r="M183" s="23"/>
    </row>
    <row r="184" spans="1:13" x14ac:dyDescent="0.25">
      <c r="A184" s="27"/>
      <c r="B184" s="27"/>
      <c r="C184" s="27"/>
      <c r="D184" s="27"/>
      <c r="E184" s="27"/>
      <c r="F184" s="27"/>
      <c r="G184" s="27"/>
      <c r="H184" s="27"/>
      <c r="I184" s="27" t="s">
        <v>235</v>
      </c>
      <c r="J184" s="28">
        <v>509996</v>
      </c>
      <c r="K184" s="23"/>
      <c r="L184" s="23"/>
      <c r="M184" s="23"/>
    </row>
    <row r="185" spans="1:13" ht="15.75" thickBot="1" x14ac:dyDescent="0.3">
      <c r="A185" s="27"/>
      <c r="B185" s="27"/>
      <c r="C185" s="27"/>
      <c r="D185" s="27"/>
      <c r="E185" s="27"/>
      <c r="F185" s="27"/>
      <c r="G185" s="27"/>
      <c r="H185" s="27"/>
      <c r="I185" s="27" t="s">
        <v>236</v>
      </c>
      <c r="J185" s="29">
        <v>-22719.18</v>
      </c>
      <c r="K185" s="23"/>
      <c r="L185" s="23"/>
      <c r="M185" s="23"/>
    </row>
    <row r="186" spans="1:13" x14ac:dyDescent="0.25">
      <c r="A186" s="27"/>
      <c r="B186" s="27"/>
      <c r="C186" s="27"/>
      <c r="D186" s="27"/>
      <c r="E186" s="27"/>
      <c r="F186" s="27"/>
      <c r="G186" s="27"/>
      <c r="H186" s="27" t="s">
        <v>237</v>
      </c>
      <c r="I186" s="27"/>
      <c r="J186" s="28">
        <f>ROUND(SUM(J180:J185),5)</f>
        <v>2504951.8199999998</v>
      </c>
      <c r="K186" s="23"/>
      <c r="L186" s="23"/>
      <c r="M186" s="23"/>
    </row>
    <row r="187" spans="1:13" x14ac:dyDescent="0.25">
      <c r="A187" s="27"/>
      <c r="B187" s="27"/>
      <c r="C187" s="27"/>
      <c r="D187" s="27"/>
      <c r="E187" s="27"/>
      <c r="F187" s="27"/>
      <c r="G187" s="27"/>
      <c r="H187" s="27" t="s">
        <v>238</v>
      </c>
      <c r="I187" s="27"/>
      <c r="J187" s="28"/>
      <c r="K187" s="23"/>
      <c r="L187" s="23"/>
      <c r="M187" s="23"/>
    </row>
    <row r="188" spans="1:13" x14ac:dyDescent="0.25">
      <c r="A188" s="27"/>
      <c r="B188" s="27"/>
      <c r="C188" s="27"/>
      <c r="D188" s="27"/>
      <c r="E188" s="27"/>
      <c r="F188" s="27"/>
      <c r="G188" s="27"/>
      <c r="H188" s="27"/>
      <c r="I188" s="27" t="s">
        <v>239</v>
      </c>
      <c r="J188" s="28">
        <v>51554.11</v>
      </c>
      <c r="K188" s="23"/>
      <c r="L188" s="23"/>
      <c r="M188" s="23"/>
    </row>
    <row r="189" spans="1:13" x14ac:dyDescent="0.25">
      <c r="A189" s="27"/>
      <c r="B189" s="27"/>
      <c r="C189" s="27"/>
      <c r="D189" s="27"/>
      <c r="E189" s="27"/>
      <c r="F189" s="27"/>
      <c r="G189" s="27"/>
      <c r="H189" s="27"/>
      <c r="I189" s="27" t="s">
        <v>240</v>
      </c>
      <c r="J189" s="28">
        <v>66905.56</v>
      </c>
      <c r="K189" s="23"/>
      <c r="L189" s="23"/>
      <c r="M189" s="23"/>
    </row>
    <row r="190" spans="1:13" ht="15.75" thickBot="1" x14ac:dyDescent="0.3">
      <c r="A190" s="27"/>
      <c r="B190" s="27"/>
      <c r="C190" s="27"/>
      <c r="D190" s="27"/>
      <c r="E190" s="27"/>
      <c r="F190" s="27"/>
      <c r="G190" s="27"/>
      <c r="H190" s="27"/>
      <c r="I190" s="27" t="s">
        <v>241</v>
      </c>
      <c r="J190" s="29">
        <v>101740.77</v>
      </c>
      <c r="K190" s="23"/>
      <c r="L190" s="23"/>
      <c r="M190" s="23"/>
    </row>
    <row r="191" spans="1:13" x14ac:dyDescent="0.25">
      <c r="A191" s="27"/>
      <c r="B191" s="27"/>
      <c r="C191" s="27"/>
      <c r="D191" s="27"/>
      <c r="E191" s="27"/>
      <c r="F191" s="27"/>
      <c r="G191" s="27"/>
      <c r="H191" s="27" t="s">
        <v>242</v>
      </c>
      <c r="I191" s="27"/>
      <c r="J191" s="28">
        <f>ROUND(SUM(J187:J190),5)</f>
        <v>220200.44</v>
      </c>
      <c r="K191" s="23"/>
      <c r="L191" s="23"/>
      <c r="M191" s="23"/>
    </row>
    <row r="192" spans="1:13" x14ac:dyDescent="0.25">
      <c r="A192" s="27"/>
      <c r="B192" s="27"/>
      <c r="C192" s="27"/>
      <c r="D192" s="27"/>
      <c r="E192" s="27"/>
      <c r="F192" s="27"/>
      <c r="G192" s="27"/>
      <c r="H192" s="27" t="s">
        <v>243</v>
      </c>
      <c r="I192" s="27"/>
      <c r="J192" s="28"/>
      <c r="K192" s="23"/>
      <c r="L192" s="23"/>
      <c r="M192" s="23"/>
    </row>
    <row r="193" spans="1:13" x14ac:dyDescent="0.25">
      <c r="A193" s="27"/>
      <c r="B193" s="27"/>
      <c r="C193" s="27"/>
      <c r="D193" s="27"/>
      <c r="E193" s="27"/>
      <c r="F193" s="27"/>
      <c r="G193" s="27"/>
      <c r="H193" s="27"/>
      <c r="I193" s="27" t="s">
        <v>244</v>
      </c>
      <c r="J193" s="28">
        <v>93615</v>
      </c>
      <c r="K193" s="23"/>
      <c r="L193" s="23"/>
      <c r="M193" s="23"/>
    </row>
    <row r="194" spans="1:13" x14ac:dyDescent="0.25">
      <c r="A194" s="27"/>
      <c r="B194" s="27"/>
      <c r="C194" s="27"/>
      <c r="D194" s="27"/>
      <c r="E194" s="27"/>
      <c r="F194" s="27"/>
      <c r="G194" s="27"/>
      <c r="H194" s="27"/>
      <c r="I194" s="27" t="s">
        <v>245</v>
      </c>
      <c r="J194" s="28">
        <v>63755</v>
      </c>
      <c r="K194" s="23"/>
      <c r="L194" s="23"/>
      <c r="M194" s="23"/>
    </row>
    <row r="195" spans="1:13" x14ac:dyDescent="0.25">
      <c r="A195" s="27"/>
      <c r="B195" s="27"/>
      <c r="C195" s="27"/>
      <c r="D195" s="27"/>
      <c r="E195" s="27"/>
      <c r="F195" s="27"/>
      <c r="G195" s="27"/>
      <c r="H195" s="27"/>
      <c r="I195" s="27" t="s">
        <v>246</v>
      </c>
      <c r="J195" s="28">
        <v>316909</v>
      </c>
      <c r="K195" s="23"/>
      <c r="L195" s="23"/>
      <c r="M195" s="23"/>
    </row>
    <row r="196" spans="1:13" x14ac:dyDescent="0.25">
      <c r="A196" s="27"/>
      <c r="B196" s="27"/>
      <c r="C196" s="27"/>
      <c r="D196" s="27"/>
      <c r="E196" s="27"/>
      <c r="F196" s="27"/>
      <c r="G196" s="27"/>
      <c r="H196" s="27"/>
      <c r="I196" s="27" t="s">
        <v>247</v>
      </c>
      <c r="J196" s="28">
        <v>1185</v>
      </c>
      <c r="K196" s="23"/>
      <c r="L196" s="23"/>
      <c r="M196" s="23"/>
    </row>
    <row r="197" spans="1:13" ht="15.75" thickBot="1" x14ac:dyDescent="0.3">
      <c r="A197" s="27"/>
      <c r="B197" s="27"/>
      <c r="C197" s="27"/>
      <c r="D197" s="27"/>
      <c r="E197" s="27"/>
      <c r="F197" s="27"/>
      <c r="G197" s="27"/>
      <c r="H197" s="27"/>
      <c r="I197" s="27" t="s">
        <v>248</v>
      </c>
      <c r="J197" s="29">
        <v>18700</v>
      </c>
      <c r="K197" s="23"/>
      <c r="L197" s="23"/>
      <c r="M197" s="23"/>
    </row>
    <row r="198" spans="1:13" x14ac:dyDescent="0.25">
      <c r="A198" s="27"/>
      <c r="B198" s="27"/>
      <c r="C198" s="27"/>
      <c r="D198" s="27"/>
      <c r="E198" s="27"/>
      <c r="F198" s="27"/>
      <c r="G198" s="27"/>
      <c r="H198" s="27" t="s">
        <v>249</v>
      </c>
      <c r="I198" s="27"/>
      <c r="J198" s="28">
        <f>ROUND(SUM(J192:J197),5)</f>
        <v>494164</v>
      </c>
      <c r="K198" s="23"/>
      <c r="L198" s="23"/>
      <c r="M198" s="23"/>
    </row>
    <row r="199" spans="1:13" x14ac:dyDescent="0.25">
      <c r="A199" s="27"/>
      <c r="B199" s="27"/>
      <c r="C199" s="27"/>
      <c r="D199" s="27"/>
      <c r="E199" s="27"/>
      <c r="F199" s="27"/>
      <c r="G199" s="27"/>
      <c r="H199" s="27" t="s">
        <v>250</v>
      </c>
      <c r="I199" s="27"/>
      <c r="J199" s="28"/>
      <c r="K199" s="23"/>
      <c r="L199" s="23"/>
      <c r="M199" s="23"/>
    </row>
    <row r="200" spans="1:13" x14ac:dyDescent="0.25">
      <c r="A200" s="27"/>
      <c r="B200" s="27"/>
      <c r="C200" s="27"/>
      <c r="D200" s="27"/>
      <c r="E200" s="27"/>
      <c r="F200" s="27"/>
      <c r="G200" s="27"/>
      <c r="H200" s="27"/>
      <c r="I200" s="27" t="s">
        <v>251</v>
      </c>
      <c r="J200" s="28">
        <v>242047.71</v>
      </c>
      <c r="K200" s="23"/>
      <c r="L200" s="23"/>
      <c r="M200" s="23"/>
    </row>
    <row r="201" spans="1:13" x14ac:dyDescent="0.25">
      <c r="A201" s="27"/>
      <c r="B201" s="27"/>
      <c r="C201" s="27"/>
      <c r="D201" s="27"/>
      <c r="E201" s="27"/>
      <c r="F201" s="27"/>
      <c r="G201" s="27"/>
      <c r="H201" s="27"/>
      <c r="I201" s="27" t="s">
        <v>252</v>
      </c>
      <c r="J201" s="28">
        <v>997884.02</v>
      </c>
      <c r="K201" s="23"/>
      <c r="L201" s="23"/>
      <c r="M201" s="23"/>
    </row>
    <row r="202" spans="1:13" x14ac:dyDescent="0.25">
      <c r="A202" s="27"/>
      <c r="B202" s="27"/>
      <c r="C202" s="27"/>
      <c r="D202" s="27"/>
      <c r="E202" s="27"/>
      <c r="F202" s="27"/>
      <c r="G202" s="27"/>
      <c r="H202" s="27"/>
      <c r="I202" s="27" t="s">
        <v>253</v>
      </c>
      <c r="J202" s="28">
        <v>42608</v>
      </c>
      <c r="K202" s="23"/>
      <c r="L202" s="23"/>
      <c r="M202" s="23"/>
    </row>
    <row r="203" spans="1:13" x14ac:dyDescent="0.25">
      <c r="A203" s="27"/>
      <c r="B203" s="27"/>
      <c r="C203" s="27"/>
      <c r="D203" s="27"/>
      <c r="E203" s="27"/>
      <c r="F203" s="27"/>
      <c r="G203" s="27"/>
      <c r="H203" s="27"/>
      <c r="I203" s="27" t="s">
        <v>254</v>
      </c>
      <c r="J203" s="28">
        <v>831402</v>
      </c>
      <c r="K203" s="23"/>
      <c r="L203" s="23"/>
      <c r="M203" s="23"/>
    </row>
    <row r="204" spans="1:13" x14ac:dyDescent="0.25">
      <c r="A204" s="27"/>
      <c r="B204" s="27"/>
      <c r="C204" s="27"/>
      <c r="D204" s="27"/>
      <c r="E204" s="27"/>
      <c r="F204" s="27"/>
      <c r="G204" s="27"/>
      <c r="H204" s="27"/>
      <c r="I204" s="27" t="s">
        <v>255</v>
      </c>
      <c r="J204" s="28">
        <v>35320</v>
      </c>
      <c r="K204" s="23"/>
      <c r="L204" s="23"/>
      <c r="M204" s="23"/>
    </row>
    <row r="205" spans="1:13" x14ac:dyDescent="0.25">
      <c r="A205" s="27"/>
      <c r="B205" s="27"/>
      <c r="C205" s="27"/>
      <c r="D205" s="27"/>
      <c r="E205" s="27"/>
      <c r="F205" s="27"/>
      <c r="G205" s="27"/>
      <c r="H205" s="27"/>
      <c r="I205" s="27" t="s">
        <v>256</v>
      </c>
      <c r="J205" s="28">
        <v>107431.06</v>
      </c>
      <c r="K205" s="23"/>
      <c r="L205" s="23"/>
      <c r="M205" s="23"/>
    </row>
    <row r="206" spans="1:13" ht="15.75" thickBot="1" x14ac:dyDescent="0.3">
      <c r="A206" s="27"/>
      <c r="B206" s="27"/>
      <c r="C206" s="27"/>
      <c r="D206" s="27"/>
      <c r="E206" s="27"/>
      <c r="F206" s="27"/>
      <c r="G206" s="27"/>
      <c r="H206" s="27"/>
      <c r="I206" s="27" t="s">
        <v>257</v>
      </c>
      <c r="J206" s="29">
        <v>218974.69</v>
      </c>
      <c r="K206" s="23"/>
      <c r="L206" s="23"/>
      <c r="M206" s="23"/>
    </row>
    <row r="207" spans="1:13" x14ac:dyDescent="0.25">
      <c r="A207" s="27"/>
      <c r="B207" s="27"/>
      <c r="C207" s="27"/>
      <c r="D207" s="27"/>
      <c r="E207" s="27"/>
      <c r="F207" s="27"/>
      <c r="G207" s="27"/>
      <c r="H207" s="27" t="s">
        <v>258</v>
      </c>
      <c r="I207" s="27"/>
      <c r="J207" s="28">
        <f>ROUND(SUM(J199:J206),5)</f>
        <v>2475667.48</v>
      </c>
      <c r="K207" s="23"/>
      <c r="L207" s="23"/>
      <c r="M207" s="23"/>
    </row>
    <row r="208" spans="1:13" x14ac:dyDescent="0.25">
      <c r="A208" s="27"/>
      <c r="B208" s="27"/>
      <c r="C208" s="27"/>
      <c r="D208" s="27"/>
      <c r="E208" s="27"/>
      <c r="F208" s="27"/>
      <c r="G208" s="27"/>
      <c r="H208" s="27" t="s">
        <v>259</v>
      </c>
      <c r="I208" s="27"/>
      <c r="J208" s="28"/>
      <c r="K208" s="23"/>
      <c r="L208" s="23"/>
      <c r="M208" s="23"/>
    </row>
    <row r="209" spans="1:13" x14ac:dyDescent="0.25">
      <c r="A209" s="27"/>
      <c r="B209" s="27"/>
      <c r="C209" s="27"/>
      <c r="D209" s="27"/>
      <c r="E209" s="27"/>
      <c r="F209" s="27"/>
      <c r="G209" s="27"/>
      <c r="H209" s="27"/>
      <c r="I209" s="27" t="s">
        <v>260</v>
      </c>
      <c r="J209" s="28">
        <v>1014</v>
      </c>
      <c r="K209" s="23"/>
      <c r="L209" s="23"/>
      <c r="M209" s="23"/>
    </row>
    <row r="210" spans="1:13" x14ac:dyDescent="0.25">
      <c r="A210" s="27"/>
      <c r="B210" s="27"/>
      <c r="C210" s="27"/>
      <c r="D210" s="27"/>
      <c r="E210" s="27"/>
      <c r="F210" s="27"/>
      <c r="G210" s="27"/>
      <c r="H210" s="27"/>
      <c r="I210" s="27" t="s">
        <v>261</v>
      </c>
      <c r="J210" s="28">
        <v>3258</v>
      </c>
      <c r="K210" s="23"/>
      <c r="L210" s="23"/>
      <c r="M210" s="23"/>
    </row>
    <row r="211" spans="1:13" ht="15.75" thickBot="1" x14ac:dyDescent="0.3">
      <c r="A211" s="27"/>
      <c r="B211" s="27"/>
      <c r="C211" s="27"/>
      <c r="D211" s="27"/>
      <c r="E211" s="27"/>
      <c r="F211" s="27"/>
      <c r="G211" s="27"/>
      <c r="H211" s="27"/>
      <c r="I211" s="27" t="s">
        <v>262</v>
      </c>
      <c r="J211" s="30">
        <v>7721.06</v>
      </c>
      <c r="K211" s="23"/>
      <c r="L211" s="23"/>
      <c r="M211" s="23"/>
    </row>
    <row r="212" spans="1:13" ht="15.75" thickBot="1" x14ac:dyDescent="0.3">
      <c r="A212" s="27"/>
      <c r="B212" s="27"/>
      <c r="C212" s="27"/>
      <c r="D212" s="27"/>
      <c r="E212" s="27"/>
      <c r="F212" s="27"/>
      <c r="G212" s="27"/>
      <c r="H212" s="27" t="s">
        <v>263</v>
      </c>
      <c r="I212" s="27"/>
      <c r="J212" s="33">
        <f>ROUND(SUM(J208:J211),5)</f>
        <v>11993.06</v>
      </c>
      <c r="K212" s="23"/>
      <c r="L212" s="23"/>
      <c r="M212" s="23"/>
    </row>
    <row r="213" spans="1:13" x14ac:dyDescent="0.25">
      <c r="A213" s="27"/>
      <c r="B213" s="27"/>
      <c r="C213" s="27"/>
      <c r="D213" s="27"/>
      <c r="E213" s="27"/>
      <c r="F213" s="27"/>
      <c r="G213" s="27" t="s">
        <v>264</v>
      </c>
      <c r="H213" s="27"/>
      <c r="I213" s="27"/>
      <c r="J213" s="28">
        <f>ROUND(J167+J179+J186+J191+J198+J207+J212,5)</f>
        <v>8162080.96</v>
      </c>
      <c r="K213" s="23"/>
      <c r="L213" s="23"/>
      <c r="M213" s="23"/>
    </row>
    <row r="214" spans="1:13" x14ac:dyDescent="0.25">
      <c r="A214" s="27"/>
      <c r="B214" s="27"/>
      <c r="C214" s="27"/>
      <c r="D214" s="27"/>
      <c r="E214" s="27"/>
      <c r="F214" s="27"/>
      <c r="G214" s="27" t="s">
        <v>265</v>
      </c>
      <c r="H214" s="27"/>
      <c r="I214" s="27"/>
      <c r="J214" s="28"/>
      <c r="K214" s="23"/>
      <c r="L214" s="23"/>
      <c r="M214" s="23"/>
    </row>
    <row r="215" spans="1:13" x14ac:dyDescent="0.25">
      <c r="A215" s="27"/>
      <c r="B215" s="27"/>
      <c r="C215" s="27"/>
      <c r="D215" s="27"/>
      <c r="E215" s="27"/>
      <c r="F215" s="27"/>
      <c r="G215" s="27"/>
      <c r="H215" s="27" t="s">
        <v>266</v>
      </c>
      <c r="I215" s="27"/>
      <c r="J215" s="28">
        <v>1390</v>
      </c>
      <c r="K215" s="23"/>
      <c r="L215" s="23"/>
      <c r="M215" s="23"/>
    </row>
    <row r="216" spans="1:13" x14ac:dyDescent="0.25">
      <c r="A216" s="27"/>
      <c r="B216" s="27"/>
      <c r="C216" s="27"/>
      <c r="D216" s="27"/>
      <c r="E216" s="27"/>
      <c r="F216" s="27"/>
      <c r="G216" s="27"/>
      <c r="H216" s="27" t="s">
        <v>267</v>
      </c>
      <c r="I216" s="27"/>
      <c r="J216" s="28">
        <v>-643.4</v>
      </c>
      <c r="K216" s="23"/>
      <c r="L216" s="23"/>
      <c r="M216" s="23"/>
    </row>
    <row r="217" spans="1:13" x14ac:dyDescent="0.25">
      <c r="A217" s="27"/>
      <c r="B217" s="27"/>
      <c r="C217" s="27"/>
      <c r="D217" s="27"/>
      <c r="E217" s="27"/>
      <c r="F217" s="27"/>
      <c r="G217" s="27"/>
      <c r="H217" s="27" t="s">
        <v>268</v>
      </c>
      <c r="I217" s="27"/>
      <c r="J217" s="28">
        <v>5550</v>
      </c>
      <c r="K217" s="23"/>
      <c r="L217" s="23"/>
      <c r="M217" s="23"/>
    </row>
    <row r="218" spans="1:13" x14ac:dyDescent="0.25">
      <c r="A218" s="27"/>
      <c r="B218" s="27"/>
      <c r="C218" s="27"/>
      <c r="D218" s="27"/>
      <c r="E218" s="27"/>
      <c r="F218" s="27"/>
      <c r="G218" s="27"/>
      <c r="H218" s="27" t="s">
        <v>269</v>
      </c>
      <c r="I218" s="27"/>
      <c r="J218" s="28">
        <v>504773</v>
      </c>
      <c r="K218" s="23"/>
      <c r="L218" s="23"/>
      <c r="M218" s="23"/>
    </row>
    <row r="219" spans="1:13" ht="15.75" thickBot="1" x14ac:dyDescent="0.3">
      <c r="A219" s="27"/>
      <c r="B219" s="27"/>
      <c r="C219" s="27"/>
      <c r="D219" s="27"/>
      <c r="E219" s="27"/>
      <c r="F219" s="27"/>
      <c r="G219" s="27"/>
      <c r="H219" s="27" t="s">
        <v>270</v>
      </c>
      <c r="I219" s="27"/>
      <c r="J219" s="30">
        <v>68345.2</v>
      </c>
      <c r="K219" s="23"/>
      <c r="L219" s="23"/>
      <c r="M219" s="23"/>
    </row>
    <row r="220" spans="1:13" ht="15.75" thickBot="1" x14ac:dyDescent="0.3">
      <c r="A220" s="27"/>
      <c r="B220" s="27"/>
      <c r="C220" s="27"/>
      <c r="D220" s="27"/>
      <c r="E220" s="27"/>
      <c r="F220" s="27"/>
      <c r="G220" s="27" t="s">
        <v>271</v>
      </c>
      <c r="H220" s="27"/>
      <c r="I220" s="27"/>
      <c r="J220" s="33">
        <f>ROUND(SUM(J214:J219),5)</f>
        <v>579414.80000000005</v>
      </c>
      <c r="K220" s="23"/>
      <c r="L220" s="23"/>
      <c r="M220" s="23"/>
    </row>
    <row r="221" spans="1:13" x14ac:dyDescent="0.25">
      <c r="A221" s="27"/>
      <c r="B221" s="27"/>
      <c r="C221" s="27"/>
      <c r="D221" s="27"/>
      <c r="E221" s="27"/>
      <c r="F221" s="27" t="s">
        <v>272</v>
      </c>
      <c r="G221" s="27"/>
      <c r="H221" s="27"/>
      <c r="I221" s="27"/>
      <c r="J221" s="28">
        <f>ROUND(J99+J117+J127+J134+J144+J157+J166+J213+J220,5)</f>
        <v>27372059.059999999</v>
      </c>
      <c r="K221" s="23"/>
      <c r="L221" s="23"/>
      <c r="M221" s="23"/>
    </row>
    <row r="222" spans="1:13" x14ac:dyDescent="0.25">
      <c r="A222" s="27"/>
      <c r="B222" s="27"/>
      <c r="C222" s="27"/>
      <c r="D222" s="27"/>
      <c r="E222" s="27"/>
      <c r="F222" s="27" t="s">
        <v>273</v>
      </c>
      <c r="G222" s="27"/>
      <c r="H222" s="27"/>
      <c r="I222" s="27"/>
      <c r="J222" s="28"/>
      <c r="K222" s="23"/>
      <c r="L222" s="23"/>
      <c r="M222" s="23"/>
    </row>
    <row r="223" spans="1:13" x14ac:dyDescent="0.25">
      <c r="A223" s="27"/>
      <c r="B223" s="27"/>
      <c r="C223" s="27"/>
      <c r="D223" s="27"/>
      <c r="E223" s="27"/>
      <c r="F223" s="27"/>
      <c r="G223" s="27" t="s">
        <v>274</v>
      </c>
      <c r="H223" s="27"/>
      <c r="I223" s="27"/>
      <c r="J223" s="28">
        <v>210000</v>
      </c>
      <c r="K223" s="23"/>
      <c r="L223" s="23"/>
      <c r="M223" s="23"/>
    </row>
    <row r="224" spans="1:13" x14ac:dyDescent="0.25">
      <c r="A224" s="27"/>
      <c r="B224" s="27"/>
      <c r="C224" s="27"/>
      <c r="D224" s="27"/>
      <c r="E224" s="27"/>
      <c r="F224" s="27"/>
      <c r="G224" s="27" t="s">
        <v>275</v>
      </c>
      <c r="H224" s="27"/>
      <c r="I224" s="27"/>
      <c r="J224" s="28">
        <v>10985.4</v>
      </c>
      <c r="K224" s="23"/>
      <c r="L224" s="23"/>
      <c r="M224" s="23"/>
    </row>
    <row r="225" spans="1:13" x14ac:dyDescent="0.25">
      <c r="A225" s="27"/>
      <c r="B225" s="27"/>
      <c r="C225" s="27"/>
      <c r="D225" s="27"/>
      <c r="E225" s="27"/>
      <c r="F225" s="27"/>
      <c r="G225" s="27" t="s">
        <v>276</v>
      </c>
      <c r="H225" s="27"/>
      <c r="I225" s="27"/>
      <c r="J225" s="28">
        <v>177645</v>
      </c>
      <c r="K225" s="23"/>
      <c r="L225" s="23"/>
      <c r="M225" s="23"/>
    </row>
    <row r="226" spans="1:13" x14ac:dyDescent="0.25">
      <c r="A226" s="27"/>
      <c r="B226" s="27"/>
      <c r="C226" s="27"/>
      <c r="D226" s="27"/>
      <c r="E226" s="27"/>
      <c r="F226" s="27"/>
      <c r="G226" s="27" t="s">
        <v>277</v>
      </c>
      <c r="H226" s="27"/>
      <c r="I226" s="27"/>
      <c r="J226" s="28">
        <v>213781.7</v>
      </c>
      <c r="K226" s="23"/>
      <c r="L226" s="23"/>
      <c r="M226" s="23"/>
    </row>
    <row r="227" spans="1:13" x14ac:dyDescent="0.25">
      <c r="A227" s="27"/>
      <c r="B227" s="27"/>
      <c r="C227" s="27"/>
      <c r="D227" s="27"/>
      <c r="E227" s="27"/>
      <c r="F227" s="27"/>
      <c r="G227" s="27" t="s">
        <v>278</v>
      </c>
      <c r="H227" s="27"/>
      <c r="I227" s="27"/>
      <c r="J227" s="28">
        <v>18087.63</v>
      </c>
      <c r="K227" s="23"/>
      <c r="L227" s="23"/>
      <c r="M227" s="23"/>
    </row>
    <row r="228" spans="1:13" ht="15.75" thickBot="1" x14ac:dyDescent="0.3">
      <c r="A228" s="27"/>
      <c r="B228" s="27"/>
      <c r="C228" s="27"/>
      <c r="D228" s="27"/>
      <c r="E228" s="27"/>
      <c r="F228" s="27"/>
      <c r="G228" s="27" t="s">
        <v>279</v>
      </c>
      <c r="H228" s="27"/>
      <c r="I228" s="27"/>
      <c r="J228" s="29">
        <v>707370</v>
      </c>
      <c r="K228" s="23"/>
      <c r="L228" s="23"/>
      <c r="M228" s="23"/>
    </row>
    <row r="229" spans="1:13" x14ac:dyDescent="0.25">
      <c r="A229" s="27"/>
      <c r="B229" s="27"/>
      <c r="C229" s="27"/>
      <c r="D229" s="27"/>
      <c r="E229" s="27"/>
      <c r="F229" s="27" t="s">
        <v>280</v>
      </c>
      <c r="G229" s="27"/>
      <c r="H229" s="27"/>
      <c r="I229" s="27"/>
      <c r="J229" s="28">
        <f>ROUND(SUM(J222:J228),5)</f>
        <v>1337869.73</v>
      </c>
      <c r="K229" s="23"/>
      <c r="L229" s="23"/>
      <c r="M229" s="23"/>
    </row>
    <row r="230" spans="1:13" x14ac:dyDescent="0.25">
      <c r="A230" s="27"/>
      <c r="B230" s="27"/>
      <c r="C230" s="27"/>
      <c r="D230" s="27"/>
      <c r="E230" s="27"/>
      <c r="F230" s="27" t="s">
        <v>281</v>
      </c>
      <c r="G230" s="27"/>
      <c r="H230" s="27"/>
      <c r="I230" s="27"/>
      <c r="J230" s="28"/>
      <c r="K230" s="23"/>
      <c r="L230" s="23"/>
      <c r="M230" s="23"/>
    </row>
    <row r="231" spans="1:13" x14ac:dyDescent="0.25">
      <c r="A231" s="27"/>
      <c r="B231" s="27"/>
      <c r="C231" s="27"/>
      <c r="D231" s="27"/>
      <c r="E231" s="27"/>
      <c r="F231" s="27"/>
      <c r="G231" s="27" t="s">
        <v>282</v>
      </c>
      <c r="H231" s="27"/>
      <c r="I231" s="27"/>
      <c r="J231" s="28"/>
      <c r="K231" s="23"/>
      <c r="L231" s="23"/>
      <c r="M231" s="23"/>
    </row>
    <row r="232" spans="1:13" x14ac:dyDescent="0.25">
      <c r="A232" s="27"/>
      <c r="B232" s="27"/>
      <c r="C232" s="27"/>
      <c r="D232" s="27"/>
      <c r="E232" s="27"/>
      <c r="F232" s="27"/>
      <c r="G232" s="27"/>
      <c r="H232" s="27" t="s">
        <v>283</v>
      </c>
      <c r="I232" s="27"/>
      <c r="J232" s="28">
        <v>21749933.350000001</v>
      </c>
      <c r="K232" s="23"/>
      <c r="L232" s="23"/>
      <c r="M232" s="23"/>
    </row>
    <row r="233" spans="1:13" x14ac:dyDescent="0.25">
      <c r="A233" s="27"/>
      <c r="B233" s="27"/>
      <c r="C233" s="27"/>
      <c r="D233" s="27"/>
      <c r="E233" s="27"/>
      <c r="F233" s="27"/>
      <c r="G233" s="27"/>
      <c r="H233" s="27" t="s">
        <v>284</v>
      </c>
      <c r="I233" s="27"/>
      <c r="J233" s="28">
        <v>3054788.33</v>
      </c>
      <c r="K233" s="23"/>
      <c r="L233" s="23"/>
      <c r="M233" s="23"/>
    </row>
    <row r="234" spans="1:13" x14ac:dyDescent="0.25">
      <c r="A234" s="27"/>
      <c r="B234" s="27"/>
      <c r="C234" s="27"/>
      <c r="D234" s="27"/>
      <c r="E234" s="27"/>
      <c r="F234" s="27"/>
      <c r="G234" s="27"/>
      <c r="H234" s="27" t="s">
        <v>285</v>
      </c>
      <c r="I234" s="27"/>
      <c r="J234" s="28">
        <v>2601435.2200000002</v>
      </c>
      <c r="K234" s="23"/>
      <c r="L234" s="23"/>
      <c r="M234" s="23"/>
    </row>
    <row r="235" spans="1:13" x14ac:dyDescent="0.25">
      <c r="A235" s="27"/>
      <c r="B235" s="27"/>
      <c r="C235" s="27"/>
      <c r="D235" s="27"/>
      <c r="E235" s="27"/>
      <c r="F235" s="27"/>
      <c r="G235" s="27"/>
      <c r="H235" s="27" t="s">
        <v>286</v>
      </c>
      <c r="I235" s="27"/>
      <c r="J235" s="28">
        <v>1564248.19</v>
      </c>
      <c r="K235" s="23"/>
      <c r="L235" s="23"/>
      <c r="M235" s="23"/>
    </row>
    <row r="236" spans="1:13" x14ac:dyDescent="0.25">
      <c r="A236" s="27"/>
      <c r="B236" s="27"/>
      <c r="C236" s="27"/>
      <c r="D236" s="27"/>
      <c r="E236" s="27"/>
      <c r="F236" s="27"/>
      <c r="G236" s="27"/>
      <c r="H236" s="27" t="s">
        <v>287</v>
      </c>
      <c r="I236" s="27"/>
      <c r="J236" s="28">
        <v>2405027.04</v>
      </c>
      <c r="K236" s="23"/>
      <c r="L236" s="23"/>
      <c r="M236" s="23"/>
    </row>
    <row r="237" spans="1:13" x14ac:dyDescent="0.25">
      <c r="A237" s="27"/>
      <c r="B237" s="27"/>
      <c r="C237" s="27"/>
      <c r="D237" s="27"/>
      <c r="E237" s="27"/>
      <c r="F237" s="27"/>
      <c r="G237" s="27"/>
      <c r="H237" s="27" t="s">
        <v>288</v>
      </c>
      <c r="I237" s="27"/>
      <c r="J237" s="28">
        <v>602033.04</v>
      </c>
      <c r="K237" s="23"/>
      <c r="L237" s="23"/>
      <c r="M237" s="23"/>
    </row>
    <row r="238" spans="1:13" x14ac:dyDescent="0.25">
      <c r="A238" s="27"/>
      <c r="B238" s="27"/>
      <c r="C238" s="27"/>
      <c r="D238" s="27"/>
      <c r="E238" s="27"/>
      <c r="F238" s="27"/>
      <c r="G238" s="27"/>
      <c r="H238" s="27" t="s">
        <v>289</v>
      </c>
      <c r="I238" s="27"/>
      <c r="J238" s="28">
        <v>-183896.2</v>
      </c>
      <c r="K238" s="23"/>
      <c r="L238" s="23"/>
      <c r="M238" s="23"/>
    </row>
    <row r="239" spans="1:13" x14ac:dyDescent="0.25">
      <c r="A239" s="27"/>
      <c r="B239" s="27"/>
      <c r="C239" s="27"/>
      <c r="D239" s="27"/>
      <c r="E239" s="27"/>
      <c r="F239" s="27"/>
      <c r="G239" s="27"/>
      <c r="H239" s="27" t="s">
        <v>290</v>
      </c>
      <c r="I239" s="27"/>
      <c r="J239" s="28">
        <v>2700000</v>
      </c>
      <c r="K239" s="23"/>
      <c r="L239" s="23"/>
      <c r="M239" s="23"/>
    </row>
    <row r="240" spans="1:13" ht="15.75" thickBot="1" x14ac:dyDescent="0.3">
      <c r="A240" s="27"/>
      <c r="B240" s="27"/>
      <c r="C240" s="27"/>
      <c r="D240" s="27"/>
      <c r="E240" s="27"/>
      <c r="F240" s="27"/>
      <c r="G240" s="27"/>
      <c r="H240" s="27" t="s">
        <v>291</v>
      </c>
      <c r="I240" s="27"/>
      <c r="J240" s="29">
        <v>611291.67000000004</v>
      </c>
      <c r="K240" s="23"/>
      <c r="L240" s="23"/>
      <c r="M240" s="23"/>
    </row>
    <row r="241" spans="1:13" x14ac:dyDescent="0.25">
      <c r="A241" s="27"/>
      <c r="B241" s="27"/>
      <c r="C241" s="27"/>
      <c r="D241" s="27"/>
      <c r="E241" s="27"/>
      <c r="F241" s="27"/>
      <c r="G241" s="27" t="s">
        <v>292</v>
      </c>
      <c r="H241" s="27"/>
      <c r="I241" s="27"/>
      <c r="J241" s="28">
        <f>ROUND(SUM(J231:J240),5)</f>
        <v>35104860.640000001</v>
      </c>
      <c r="K241" s="23"/>
      <c r="L241" s="23"/>
      <c r="M241" s="23"/>
    </row>
    <row r="242" spans="1:13" x14ac:dyDescent="0.25">
      <c r="A242" s="27"/>
      <c r="B242" s="27"/>
      <c r="C242" s="27"/>
      <c r="D242" s="27"/>
      <c r="E242" s="27"/>
      <c r="F242" s="27"/>
      <c r="G242" s="27" t="s">
        <v>293</v>
      </c>
      <c r="H242" s="27"/>
      <c r="I242" s="27"/>
      <c r="J242" s="28"/>
      <c r="K242" s="23"/>
      <c r="L242" s="23"/>
      <c r="M242" s="23"/>
    </row>
    <row r="243" spans="1:13" x14ac:dyDescent="0.25">
      <c r="A243" s="27"/>
      <c r="B243" s="27"/>
      <c r="C243" s="27"/>
      <c r="D243" s="27"/>
      <c r="E243" s="27"/>
      <c r="F243" s="27"/>
      <c r="G243" s="27"/>
      <c r="H243" s="27" t="s">
        <v>294</v>
      </c>
      <c r="I243" s="27"/>
      <c r="J243" s="28">
        <v>40816</v>
      </c>
      <c r="K243" s="23"/>
      <c r="L243" s="23"/>
      <c r="M243" s="23"/>
    </row>
    <row r="244" spans="1:13" x14ac:dyDescent="0.25">
      <c r="A244" s="27"/>
      <c r="B244" s="27"/>
      <c r="C244" s="27"/>
      <c r="D244" s="27"/>
      <c r="E244" s="27"/>
      <c r="F244" s="27"/>
      <c r="G244" s="27"/>
      <c r="H244" s="27" t="s">
        <v>295</v>
      </c>
      <c r="I244" s="27"/>
      <c r="J244" s="28">
        <v>473837.9</v>
      </c>
      <c r="K244" s="23"/>
      <c r="L244" s="23"/>
      <c r="M244" s="23"/>
    </row>
    <row r="245" spans="1:13" x14ac:dyDescent="0.25">
      <c r="A245" s="27"/>
      <c r="B245" s="27"/>
      <c r="C245" s="27"/>
      <c r="D245" s="27"/>
      <c r="E245" s="27"/>
      <c r="F245" s="27"/>
      <c r="G245" s="27"/>
      <c r="H245" s="27" t="s">
        <v>296</v>
      </c>
      <c r="I245" s="27"/>
      <c r="J245" s="28">
        <v>1939164.39</v>
      </c>
      <c r="K245" s="23"/>
      <c r="L245" s="23"/>
      <c r="M245" s="23"/>
    </row>
    <row r="246" spans="1:13" x14ac:dyDescent="0.25">
      <c r="A246" s="27"/>
      <c r="B246" s="27"/>
      <c r="C246" s="27"/>
      <c r="D246" s="27"/>
      <c r="E246" s="27"/>
      <c r="F246" s="27"/>
      <c r="G246" s="27"/>
      <c r="H246" s="27" t="s">
        <v>297</v>
      </c>
      <c r="I246" s="27"/>
      <c r="J246" s="28"/>
      <c r="K246" s="23"/>
      <c r="L246" s="23"/>
      <c r="M246" s="23"/>
    </row>
    <row r="247" spans="1:13" x14ac:dyDescent="0.25">
      <c r="A247" s="27"/>
      <c r="B247" s="27"/>
      <c r="C247" s="27"/>
      <c r="D247" s="27"/>
      <c r="E247" s="27"/>
      <c r="F247" s="27"/>
      <c r="G247" s="27"/>
      <c r="H247" s="27"/>
      <c r="I247" s="27" t="s">
        <v>298</v>
      </c>
      <c r="J247" s="28">
        <v>724039.7</v>
      </c>
      <c r="K247" s="23"/>
      <c r="L247" s="23"/>
      <c r="M247" s="23"/>
    </row>
    <row r="248" spans="1:13" ht="15.75" thickBot="1" x14ac:dyDescent="0.3">
      <c r="A248" s="27"/>
      <c r="B248" s="27"/>
      <c r="C248" s="27"/>
      <c r="D248" s="27"/>
      <c r="E248" s="27"/>
      <c r="F248" s="27"/>
      <c r="G248" s="27"/>
      <c r="H248" s="27"/>
      <c r="I248" s="27" t="s">
        <v>299</v>
      </c>
      <c r="J248" s="29">
        <v>92846.76</v>
      </c>
      <c r="K248" s="23"/>
      <c r="L248" s="23"/>
      <c r="M248" s="23"/>
    </row>
    <row r="249" spans="1:13" x14ac:dyDescent="0.25">
      <c r="A249" s="27"/>
      <c r="B249" s="27"/>
      <c r="C249" s="27"/>
      <c r="D249" s="27"/>
      <c r="E249" s="27"/>
      <c r="F249" s="27"/>
      <c r="G249" s="27"/>
      <c r="H249" s="27" t="s">
        <v>300</v>
      </c>
      <c r="I249" s="27"/>
      <c r="J249" s="28">
        <f>ROUND(SUM(J246:J248),5)</f>
        <v>816886.46</v>
      </c>
      <c r="K249" s="23"/>
      <c r="L249" s="23"/>
      <c r="M249" s="23"/>
    </row>
    <row r="250" spans="1:13" x14ac:dyDescent="0.25">
      <c r="A250" s="27"/>
      <c r="B250" s="27"/>
      <c r="C250" s="27"/>
      <c r="D250" s="27"/>
      <c r="E250" s="27"/>
      <c r="F250" s="27"/>
      <c r="G250" s="27"/>
      <c r="H250" s="27" t="s">
        <v>301</v>
      </c>
      <c r="I250" s="27"/>
      <c r="J250" s="28">
        <v>315710</v>
      </c>
      <c r="K250" s="23"/>
      <c r="L250" s="23"/>
      <c r="M250" s="23"/>
    </row>
    <row r="251" spans="1:13" x14ac:dyDescent="0.25">
      <c r="A251" s="27"/>
      <c r="B251" s="27"/>
      <c r="C251" s="27"/>
      <c r="D251" s="27"/>
      <c r="E251" s="27"/>
      <c r="F251" s="27"/>
      <c r="G251" s="27"/>
      <c r="H251" s="27" t="s">
        <v>302</v>
      </c>
      <c r="I251" s="27"/>
      <c r="J251" s="28">
        <v>75330.75</v>
      </c>
      <c r="K251" s="23"/>
      <c r="L251" s="23"/>
      <c r="M251" s="23"/>
    </row>
    <row r="252" spans="1:13" x14ac:dyDescent="0.25">
      <c r="A252" s="27"/>
      <c r="B252" s="27"/>
      <c r="C252" s="27"/>
      <c r="D252" s="27"/>
      <c r="E252" s="27"/>
      <c r="F252" s="27"/>
      <c r="G252" s="27"/>
      <c r="H252" s="27" t="s">
        <v>303</v>
      </c>
      <c r="I252" s="27"/>
      <c r="J252" s="28">
        <v>171745.98</v>
      </c>
      <c r="K252" s="23"/>
      <c r="L252" s="23"/>
      <c r="M252" s="23"/>
    </row>
    <row r="253" spans="1:13" x14ac:dyDescent="0.25">
      <c r="A253" s="27"/>
      <c r="B253" s="27"/>
      <c r="C253" s="27"/>
      <c r="D253" s="27"/>
      <c r="E253" s="27"/>
      <c r="F253" s="27"/>
      <c r="G253" s="27"/>
      <c r="H253" s="27" t="s">
        <v>304</v>
      </c>
      <c r="I253" s="27"/>
      <c r="J253" s="28">
        <v>452756.12</v>
      </c>
      <c r="K253" s="23"/>
      <c r="L253" s="23"/>
      <c r="M253" s="23"/>
    </row>
    <row r="254" spans="1:13" x14ac:dyDescent="0.25">
      <c r="A254" s="27"/>
      <c r="B254" s="27"/>
      <c r="C254" s="27"/>
      <c r="D254" s="27"/>
      <c r="E254" s="27"/>
      <c r="F254" s="27"/>
      <c r="G254" s="27"/>
      <c r="H254" s="27" t="s">
        <v>305</v>
      </c>
      <c r="I254" s="27"/>
      <c r="J254" s="28">
        <v>235610</v>
      </c>
      <c r="K254" s="23"/>
      <c r="L254" s="23"/>
      <c r="M254" s="23"/>
    </row>
    <row r="255" spans="1:13" x14ac:dyDescent="0.25">
      <c r="A255" s="27"/>
      <c r="B255" s="27"/>
      <c r="C255" s="27"/>
      <c r="D255" s="27"/>
      <c r="E255" s="27"/>
      <c r="F255" s="27"/>
      <c r="G255" s="27"/>
      <c r="H255" s="27" t="s">
        <v>306</v>
      </c>
      <c r="I255" s="27"/>
      <c r="J255" s="28">
        <v>504439.25</v>
      </c>
      <c r="K255" s="23"/>
      <c r="L255" s="23"/>
      <c r="M255" s="23"/>
    </row>
    <row r="256" spans="1:13" x14ac:dyDescent="0.25">
      <c r="A256" s="27"/>
      <c r="B256" s="27"/>
      <c r="C256" s="27"/>
      <c r="D256" s="27"/>
      <c r="E256" s="27"/>
      <c r="F256" s="27"/>
      <c r="G256" s="27"/>
      <c r="H256" s="27" t="s">
        <v>307</v>
      </c>
      <c r="I256" s="27"/>
      <c r="J256" s="28">
        <v>36160.36</v>
      </c>
      <c r="K256" s="23"/>
      <c r="L256" s="23"/>
      <c r="M256" s="23"/>
    </row>
    <row r="257" spans="1:13" x14ac:dyDescent="0.25">
      <c r="A257" s="27"/>
      <c r="B257" s="27"/>
      <c r="C257" s="27"/>
      <c r="D257" s="27"/>
      <c r="E257" s="27"/>
      <c r="F257" s="27"/>
      <c r="G257" s="27"/>
      <c r="H257" s="27" t="s">
        <v>308</v>
      </c>
      <c r="I257" s="27"/>
      <c r="J257" s="28">
        <v>11370</v>
      </c>
      <c r="K257" s="23"/>
      <c r="L257" s="23"/>
      <c r="M257" s="23"/>
    </row>
    <row r="258" spans="1:13" ht="15.75" thickBot="1" x14ac:dyDescent="0.3">
      <c r="A258" s="27"/>
      <c r="B258" s="27"/>
      <c r="C258" s="27"/>
      <c r="D258" s="27"/>
      <c r="E258" s="27"/>
      <c r="F258" s="27"/>
      <c r="G258" s="27"/>
      <c r="H258" s="27" t="s">
        <v>309</v>
      </c>
      <c r="I258" s="27"/>
      <c r="J258" s="29">
        <v>60210</v>
      </c>
      <c r="K258" s="23"/>
      <c r="L258" s="23"/>
      <c r="M258" s="23"/>
    </row>
    <row r="259" spans="1:13" x14ac:dyDescent="0.25">
      <c r="A259" s="27"/>
      <c r="B259" s="27"/>
      <c r="C259" s="27"/>
      <c r="D259" s="27"/>
      <c r="E259" s="27"/>
      <c r="F259" s="27"/>
      <c r="G259" s="27" t="s">
        <v>310</v>
      </c>
      <c r="H259" s="27"/>
      <c r="I259" s="27"/>
      <c r="J259" s="28">
        <f>ROUND(SUM(J242:J245)+SUM(J249:J258),5)</f>
        <v>5134037.21</v>
      </c>
      <c r="K259" s="23"/>
      <c r="L259" s="23"/>
      <c r="M259" s="23"/>
    </row>
    <row r="260" spans="1:13" x14ac:dyDescent="0.25">
      <c r="A260" s="27"/>
      <c r="B260" s="27"/>
      <c r="C260" s="27"/>
      <c r="D260" s="27"/>
      <c r="E260" s="27"/>
      <c r="F260" s="27"/>
      <c r="G260" s="27" t="s">
        <v>311</v>
      </c>
      <c r="H260" s="27"/>
      <c r="I260" s="27"/>
      <c r="J260" s="28"/>
      <c r="K260" s="23"/>
      <c r="L260" s="23"/>
      <c r="M260" s="23"/>
    </row>
    <row r="261" spans="1:13" x14ac:dyDescent="0.25">
      <c r="A261" s="27"/>
      <c r="B261" s="27"/>
      <c r="C261" s="27"/>
      <c r="D261" s="27"/>
      <c r="E261" s="27"/>
      <c r="F261" s="27"/>
      <c r="G261" s="27"/>
      <c r="H261" s="27" t="s">
        <v>312</v>
      </c>
      <c r="I261" s="27"/>
      <c r="J261" s="28">
        <v>136006.28</v>
      </c>
      <c r="K261" s="23"/>
      <c r="L261" s="23"/>
      <c r="M261" s="23"/>
    </row>
    <row r="262" spans="1:13" x14ac:dyDescent="0.25">
      <c r="A262" s="27"/>
      <c r="B262" s="27"/>
      <c r="C262" s="27"/>
      <c r="D262" s="27"/>
      <c r="E262" s="27"/>
      <c r="F262" s="27"/>
      <c r="G262" s="27"/>
      <c r="H262" s="27" t="s">
        <v>313</v>
      </c>
      <c r="I262" s="27"/>
      <c r="J262" s="28">
        <v>134542.56</v>
      </c>
      <c r="K262" s="23"/>
      <c r="L262" s="23"/>
      <c r="M262" s="23"/>
    </row>
    <row r="263" spans="1:13" x14ac:dyDescent="0.25">
      <c r="A263" s="27"/>
      <c r="B263" s="27"/>
      <c r="C263" s="27"/>
      <c r="D263" s="27"/>
      <c r="E263" s="27"/>
      <c r="F263" s="27"/>
      <c r="G263" s="27"/>
      <c r="H263" s="27" t="s">
        <v>314</v>
      </c>
      <c r="I263" s="27"/>
      <c r="J263" s="28">
        <v>1696991.73</v>
      </c>
      <c r="K263" s="23"/>
      <c r="L263" s="23"/>
      <c r="M263" s="23"/>
    </row>
    <row r="264" spans="1:13" x14ac:dyDescent="0.25">
      <c r="A264" s="27"/>
      <c r="B264" s="27"/>
      <c r="C264" s="27"/>
      <c r="D264" s="27"/>
      <c r="E264" s="27"/>
      <c r="F264" s="27"/>
      <c r="G264" s="27"/>
      <c r="H264" s="27" t="s">
        <v>315</v>
      </c>
      <c r="I264" s="27"/>
      <c r="J264" s="28">
        <v>1097342.48</v>
      </c>
      <c r="K264" s="23"/>
      <c r="L264" s="23"/>
      <c r="M264" s="23"/>
    </row>
    <row r="265" spans="1:13" x14ac:dyDescent="0.25">
      <c r="A265" s="27"/>
      <c r="B265" s="27"/>
      <c r="C265" s="27"/>
      <c r="D265" s="27"/>
      <c r="E265" s="27"/>
      <c r="F265" s="27"/>
      <c r="G265" s="27"/>
      <c r="H265" s="27" t="s">
        <v>316</v>
      </c>
      <c r="I265" s="27"/>
      <c r="J265" s="28">
        <v>168367.16</v>
      </c>
      <c r="K265" s="23"/>
      <c r="L265" s="23"/>
      <c r="M265" s="23"/>
    </row>
    <row r="266" spans="1:13" ht="15.75" thickBot="1" x14ac:dyDescent="0.3">
      <c r="A266" s="27"/>
      <c r="B266" s="27"/>
      <c r="C266" s="27"/>
      <c r="D266" s="27"/>
      <c r="E266" s="27"/>
      <c r="F266" s="27"/>
      <c r="G266" s="27"/>
      <c r="H266" s="27" t="s">
        <v>317</v>
      </c>
      <c r="I266" s="27"/>
      <c r="J266" s="29">
        <v>320963</v>
      </c>
      <c r="K266" s="23"/>
      <c r="L266" s="23"/>
      <c r="M266" s="23"/>
    </row>
    <row r="267" spans="1:13" x14ac:dyDescent="0.25">
      <c r="A267" s="27"/>
      <c r="B267" s="27"/>
      <c r="C267" s="27"/>
      <c r="D267" s="27"/>
      <c r="E267" s="27"/>
      <c r="F267" s="27"/>
      <c r="G267" s="27" t="s">
        <v>318</v>
      </c>
      <c r="H267" s="27"/>
      <c r="I267" s="27"/>
      <c r="J267" s="28">
        <f>ROUND(SUM(J260:J266),5)</f>
        <v>3554213.21</v>
      </c>
      <c r="K267" s="23"/>
      <c r="L267" s="23"/>
      <c r="M267" s="23"/>
    </row>
    <row r="268" spans="1:13" x14ac:dyDescent="0.25">
      <c r="A268" s="27"/>
      <c r="B268" s="27"/>
      <c r="C268" s="27"/>
      <c r="D268" s="27"/>
      <c r="E268" s="27"/>
      <c r="F268" s="27"/>
      <c r="G268" s="27" t="s">
        <v>319</v>
      </c>
      <c r="H268" s="27"/>
      <c r="I268" s="27"/>
      <c r="J268" s="28"/>
      <c r="K268" s="23"/>
      <c r="L268" s="23"/>
      <c r="M268" s="23"/>
    </row>
    <row r="269" spans="1:13" x14ac:dyDescent="0.25">
      <c r="A269" s="27"/>
      <c r="B269" s="27"/>
      <c r="C269" s="27"/>
      <c r="D269" s="27"/>
      <c r="E269" s="27"/>
      <c r="F269" s="27"/>
      <c r="G269" s="27"/>
      <c r="H269" s="27" t="s">
        <v>320</v>
      </c>
      <c r="I269" s="27"/>
      <c r="J269" s="28">
        <v>95223.22</v>
      </c>
      <c r="K269" s="23"/>
      <c r="L269" s="23"/>
      <c r="M269" s="23"/>
    </row>
    <row r="270" spans="1:13" x14ac:dyDescent="0.25">
      <c r="A270" s="27"/>
      <c r="B270" s="27"/>
      <c r="C270" s="27"/>
      <c r="D270" s="27"/>
      <c r="E270" s="27"/>
      <c r="F270" s="27"/>
      <c r="G270" s="27"/>
      <c r="H270" s="27" t="s">
        <v>321</v>
      </c>
      <c r="I270" s="27"/>
      <c r="J270" s="28">
        <v>104899.2</v>
      </c>
      <c r="K270" s="23"/>
      <c r="L270" s="23"/>
      <c r="M270" s="23"/>
    </row>
    <row r="271" spans="1:13" x14ac:dyDescent="0.25">
      <c r="A271" s="27"/>
      <c r="B271" s="27"/>
      <c r="C271" s="27"/>
      <c r="D271" s="27"/>
      <c r="E271" s="27"/>
      <c r="F271" s="27"/>
      <c r="G271" s="27"/>
      <c r="H271" s="27" t="s">
        <v>322</v>
      </c>
      <c r="I271" s="27"/>
      <c r="J271" s="28">
        <v>765000</v>
      </c>
      <c r="K271" s="23"/>
      <c r="L271" s="23"/>
      <c r="M271" s="23"/>
    </row>
    <row r="272" spans="1:13" ht="15.75" thickBot="1" x14ac:dyDescent="0.3">
      <c r="A272" s="27"/>
      <c r="B272" s="27"/>
      <c r="C272" s="27"/>
      <c r="D272" s="27"/>
      <c r="E272" s="27"/>
      <c r="F272" s="27"/>
      <c r="G272" s="27"/>
      <c r="H272" s="27" t="s">
        <v>323</v>
      </c>
      <c r="I272" s="27"/>
      <c r="J272" s="29">
        <v>1295370.45</v>
      </c>
      <c r="K272" s="23"/>
      <c r="L272" s="23"/>
      <c r="M272" s="23"/>
    </row>
    <row r="273" spans="1:13" x14ac:dyDescent="0.25">
      <c r="A273" s="27"/>
      <c r="B273" s="27"/>
      <c r="C273" s="27"/>
      <c r="D273" s="27"/>
      <c r="E273" s="27"/>
      <c r="F273" s="27"/>
      <c r="G273" s="27" t="s">
        <v>324</v>
      </c>
      <c r="H273" s="27"/>
      <c r="I273" s="27"/>
      <c r="J273" s="28">
        <f>ROUND(SUM(J268:J272),5)</f>
        <v>2260492.87</v>
      </c>
      <c r="K273" s="23"/>
      <c r="L273" s="23"/>
      <c r="M273" s="23"/>
    </row>
    <row r="274" spans="1:13" x14ac:dyDescent="0.25">
      <c r="A274" s="27"/>
      <c r="B274" s="27"/>
      <c r="C274" s="27"/>
      <c r="D274" s="27"/>
      <c r="E274" s="27"/>
      <c r="F274" s="27"/>
      <c r="G274" s="27" t="s">
        <v>325</v>
      </c>
      <c r="H274" s="27"/>
      <c r="I274" s="27"/>
      <c r="J274" s="28"/>
      <c r="K274" s="23"/>
      <c r="L274" s="23"/>
      <c r="M274" s="23"/>
    </row>
    <row r="275" spans="1:13" x14ac:dyDescent="0.25">
      <c r="A275" s="27"/>
      <c r="B275" s="27"/>
      <c r="C275" s="27"/>
      <c r="D275" s="27"/>
      <c r="E275" s="27"/>
      <c r="F275" s="27"/>
      <c r="G275" s="27"/>
      <c r="H275" s="27" t="s">
        <v>326</v>
      </c>
      <c r="I275" s="27"/>
      <c r="J275" s="28">
        <v>1164666</v>
      </c>
      <c r="K275" s="23"/>
      <c r="L275" s="23"/>
      <c r="M275" s="23"/>
    </row>
    <row r="276" spans="1:13" x14ac:dyDescent="0.25">
      <c r="A276" s="27"/>
      <c r="B276" s="27"/>
      <c r="C276" s="27"/>
      <c r="D276" s="27"/>
      <c r="E276" s="27"/>
      <c r="F276" s="27"/>
      <c r="G276" s="27"/>
      <c r="H276" s="27" t="s">
        <v>327</v>
      </c>
      <c r="I276" s="27"/>
      <c r="J276" s="28">
        <v>1049100</v>
      </c>
      <c r="K276" s="23"/>
      <c r="L276" s="23"/>
      <c r="M276" s="23"/>
    </row>
    <row r="277" spans="1:13" x14ac:dyDescent="0.25">
      <c r="A277" s="27"/>
      <c r="B277" s="27"/>
      <c r="C277" s="27"/>
      <c r="D277" s="27"/>
      <c r="E277" s="27"/>
      <c r="F277" s="27"/>
      <c r="G277" s="27"/>
      <c r="H277" s="27" t="s">
        <v>328</v>
      </c>
      <c r="I277" s="27"/>
      <c r="J277" s="28">
        <v>476308.02</v>
      </c>
      <c r="K277" s="23"/>
      <c r="L277" s="23"/>
      <c r="M277" s="23"/>
    </row>
    <row r="278" spans="1:13" x14ac:dyDescent="0.25">
      <c r="A278" s="27"/>
      <c r="B278" s="27"/>
      <c r="C278" s="27"/>
      <c r="D278" s="27"/>
      <c r="E278" s="27"/>
      <c r="F278" s="27"/>
      <c r="G278" s="27"/>
      <c r="H278" s="27" t="s">
        <v>329</v>
      </c>
      <c r="I278" s="27"/>
      <c r="J278" s="28">
        <v>1223391.33</v>
      </c>
      <c r="K278" s="23"/>
      <c r="L278" s="23"/>
      <c r="M278" s="23"/>
    </row>
    <row r="279" spans="1:13" x14ac:dyDescent="0.25">
      <c r="A279" s="27"/>
      <c r="B279" s="27"/>
      <c r="C279" s="27"/>
      <c r="D279" s="27"/>
      <c r="E279" s="27"/>
      <c r="F279" s="27"/>
      <c r="G279" s="27"/>
      <c r="H279" s="27" t="s">
        <v>330</v>
      </c>
      <c r="I279" s="27"/>
      <c r="J279" s="28">
        <v>563331</v>
      </c>
      <c r="K279" s="23"/>
      <c r="L279" s="23"/>
      <c r="M279" s="23"/>
    </row>
    <row r="280" spans="1:13" x14ac:dyDescent="0.25">
      <c r="A280" s="27"/>
      <c r="B280" s="27"/>
      <c r="C280" s="27"/>
      <c r="D280" s="27"/>
      <c r="E280" s="27"/>
      <c r="F280" s="27"/>
      <c r="G280" s="27"/>
      <c r="H280" s="27" t="s">
        <v>331</v>
      </c>
      <c r="I280" s="27"/>
      <c r="J280" s="28">
        <v>10815</v>
      </c>
      <c r="K280" s="23"/>
      <c r="L280" s="23"/>
      <c r="M280" s="23"/>
    </row>
    <row r="281" spans="1:13" ht="15.75" thickBot="1" x14ac:dyDescent="0.3">
      <c r="A281" s="27"/>
      <c r="B281" s="27"/>
      <c r="C281" s="27"/>
      <c r="D281" s="27"/>
      <c r="E281" s="27"/>
      <c r="F281" s="27"/>
      <c r="G281" s="27"/>
      <c r="H281" s="27" t="s">
        <v>332</v>
      </c>
      <c r="I281" s="27"/>
      <c r="J281" s="29">
        <v>22447</v>
      </c>
      <c r="K281" s="23"/>
      <c r="L281" s="23"/>
      <c r="M281" s="23"/>
    </row>
    <row r="282" spans="1:13" x14ac:dyDescent="0.25">
      <c r="A282" s="27"/>
      <c r="B282" s="27"/>
      <c r="C282" s="27"/>
      <c r="D282" s="27"/>
      <c r="E282" s="27"/>
      <c r="F282" s="27"/>
      <c r="G282" s="27" t="s">
        <v>333</v>
      </c>
      <c r="H282" s="27"/>
      <c r="I282" s="27"/>
      <c r="J282" s="28">
        <f>ROUND(SUM(J274:J281),5)</f>
        <v>4510058.3499999996</v>
      </c>
      <c r="K282" s="23"/>
      <c r="L282" s="23"/>
      <c r="M282" s="23"/>
    </row>
    <row r="283" spans="1:13" x14ac:dyDescent="0.25">
      <c r="A283" s="27"/>
      <c r="B283" s="27"/>
      <c r="C283" s="27"/>
      <c r="D283" s="27"/>
      <c r="E283" s="27"/>
      <c r="F283" s="27"/>
      <c r="G283" s="27" t="s">
        <v>334</v>
      </c>
      <c r="H283" s="27"/>
      <c r="I283" s="27"/>
      <c r="J283" s="28"/>
      <c r="K283" s="23"/>
      <c r="L283" s="23"/>
      <c r="M283" s="23"/>
    </row>
    <row r="284" spans="1:13" x14ac:dyDescent="0.25">
      <c r="A284" s="27"/>
      <c r="B284" s="27"/>
      <c r="C284" s="27"/>
      <c r="D284" s="27"/>
      <c r="E284" s="27"/>
      <c r="F284" s="27"/>
      <c r="G284" s="27"/>
      <c r="H284" s="27" t="s">
        <v>335</v>
      </c>
      <c r="I284" s="27"/>
      <c r="J284" s="28">
        <v>386310.65</v>
      </c>
      <c r="K284" s="23"/>
      <c r="L284" s="23"/>
      <c r="M284" s="23"/>
    </row>
    <row r="285" spans="1:13" x14ac:dyDescent="0.25">
      <c r="A285" s="27"/>
      <c r="B285" s="27"/>
      <c r="C285" s="27"/>
      <c r="D285" s="27"/>
      <c r="E285" s="27"/>
      <c r="F285" s="27"/>
      <c r="G285" s="27"/>
      <c r="H285" s="27" t="s">
        <v>336</v>
      </c>
      <c r="I285" s="27"/>
      <c r="J285" s="28">
        <v>1091186.47</v>
      </c>
      <c r="K285" s="23"/>
      <c r="L285" s="23"/>
      <c r="M285" s="23"/>
    </row>
    <row r="286" spans="1:13" x14ac:dyDescent="0.25">
      <c r="A286" s="27"/>
      <c r="B286" s="27"/>
      <c r="C286" s="27"/>
      <c r="D286" s="27"/>
      <c r="E286" s="27"/>
      <c r="F286" s="27"/>
      <c r="G286" s="27"/>
      <c r="H286" s="27" t="s">
        <v>337</v>
      </c>
      <c r="I286" s="27"/>
      <c r="J286" s="28">
        <v>225430.59</v>
      </c>
      <c r="K286" s="23"/>
      <c r="L286" s="23"/>
      <c r="M286" s="23"/>
    </row>
    <row r="287" spans="1:13" ht="15.75" thickBot="1" x14ac:dyDescent="0.3">
      <c r="A287" s="27"/>
      <c r="B287" s="27"/>
      <c r="C287" s="27"/>
      <c r="D287" s="27"/>
      <c r="E287" s="27"/>
      <c r="F287" s="27"/>
      <c r="G287" s="27"/>
      <c r="H287" s="27" t="s">
        <v>338</v>
      </c>
      <c r="I287" s="27"/>
      <c r="J287" s="29">
        <v>196638.2</v>
      </c>
      <c r="K287" s="23"/>
      <c r="L287" s="23"/>
      <c r="M287" s="23"/>
    </row>
    <row r="288" spans="1:13" x14ac:dyDescent="0.25">
      <c r="A288" s="27"/>
      <c r="B288" s="27"/>
      <c r="C288" s="27"/>
      <c r="D288" s="27"/>
      <c r="E288" s="27"/>
      <c r="F288" s="27"/>
      <c r="G288" s="27" t="s">
        <v>339</v>
      </c>
      <c r="H288" s="27"/>
      <c r="I288" s="27"/>
      <c r="J288" s="28">
        <f>ROUND(SUM(J283:J287),5)</f>
        <v>1899565.91</v>
      </c>
      <c r="K288" s="23"/>
      <c r="L288" s="23"/>
      <c r="M288" s="23"/>
    </row>
    <row r="289" spans="1:13" x14ac:dyDescent="0.25">
      <c r="A289" s="27"/>
      <c r="B289" s="27"/>
      <c r="C289" s="27"/>
      <c r="D289" s="27"/>
      <c r="E289" s="27"/>
      <c r="F289" s="27"/>
      <c r="G289" s="27" t="s">
        <v>340</v>
      </c>
      <c r="H289" s="27"/>
      <c r="I289" s="27"/>
      <c r="J289" s="28"/>
      <c r="K289" s="23"/>
      <c r="L289" s="23"/>
      <c r="M289" s="23"/>
    </row>
    <row r="290" spans="1:13" ht="15.75" thickBot="1" x14ac:dyDescent="0.3">
      <c r="A290" s="27"/>
      <c r="B290" s="27"/>
      <c r="C290" s="27"/>
      <c r="D290" s="27"/>
      <c r="E290" s="27"/>
      <c r="F290" s="27"/>
      <c r="G290" s="27"/>
      <c r="H290" s="27" t="s">
        <v>341</v>
      </c>
      <c r="I290" s="27"/>
      <c r="J290" s="29">
        <v>15071</v>
      </c>
      <c r="K290" s="23"/>
      <c r="L290" s="23"/>
      <c r="M290" s="23"/>
    </row>
    <row r="291" spans="1:13" x14ac:dyDescent="0.25">
      <c r="A291" s="27"/>
      <c r="B291" s="27"/>
      <c r="C291" s="27"/>
      <c r="D291" s="27"/>
      <c r="E291" s="27"/>
      <c r="F291" s="27"/>
      <c r="G291" s="27" t="s">
        <v>342</v>
      </c>
      <c r="H291" s="27"/>
      <c r="I291" s="27"/>
      <c r="J291" s="28">
        <f>ROUND(SUM(J289:J290),5)</f>
        <v>15071</v>
      </c>
      <c r="K291" s="23"/>
      <c r="L291" s="23"/>
      <c r="M291" s="23"/>
    </row>
    <row r="292" spans="1:13" x14ac:dyDescent="0.25">
      <c r="A292" s="27"/>
      <c r="B292" s="27"/>
      <c r="C292" s="27"/>
      <c r="D292" s="27"/>
      <c r="E292" s="27"/>
      <c r="F292" s="27"/>
      <c r="G292" s="27" t="s">
        <v>343</v>
      </c>
      <c r="H292" s="27"/>
      <c r="I292" s="27"/>
      <c r="J292" s="28"/>
      <c r="K292" s="23"/>
      <c r="L292" s="23"/>
      <c r="M292" s="23"/>
    </row>
    <row r="293" spans="1:13" x14ac:dyDescent="0.25">
      <c r="A293" s="27"/>
      <c r="B293" s="27"/>
      <c r="C293" s="27"/>
      <c r="D293" s="27"/>
      <c r="E293" s="27"/>
      <c r="F293" s="27"/>
      <c r="G293" s="27"/>
      <c r="H293" s="27" t="s">
        <v>344</v>
      </c>
      <c r="I293" s="27"/>
      <c r="J293" s="28">
        <v>495341.31</v>
      </c>
      <c r="K293" s="23"/>
      <c r="L293" s="23"/>
      <c r="M293" s="23"/>
    </row>
    <row r="294" spans="1:13" x14ac:dyDescent="0.25">
      <c r="A294" s="27"/>
      <c r="B294" s="27"/>
      <c r="C294" s="27"/>
      <c r="D294" s="27"/>
      <c r="E294" s="27"/>
      <c r="F294" s="27"/>
      <c r="G294" s="27"/>
      <c r="H294" s="27" t="s">
        <v>345</v>
      </c>
      <c r="I294" s="27"/>
      <c r="J294" s="28">
        <v>169056.72</v>
      </c>
      <c r="K294" s="23"/>
      <c r="L294" s="23"/>
      <c r="M294" s="23"/>
    </row>
    <row r="295" spans="1:13" x14ac:dyDescent="0.25">
      <c r="A295" s="27"/>
      <c r="B295" s="27"/>
      <c r="C295" s="27"/>
      <c r="D295" s="27"/>
      <c r="E295" s="27"/>
      <c r="F295" s="27"/>
      <c r="G295" s="27"/>
      <c r="H295" s="27" t="s">
        <v>346</v>
      </c>
      <c r="I295" s="27"/>
      <c r="J295" s="28">
        <v>2464395.56</v>
      </c>
      <c r="K295" s="23"/>
      <c r="L295" s="23"/>
      <c r="M295" s="23"/>
    </row>
    <row r="296" spans="1:13" x14ac:dyDescent="0.25">
      <c r="A296" s="27"/>
      <c r="B296" s="27"/>
      <c r="C296" s="27"/>
      <c r="D296" s="27"/>
      <c r="E296" s="27"/>
      <c r="F296" s="27"/>
      <c r="G296" s="27"/>
      <c r="H296" s="27" t="s">
        <v>347</v>
      </c>
      <c r="I296" s="27"/>
      <c r="J296" s="28">
        <v>566435.43999999994</v>
      </c>
      <c r="K296" s="23"/>
      <c r="L296" s="23"/>
      <c r="M296" s="23"/>
    </row>
    <row r="297" spans="1:13" x14ac:dyDescent="0.25">
      <c r="A297" s="27"/>
      <c r="B297" s="27"/>
      <c r="C297" s="27"/>
      <c r="D297" s="27"/>
      <c r="E297" s="27"/>
      <c r="F297" s="27"/>
      <c r="G297" s="27"/>
      <c r="H297" s="27" t="s">
        <v>348</v>
      </c>
      <c r="I297" s="27"/>
      <c r="J297" s="28">
        <v>154405.60999999999</v>
      </c>
      <c r="K297" s="23"/>
      <c r="L297" s="23"/>
      <c r="M297" s="23"/>
    </row>
    <row r="298" spans="1:13" x14ac:dyDescent="0.25">
      <c r="A298" s="27"/>
      <c r="B298" s="27"/>
      <c r="C298" s="27"/>
      <c r="D298" s="27"/>
      <c r="E298" s="27"/>
      <c r="F298" s="27"/>
      <c r="G298" s="27"/>
      <c r="H298" s="27" t="s">
        <v>349</v>
      </c>
      <c r="I298" s="27"/>
      <c r="J298" s="28">
        <v>112120</v>
      </c>
      <c r="K298" s="23"/>
      <c r="L298" s="23"/>
      <c r="M298" s="23"/>
    </row>
    <row r="299" spans="1:13" x14ac:dyDescent="0.25">
      <c r="A299" s="27"/>
      <c r="B299" s="27"/>
      <c r="C299" s="27"/>
      <c r="D299" s="27"/>
      <c r="E299" s="27"/>
      <c r="F299" s="27"/>
      <c r="G299" s="27"/>
      <c r="H299" s="27" t="s">
        <v>350</v>
      </c>
      <c r="I299" s="27"/>
      <c r="J299" s="28">
        <v>173873.17</v>
      </c>
      <c r="K299" s="23"/>
      <c r="L299" s="23"/>
      <c r="M299" s="23"/>
    </row>
    <row r="300" spans="1:13" x14ac:dyDescent="0.25">
      <c r="A300" s="27"/>
      <c r="B300" s="27"/>
      <c r="C300" s="27"/>
      <c r="D300" s="27"/>
      <c r="E300" s="27"/>
      <c r="F300" s="27"/>
      <c r="G300" s="27"/>
      <c r="H300" s="27" t="s">
        <v>351</v>
      </c>
      <c r="I300" s="27"/>
      <c r="J300" s="28">
        <v>36187.589999999997</v>
      </c>
      <c r="K300" s="23"/>
      <c r="L300" s="23"/>
      <c r="M300" s="23"/>
    </row>
    <row r="301" spans="1:13" ht="15.75" thickBot="1" x14ac:dyDescent="0.3">
      <c r="A301" s="27"/>
      <c r="B301" s="27"/>
      <c r="C301" s="27"/>
      <c r="D301" s="27"/>
      <c r="E301" s="27"/>
      <c r="F301" s="27"/>
      <c r="G301" s="27"/>
      <c r="H301" s="27" t="s">
        <v>352</v>
      </c>
      <c r="I301" s="27"/>
      <c r="J301" s="29">
        <v>15</v>
      </c>
      <c r="K301" s="23"/>
      <c r="L301" s="23"/>
      <c r="M301" s="23"/>
    </row>
    <row r="302" spans="1:13" x14ac:dyDescent="0.25">
      <c r="A302" s="27"/>
      <c r="B302" s="27"/>
      <c r="C302" s="27"/>
      <c r="D302" s="27"/>
      <c r="E302" s="27"/>
      <c r="F302" s="27"/>
      <c r="G302" s="27" t="s">
        <v>353</v>
      </c>
      <c r="H302" s="27"/>
      <c r="I302" s="27"/>
      <c r="J302" s="28">
        <f>ROUND(SUM(J292:J301),5)</f>
        <v>4171830.4</v>
      </c>
      <c r="K302" s="23"/>
      <c r="L302" s="23"/>
      <c r="M302" s="23"/>
    </row>
    <row r="303" spans="1:13" ht="15.75" thickBot="1" x14ac:dyDescent="0.3">
      <c r="A303" s="27"/>
      <c r="B303" s="27"/>
      <c r="C303" s="27"/>
      <c r="D303" s="27"/>
      <c r="E303" s="27"/>
      <c r="F303" s="27"/>
      <c r="G303" s="27" t="s">
        <v>354</v>
      </c>
      <c r="H303" s="27"/>
      <c r="I303" s="27"/>
      <c r="J303" s="30">
        <v>5111</v>
      </c>
      <c r="K303" s="23"/>
      <c r="L303" s="23"/>
      <c r="M303" s="23"/>
    </row>
    <row r="304" spans="1:13" ht="15.75" thickBot="1" x14ac:dyDescent="0.3">
      <c r="A304" s="27"/>
      <c r="B304" s="27"/>
      <c r="C304" s="27"/>
      <c r="D304" s="27"/>
      <c r="E304" s="27"/>
      <c r="F304" s="27" t="s">
        <v>355</v>
      </c>
      <c r="G304" s="27"/>
      <c r="H304" s="27"/>
      <c r="I304" s="27"/>
      <c r="J304" s="34">
        <f>ROUND(J230+J241+J259+J267+J273+J282+J288+J291+SUM(J302:J303),5)</f>
        <v>56655240.590000004</v>
      </c>
      <c r="K304" s="23"/>
      <c r="L304" s="23"/>
      <c r="M304" s="23"/>
    </row>
    <row r="305" spans="1:13" ht="15.75" thickBot="1" x14ac:dyDescent="0.3">
      <c r="A305" s="27"/>
      <c r="B305" s="27"/>
      <c r="C305" s="27"/>
      <c r="D305" s="27"/>
      <c r="E305" s="27" t="s">
        <v>356</v>
      </c>
      <c r="F305" s="27"/>
      <c r="G305" s="27"/>
      <c r="H305" s="27"/>
      <c r="I305" s="27"/>
      <c r="J305" s="34">
        <f>ROUND(J98+J221+J229+J304,5)</f>
        <v>85365169.379999995</v>
      </c>
      <c r="K305" s="103">
        <f>SUM(K101:K304)</f>
        <v>452395</v>
      </c>
      <c r="L305" s="23"/>
      <c r="M305" s="23"/>
    </row>
    <row r="306" spans="1:13" ht="15.75" thickBot="1" x14ac:dyDescent="0.3">
      <c r="A306" s="27"/>
      <c r="B306" s="27"/>
      <c r="C306" s="27"/>
      <c r="D306" s="27" t="s">
        <v>357</v>
      </c>
      <c r="E306" s="27"/>
      <c r="F306" s="27"/>
      <c r="G306" s="27"/>
      <c r="H306" s="27"/>
      <c r="I306" s="27"/>
      <c r="J306" s="33">
        <f>ROUND(J97+J305,5)</f>
        <v>85365169.379999995</v>
      </c>
      <c r="K306" s="23"/>
      <c r="L306" s="23"/>
      <c r="M306" s="23"/>
    </row>
    <row r="307" spans="1:13" x14ac:dyDescent="0.25">
      <c r="A307" s="27"/>
      <c r="B307" s="27" t="s">
        <v>358</v>
      </c>
      <c r="C307" s="27"/>
      <c r="D307" s="27"/>
      <c r="E307" s="27"/>
      <c r="F307" s="27"/>
      <c r="G307" s="27"/>
      <c r="H307" s="27"/>
      <c r="I307" s="27"/>
      <c r="J307" s="28">
        <f>ROUND(J2+J96-J306,5)</f>
        <v>39331621.439999998</v>
      </c>
      <c r="K307" s="23"/>
      <c r="L307" s="23"/>
      <c r="M307" s="23"/>
    </row>
    <row r="308" spans="1:13" x14ac:dyDescent="0.25">
      <c r="A308" s="27"/>
      <c r="B308" s="27" t="s">
        <v>359</v>
      </c>
      <c r="C308" s="27"/>
      <c r="D308" s="27"/>
      <c r="E308" s="27"/>
      <c r="F308" s="27"/>
      <c r="G308" s="27"/>
      <c r="H308" s="27"/>
      <c r="I308" s="27"/>
      <c r="J308" s="28"/>
      <c r="K308" s="23"/>
      <c r="L308" s="23"/>
      <c r="M308" s="23"/>
    </row>
    <row r="309" spans="1:13" x14ac:dyDescent="0.25">
      <c r="A309" s="27"/>
      <c r="B309" s="27"/>
      <c r="C309" s="27" t="s">
        <v>360</v>
      </c>
      <c r="D309" s="27"/>
      <c r="E309" s="27"/>
      <c r="F309" s="27"/>
      <c r="G309" s="27"/>
      <c r="H309" s="27"/>
      <c r="I309" s="27"/>
      <c r="J309" s="28"/>
      <c r="K309" s="23"/>
      <c r="L309" s="23"/>
      <c r="M309" s="23"/>
    </row>
    <row r="310" spans="1:13" x14ac:dyDescent="0.25">
      <c r="A310" s="27"/>
      <c r="B310" s="27"/>
      <c r="C310" s="27"/>
      <c r="D310" s="27" t="s">
        <v>361</v>
      </c>
      <c r="E310" s="27"/>
      <c r="F310" s="27"/>
      <c r="G310" s="27"/>
      <c r="H310" s="27"/>
      <c r="I310" s="27"/>
      <c r="J310" s="28"/>
      <c r="K310" s="23"/>
      <c r="L310" s="23"/>
      <c r="M310" s="23"/>
    </row>
    <row r="311" spans="1:13" x14ac:dyDescent="0.25">
      <c r="A311" s="27"/>
      <c r="B311" s="27"/>
      <c r="C311" s="27"/>
      <c r="D311" s="27"/>
      <c r="E311" s="27" t="s">
        <v>362</v>
      </c>
      <c r="F311" s="27"/>
      <c r="G311" s="27"/>
      <c r="H311" s="27"/>
      <c r="I311" s="27"/>
      <c r="J311" s="28">
        <v>38586</v>
      </c>
      <c r="K311" s="23"/>
      <c r="L311" s="23"/>
      <c r="M311" s="23"/>
    </row>
    <row r="312" spans="1:13" x14ac:dyDescent="0.25">
      <c r="A312" s="27"/>
      <c r="B312" s="27"/>
      <c r="C312" s="27"/>
      <c r="D312" s="27"/>
      <c r="E312" s="27" t="s">
        <v>363</v>
      </c>
      <c r="F312" s="27"/>
      <c r="G312" s="27"/>
      <c r="H312" s="27"/>
      <c r="I312" s="27"/>
      <c r="J312" s="28">
        <v>124379</v>
      </c>
      <c r="K312" s="23"/>
      <c r="L312" s="23"/>
      <c r="M312" s="23"/>
    </row>
    <row r="313" spans="1:13" x14ac:dyDescent="0.25">
      <c r="A313" s="27"/>
      <c r="B313" s="27"/>
      <c r="C313" s="27"/>
      <c r="D313" s="27"/>
      <c r="E313" s="27" t="s">
        <v>364</v>
      </c>
      <c r="F313" s="27"/>
      <c r="G313" s="27"/>
      <c r="H313" s="27"/>
      <c r="I313" s="27"/>
      <c r="J313" s="28">
        <v>11697.2</v>
      </c>
      <c r="K313" s="23"/>
      <c r="L313" s="23"/>
      <c r="M313" s="23"/>
    </row>
    <row r="314" spans="1:13" ht="15.75" thickBot="1" x14ac:dyDescent="0.3">
      <c r="A314" s="27"/>
      <c r="B314" s="27"/>
      <c r="C314" s="27"/>
      <c r="D314" s="27"/>
      <c r="E314" s="27" t="s">
        <v>365</v>
      </c>
      <c r="F314" s="27"/>
      <c r="G314" s="27"/>
      <c r="H314" s="27"/>
      <c r="I314" s="27"/>
      <c r="J314" s="30">
        <v>-170659.49</v>
      </c>
      <c r="K314" s="23"/>
      <c r="L314" s="23"/>
      <c r="M314" s="23"/>
    </row>
    <row r="315" spans="1:13" ht="15.75" thickBot="1" x14ac:dyDescent="0.3">
      <c r="A315" s="27"/>
      <c r="B315" s="27"/>
      <c r="C315" s="27"/>
      <c r="D315" s="27" t="s">
        <v>366</v>
      </c>
      <c r="E315" s="27"/>
      <c r="F315" s="27"/>
      <c r="G315" s="27"/>
      <c r="H315" s="27"/>
      <c r="I315" s="27"/>
      <c r="J315" s="33">
        <f>ROUND(SUM(J310:J314),5)</f>
        <v>4002.71</v>
      </c>
      <c r="K315" s="23"/>
      <c r="L315" s="23"/>
      <c r="M315" s="23"/>
    </row>
    <row r="316" spans="1:13" x14ac:dyDescent="0.25">
      <c r="A316" s="27"/>
      <c r="B316" s="27"/>
      <c r="C316" s="27" t="s">
        <v>367</v>
      </c>
      <c r="D316" s="27"/>
      <c r="E316" s="27"/>
      <c r="F316" s="27"/>
      <c r="G316" s="27"/>
      <c r="H316" s="27"/>
      <c r="I316" s="27"/>
      <c r="J316" s="28">
        <f>ROUND(J309+J315,5)</f>
        <v>4002.71</v>
      </c>
      <c r="K316" s="23"/>
      <c r="L316" s="23"/>
      <c r="M316" s="23"/>
    </row>
    <row r="317" spans="1:13" x14ac:dyDescent="0.25">
      <c r="A317" s="27"/>
      <c r="B317" s="27"/>
      <c r="C317" s="27" t="s">
        <v>368</v>
      </c>
      <c r="D317" s="27"/>
      <c r="E317" s="27"/>
      <c r="F317" s="27"/>
      <c r="G317" s="27"/>
      <c r="H317" s="27"/>
      <c r="I317" s="27"/>
      <c r="J317" s="28"/>
      <c r="K317" s="23"/>
      <c r="L317" s="23"/>
      <c r="M317" s="23"/>
    </row>
    <row r="318" spans="1:13" ht="15.75" thickBot="1" x14ac:dyDescent="0.3">
      <c r="A318" s="27"/>
      <c r="B318" s="27"/>
      <c r="C318" s="27"/>
      <c r="D318" s="27" t="s">
        <v>369</v>
      </c>
      <c r="E318" s="27"/>
      <c r="F318" s="27"/>
      <c r="G318" s="27"/>
      <c r="H318" s="27"/>
      <c r="I318" s="27"/>
      <c r="J318" s="30">
        <v>4920</v>
      </c>
      <c r="K318" s="23"/>
      <c r="L318" s="23"/>
      <c r="M318" s="23"/>
    </row>
    <row r="319" spans="1:13" ht="15.75" thickBot="1" x14ac:dyDescent="0.3">
      <c r="A319" s="27"/>
      <c r="B319" s="27"/>
      <c r="C319" s="27" t="s">
        <v>370</v>
      </c>
      <c r="D319" s="27"/>
      <c r="E319" s="27"/>
      <c r="F319" s="27"/>
      <c r="G319" s="27"/>
      <c r="H319" s="27"/>
      <c r="I319" s="27"/>
      <c r="J319" s="34">
        <f>ROUND(SUM(J317:J318),5)</f>
        <v>4920</v>
      </c>
      <c r="K319" s="23"/>
      <c r="L319" s="23"/>
      <c r="M319" s="23"/>
    </row>
    <row r="320" spans="1:13" ht="15.75" thickBot="1" x14ac:dyDescent="0.3">
      <c r="A320" s="27"/>
      <c r="B320" s="27" t="s">
        <v>371</v>
      </c>
      <c r="C320" s="27"/>
      <c r="D320" s="27"/>
      <c r="E320" s="27"/>
      <c r="F320" s="27"/>
      <c r="G320" s="27"/>
      <c r="H320" s="27"/>
      <c r="I320" s="27"/>
      <c r="J320" s="34">
        <f>ROUND(J308+J316-J319,5)</f>
        <v>-917.29</v>
      </c>
      <c r="K320" s="23"/>
      <c r="L320" s="23"/>
      <c r="M320" s="23"/>
    </row>
    <row r="321" spans="1:13" ht="15.75" thickBot="1" x14ac:dyDescent="0.3">
      <c r="A321" s="27" t="s">
        <v>372</v>
      </c>
      <c r="B321" s="27"/>
      <c r="C321" s="27"/>
      <c r="D321" s="27"/>
      <c r="E321" s="27"/>
      <c r="F321" s="27"/>
      <c r="G321" s="27"/>
      <c r="H321" s="27"/>
      <c r="I321" s="27"/>
      <c r="J321" s="35">
        <f>ROUND(J307+J320,5)</f>
        <v>39330704.149999999</v>
      </c>
      <c r="K321" s="104"/>
      <c r="L321" s="105">
        <f>SUM([1]Sheet1!$J$321)</f>
        <v>38576555.149999999</v>
      </c>
      <c r="M321" s="106">
        <f>SUM(J321-L321)</f>
        <v>754149</v>
      </c>
    </row>
    <row r="322" spans="1:13" ht="15.75" thickTop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3:F32"/>
  <sheetViews>
    <sheetView zoomScale="85" zoomScaleNormal="85" workbookViewId="0">
      <selection activeCell="H21" sqref="H21"/>
    </sheetView>
  </sheetViews>
  <sheetFormatPr defaultRowHeight="15" x14ac:dyDescent="0.25"/>
  <cols>
    <col min="1" max="1" width="38.42578125" customWidth="1"/>
    <col min="2" max="2" width="14.5703125" customWidth="1"/>
    <col min="3" max="3" width="12.28515625" customWidth="1"/>
    <col min="4" max="4" width="14" customWidth="1"/>
    <col min="5" max="5" width="12.85546875" customWidth="1"/>
    <col min="6" max="6" width="15.42578125" customWidth="1"/>
  </cols>
  <sheetData>
    <row r="3" spans="1:6" ht="31.5" x14ac:dyDescent="0.5">
      <c r="A3" s="36" t="s">
        <v>36</v>
      </c>
      <c r="B3" s="23"/>
      <c r="C3" s="23"/>
      <c r="D3" s="23"/>
      <c r="E3" s="23"/>
      <c r="F3" s="23"/>
    </row>
    <row r="4" spans="1:6" ht="24" thickBot="1" x14ac:dyDescent="0.4">
      <c r="A4" s="37" t="s">
        <v>37</v>
      </c>
      <c r="B4" s="23" t="s">
        <v>38</v>
      </c>
      <c r="C4" s="41">
        <v>127.6</v>
      </c>
      <c r="D4" s="23"/>
      <c r="E4" s="23">
        <v>128.91</v>
      </c>
      <c r="F4" s="23"/>
    </row>
    <row r="5" spans="1:6" ht="18.75" x14ac:dyDescent="0.3">
      <c r="A5" s="38" t="s">
        <v>35</v>
      </c>
      <c r="B5" s="76" t="s">
        <v>39</v>
      </c>
      <c r="C5" s="79" t="s">
        <v>40</v>
      </c>
      <c r="D5" s="39" t="s">
        <v>39</v>
      </c>
      <c r="E5" s="44" t="s">
        <v>373</v>
      </c>
      <c r="F5" s="47"/>
    </row>
    <row r="6" spans="1:6" ht="19.5" thickBot="1" x14ac:dyDescent="0.35">
      <c r="A6" s="38"/>
      <c r="B6" s="77">
        <v>2012</v>
      </c>
      <c r="C6" s="80">
        <v>2012</v>
      </c>
      <c r="D6" s="42">
        <v>2013</v>
      </c>
      <c r="E6" s="45">
        <v>2013</v>
      </c>
      <c r="F6" s="45">
        <v>2014</v>
      </c>
    </row>
    <row r="7" spans="1:6" ht="19.5" thickBot="1" x14ac:dyDescent="0.35">
      <c r="A7" s="40"/>
      <c r="B7" s="89" t="s">
        <v>5</v>
      </c>
      <c r="C7" s="96" t="s">
        <v>5</v>
      </c>
      <c r="D7" s="43" t="s">
        <v>5</v>
      </c>
      <c r="E7" s="46" t="s">
        <v>5</v>
      </c>
      <c r="F7" s="96" t="s">
        <v>30</v>
      </c>
    </row>
    <row r="8" spans="1:6" x14ac:dyDescent="0.25">
      <c r="A8" s="24" t="s">
        <v>41</v>
      </c>
      <c r="B8" s="88">
        <v>187870225.59999999</v>
      </c>
      <c r="C8" s="51">
        <f>SUM(B8/C4)</f>
        <v>1472337.1912225706</v>
      </c>
      <c r="D8" s="101">
        <f>SUM('P&amp;L13 update 27.1.14'!J37)</f>
        <v>239421252.80000001</v>
      </c>
      <c r="E8" s="51">
        <f>SUM(D8/$E$4)</f>
        <v>1857274.4767667367</v>
      </c>
      <c r="F8" s="98">
        <v>2300000</v>
      </c>
    </row>
    <row r="9" spans="1:6" x14ac:dyDescent="0.25">
      <c r="A9" s="24"/>
      <c r="B9" s="85"/>
      <c r="C9" s="94"/>
      <c r="D9" s="85"/>
      <c r="E9" s="93"/>
      <c r="F9" s="99"/>
    </row>
    <row r="10" spans="1:6" x14ac:dyDescent="0.25">
      <c r="A10" s="24" t="s">
        <v>42</v>
      </c>
      <c r="B10" s="85">
        <v>37040841.969999999</v>
      </c>
      <c r="C10" s="94">
        <f>SUM(B10/$C$4)</f>
        <v>290288.73017241381</v>
      </c>
      <c r="D10" s="85">
        <f>SUM('P&amp;L13 update 27.1.14'!J95-'P&amp;L13 update 27.1.14'!J85-'P&amp;L13 update 27.1.14'!J77)</f>
        <v>55443957.550000004</v>
      </c>
      <c r="E10" s="93">
        <f>SUM(D10/$E$4)</f>
        <v>430098.18904662173</v>
      </c>
      <c r="F10" s="100">
        <f>SUM(E11*F8)</f>
        <v>532622.31683134858</v>
      </c>
    </row>
    <row r="11" spans="1:6" x14ac:dyDescent="0.25">
      <c r="A11" s="24" t="s">
        <v>28</v>
      </c>
      <c r="B11" s="90">
        <v>0.19716185388984811</v>
      </c>
      <c r="C11" s="90">
        <v>0.19716185388984811</v>
      </c>
      <c r="D11" s="90">
        <f>SUM(D10/D8)</f>
        <v>0.23157492036145591</v>
      </c>
      <c r="E11" s="90">
        <f>SUM(E10/E8)</f>
        <v>0.23157492036145591</v>
      </c>
      <c r="F11" s="95">
        <f>SUM(F10/F8)</f>
        <v>0.23157492036145591</v>
      </c>
    </row>
    <row r="12" spans="1:6" x14ac:dyDescent="0.25">
      <c r="A12" s="24" t="s">
        <v>43</v>
      </c>
      <c r="B12" s="85">
        <v>36385007.700000003</v>
      </c>
      <c r="C12" s="94">
        <f>SUM(B12/$C$4)</f>
        <v>285148.96316614421</v>
      </c>
      <c r="D12" s="87">
        <f>SUM('P&amp;L13 update 27.1.14'!J77)</f>
        <v>51599913.960000001</v>
      </c>
      <c r="E12" s="93">
        <f>SUM(D12/E4)</f>
        <v>400278.59716080991</v>
      </c>
      <c r="F12" s="100">
        <f>SUM(E13*F8)</f>
        <v>495694.51633911085</v>
      </c>
    </row>
    <row r="13" spans="1:6" x14ac:dyDescent="0.25">
      <c r="A13" s="24" t="s">
        <v>0</v>
      </c>
      <c r="B13" s="91">
        <v>0.19367096400612405</v>
      </c>
      <c r="C13" s="91">
        <v>0.19367096400612405</v>
      </c>
      <c r="D13" s="91">
        <f>SUM(D12/D8)</f>
        <v>0.2155193549300482</v>
      </c>
      <c r="E13" s="91">
        <f>SUM(E12/E8)</f>
        <v>0.2155193549300482</v>
      </c>
      <c r="F13" s="91">
        <f>SUM(F12/F8)</f>
        <v>0.2155193549300482</v>
      </c>
    </row>
    <row r="14" spans="1:6" x14ac:dyDescent="0.25">
      <c r="A14" s="24" t="s">
        <v>44</v>
      </c>
      <c r="B14" s="87">
        <v>73425849.670000002</v>
      </c>
      <c r="C14" s="94">
        <f>SUM(B14/$C$4)</f>
        <v>575437.69333855808</v>
      </c>
      <c r="D14" s="87">
        <f>SUM(D10+D12)</f>
        <v>107043871.51000001</v>
      </c>
      <c r="E14" s="87">
        <f>SUM(E10+E12)</f>
        <v>830376.78620743169</v>
      </c>
      <c r="F14" s="100">
        <f>SUM(E15*F8)</f>
        <v>1028316.8331704595</v>
      </c>
    </row>
    <row r="15" spans="1:6" x14ac:dyDescent="0.25">
      <c r="A15" s="24" t="s">
        <v>45</v>
      </c>
      <c r="B15" s="91">
        <v>0.39083281789597213</v>
      </c>
      <c r="C15" s="91">
        <v>0.39083281789597213</v>
      </c>
      <c r="D15" s="91">
        <f>SUM(D14/D8)</f>
        <v>0.44709427529150414</v>
      </c>
      <c r="E15" s="91">
        <f>SUM(E14/E8)</f>
        <v>0.44709427529150414</v>
      </c>
      <c r="F15" s="91">
        <f>SUM(F14/F8)</f>
        <v>0.44709427529150414</v>
      </c>
    </row>
    <row r="16" spans="1:6" x14ac:dyDescent="0.25">
      <c r="A16" s="24"/>
      <c r="B16" s="85"/>
      <c r="C16" s="94"/>
      <c r="D16" s="86"/>
      <c r="E16" s="93"/>
      <c r="F16" s="99"/>
    </row>
    <row r="17" spans="1:6" x14ac:dyDescent="0.25">
      <c r="A17" s="24" t="s">
        <v>46</v>
      </c>
      <c r="B17" s="83">
        <v>4722903.6100000003</v>
      </c>
      <c r="C17" s="94">
        <f>SUM(B17/$C$4)</f>
        <v>37013.351175548596</v>
      </c>
      <c r="D17" s="85">
        <f>SUM('P&amp;L13 update 27.1.14'!J85+'P&amp;L13 update 27.1.14'!J103+'P&amp;L13 update 27.1.14'!J172)</f>
        <v>8132985.4699999997</v>
      </c>
      <c r="E17" s="93">
        <f>SUM(D17/E4)</f>
        <v>63090.415561244277</v>
      </c>
      <c r="F17" s="100">
        <f>SUM(E18*F8)</f>
        <v>78129.515914887903</v>
      </c>
    </row>
    <row r="18" spans="1:6" x14ac:dyDescent="0.25">
      <c r="A18" s="24" t="s">
        <v>1</v>
      </c>
      <c r="B18" s="78">
        <f>SUM(B17/B8)</f>
        <v>2.5139181021987343E-2</v>
      </c>
      <c r="C18" s="78">
        <f>SUM(C17/C8)</f>
        <v>2.5139181021987343E-2</v>
      </c>
      <c r="D18" s="73">
        <f>SUM(D17/D8)</f>
        <v>3.3969354745603433E-2</v>
      </c>
      <c r="E18" s="73">
        <f>SUM(E17/E8)</f>
        <v>3.3969354745603433E-2</v>
      </c>
      <c r="F18" s="73">
        <f>SUM(F17/F8)</f>
        <v>3.3969354745603433E-2</v>
      </c>
    </row>
    <row r="19" spans="1:6" x14ac:dyDescent="0.25">
      <c r="A19" s="24" t="s">
        <v>47</v>
      </c>
      <c r="B19" s="85">
        <v>28334853.079999998</v>
      </c>
      <c r="C19" s="94">
        <f>SUM(B19/$C$4)</f>
        <v>222059.97711598745</v>
      </c>
      <c r="D19" s="85">
        <f>SUM('P&amp;L13 update 27.1.14'!J127+'P&amp;L13 update 27.1.14'!J186+'P&amp;L13 update 27.1.14'!J241)</f>
        <v>42168973.370000005</v>
      </c>
      <c r="E19" s="93">
        <f>SUM(D19/E4)</f>
        <v>327119.48933364369</v>
      </c>
      <c r="F19" s="100">
        <f>SUM(E20*F8)</f>
        <v>405096.19600069191</v>
      </c>
    </row>
    <row r="20" spans="1:6" x14ac:dyDescent="0.25">
      <c r="A20" s="24" t="s">
        <v>2</v>
      </c>
      <c r="B20" s="91">
        <f>SUM(B19/B8)</f>
        <v>0.15082141403464627</v>
      </c>
      <c r="C20" s="91">
        <f>SUM(C19/C8)</f>
        <v>0.15082141403464625</v>
      </c>
      <c r="D20" s="91">
        <f>SUM(D19/D8)</f>
        <v>0.17612878086986605</v>
      </c>
      <c r="E20" s="91">
        <f>SUM(E19/E8)</f>
        <v>0.17612878086986605</v>
      </c>
      <c r="F20" s="91">
        <f>SUM(F19/F8)</f>
        <v>0.17612878086986605</v>
      </c>
    </row>
    <row r="21" spans="1:6" x14ac:dyDescent="0.25">
      <c r="A21" s="24" t="s">
        <v>48</v>
      </c>
      <c r="B21" s="87">
        <f>SUM(B17+B19)</f>
        <v>33057756.689999998</v>
      </c>
      <c r="C21" s="94">
        <f>SUM(B21/$C$4)</f>
        <v>259073.32829153605</v>
      </c>
      <c r="D21" s="87">
        <f>SUM(D17+D19)</f>
        <v>50301958.840000004</v>
      </c>
      <c r="E21" s="93">
        <f>SUM(E17+E19)</f>
        <v>390209.90489488799</v>
      </c>
      <c r="F21" s="93">
        <f>SUM(E22*F8)</f>
        <v>483225.71191557986</v>
      </c>
    </row>
    <row r="22" spans="1:6" x14ac:dyDescent="0.25">
      <c r="A22" s="24" t="s">
        <v>49</v>
      </c>
      <c r="B22" s="91">
        <f>SUM(B21/B8)</f>
        <v>0.17596059505663358</v>
      </c>
      <c r="C22" s="91">
        <f>SUM(C21/C8)</f>
        <v>0.17596059505663358</v>
      </c>
      <c r="D22" s="91">
        <f>SUM(D21/D8)</f>
        <v>0.21009813561546947</v>
      </c>
      <c r="E22" s="91">
        <f>SUM(E21/E8)</f>
        <v>0.2100981356154695</v>
      </c>
      <c r="F22" s="91">
        <f>SUM(F21/F8)</f>
        <v>0.2100981356154695</v>
      </c>
    </row>
    <row r="23" spans="1:6" x14ac:dyDescent="0.25">
      <c r="A23" s="24"/>
      <c r="B23" s="85"/>
      <c r="C23" s="94"/>
      <c r="D23" s="86"/>
      <c r="E23" s="93"/>
      <c r="F23" s="99"/>
    </row>
    <row r="24" spans="1:6" x14ac:dyDescent="0.25">
      <c r="A24" s="24" t="s">
        <v>50</v>
      </c>
      <c r="B24" s="82">
        <v>30941274.689999998</v>
      </c>
      <c r="C24" s="94">
        <f>SUM(B24/$C$4)</f>
        <v>242486.47876175548</v>
      </c>
      <c r="D24" s="85">
        <f>SUM('P&amp;L13 update 27.1.14'!J306-'P&amp;L13 update 27.1.14'!J103-'P&amp;L13 update 27.1.14'!J172-'Summary Update 27.1.14'!D19)</f>
        <v>42743801.00999999</v>
      </c>
      <c r="E24" s="93">
        <f>SUM(D24/E4)</f>
        <v>331578.62857807765</v>
      </c>
      <c r="F24" s="100">
        <f>SUM(E25*F8)</f>
        <v>410618.27708805626</v>
      </c>
    </row>
    <row r="25" spans="1:6" x14ac:dyDescent="0.25">
      <c r="A25" s="24" t="s">
        <v>7</v>
      </c>
      <c r="B25" s="92">
        <f>SUM(B24/B8)</f>
        <v>0.16469493551297465</v>
      </c>
      <c r="C25" s="92">
        <f>SUM(C24/C8)</f>
        <v>0.16469493551297465</v>
      </c>
      <c r="D25" s="92">
        <f>SUM(D24/D8)</f>
        <v>0.17852968569045927</v>
      </c>
      <c r="E25" s="92">
        <f>SUM(E24/E8)</f>
        <v>0.17852968569045924</v>
      </c>
      <c r="F25" s="92">
        <f>SUM(F24/F8)</f>
        <v>0.17852968569045924</v>
      </c>
    </row>
    <row r="26" spans="1:6" x14ac:dyDescent="0.25">
      <c r="A26" s="24"/>
      <c r="B26" s="86"/>
      <c r="C26" s="94"/>
      <c r="D26" s="86"/>
      <c r="E26" s="93"/>
      <c r="F26" s="99"/>
    </row>
    <row r="27" spans="1:6" x14ac:dyDescent="0.25">
      <c r="A27" s="24" t="s">
        <v>51</v>
      </c>
      <c r="B27" s="85">
        <v>50763772.32</v>
      </c>
      <c r="C27" s="94">
        <f>SUM(B27/$C$4)</f>
        <v>397835.20626959251</v>
      </c>
      <c r="D27" s="85">
        <f>SUM('P&amp;L13 update 27.1.14'!J321)</f>
        <v>39330704.149999999</v>
      </c>
      <c r="E27" s="93">
        <f>SUM(D27/E4)</f>
        <v>305102.04134667595</v>
      </c>
      <c r="F27" s="100">
        <f>SUM(E28*F8)</f>
        <v>377830.36588053463</v>
      </c>
    </row>
    <row r="28" spans="1:6" ht="15.75" thickBot="1" x14ac:dyDescent="0.3">
      <c r="A28" s="24" t="s">
        <v>9</v>
      </c>
      <c r="B28" s="97">
        <f>SUM(B27/B8)</f>
        <v>0.27020658626387473</v>
      </c>
      <c r="C28" s="97">
        <f>SUM(C27/C8)</f>
        <v>0.27020658626387473</v>
      </c>
      <c r="D28" s="97">
        <f>SUM(D27/D8)</f>
        <v>0.16427407212197162</v>
      </c>
      <c r="E28" s="97">
        <f>SUM(E27/E8)</f>
        <v>0.16427407212197159</v>
      </c>
      <c r="F28" s="97">
        <f>SUM(F27/F8)</f>
        <v>0.16427407212197159</v>
      </c>
    </row>
    <row r="29" spans="1:6" x14ac:dyDescent="0.25">
      <c r="A29" s="23"/>
      <c r="B29" s="23"/>
      <c r="C29" s="23"/>
      <c r="D29" s="23"/>
      <c r="E29" s="23"/>
      <c r="F29" s="23"/>
    </row>
    <row r="30" spans="1:6" x14ac:dyDescent="0.25">
      <c r="A30" s="23"/>
      <c r="B30" s="84">
        <f>SUM(B8-B14-B21-B24)</f>
        <v>50445344.549999997</v>
      </c>
      <c r="C30" s="25">
        <f>SUM(C8-C14-C21-C24)</f>
        <v>395339.69083072094</v>
      </c>
      <c r="D30" s="25">
        <f>SUM(D8-D14-D21-D24)</f>
        <v>39331621.440000013</v>
      </c>
      <c r="E30" s="25">
        <f>SUM(E8-E14-E21-E24)</f>
        <v>305109.15708633943</v>
      </c>
      <c r="F30" s="25">
        <f>SUM(F8-F14-F21-F24)</f>
        <v>377839.17782590428</v>
      </c>
    </row>
    <row r="32" spans="1:6" x14ac:dyDescent="0.25">
      <c r="D32" s="25">
        <f>SUM(D27-D30)</f>
        <v>-917.29000001400709</v>
      </c>
      <c r="E32" s="25">
        <f>SUM(E27-E30)</f>
        <v>-7.115739663480781</v>
      </c>
      <c r="F32" s="25">
        <f>SUM(F27-F30)</f>
        <v>-8.8119453696417622</v>
      </c>
    </row>
  </sheetData>
  <pageMargins left="0.7" right="0.7" top="0.75" bottom="0.75" header="0.3" footer="0.3"/>
  <ignoredErrors>
    <ignoredError sqref="C18 C20:C21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2:S24"/>
  <sheetViews>
    <sheetView tabSelected="1" topLeftCell="A7" workbookViewId="0">
      <pane xSplit="1" topLeftCell="E1" activePane="topRight" state="frozen"/>
      <selection activeCell="A4" sqref="A4"/>
      <selection pane="topRight" activeCell="J24" sqref="J24"/>
    </sheetView>
  </sheetViews>
  <sheetFormatPr defaultRowHeight="15" x14ac:dyDescent="0.25"/>
  <cols>
    <col min="1" max="1" width="24.140625" style="23" customWidth="1"/>
    <col min="2" max="2" width="5.7109375" style="23" customWidth="1"/>
    <col min="3" max="3" width="5.85546875" style="23" customWidth="1"/>
    <col min="4" max="4" width="5.7109375" style="23" customWidth="1"/>
    <col min="5" max="5" width="5.85546875" style="23" customWidth="1"/>
    <col min="6" max="10" width="13.42578125" style="23" bestFit="1" customWidth="1"/>
    <col min="11" max="15" width="13.7109375" style="23" customWidth="1"/>
    <col min="16" max="16" width="9.28515625" style="23" customWidth="1"/>
    <col min="17" max="17" width="7" style="23" customWidth="1"/>
    <col min="18" max="18" width="9.140625" style="23"/>
    <col min="19" max="19" width="9" style="23" customWidth="1"/>
    <col min="20" max="16384" width="9.140625" style="23"/>
  </cols>
  <sheetData>
    <row r="2" spans="1:19" ht="23.25" x14ac:dyDescent="0.35">
      <c r="A2" s="37" t="s">
        <v>740</v>
      </c>
      <c r="D2" s="247"/>
      <c r="K2" s="247"/>
      <c r="L2" s="247"/>
      <c r="M2" s="247"/>
      <c r="N2" s="247"/>
      <c r="O2" s="247"/>
      <c r="P2" s="247"/>
    </row>
    <row r="3" spans="1:19" ht="18.75" x14ac:dyDescent="0.3">
      <c r="A3" s="245" t="s">
        <v>616</v>
      </c>
    </row>
    <row r="4" spans="1:19" x14ac:dyDescent="0.25">
      <c r="A4" s="305" t="s">
        <v>744</v>
      </c>
      <c r="F4" s="309">
        <v>146.07</v>
      </c>
      <c r="G4" s="309">
        <v>146.4</v>
      </c>
      <c r="H4" s="309">
        <v>146.78</v>
      </c>
      <c r="I4" s="309">
        <v>147.35</v>
      </c>
      <c r="J4" s="23">
        <v>147.97</v>
      </c>
      <c r="K4" s="23">
        <v>148.32</v>
      </c>
      <c r="L4" s="23">
        <v>147.72999999999999</v>
      </c>
      <c r="M4" s="23">
        <v>147.27000000000001</v>
      </c>
      <c r="N4" s="23">
        <v>147.22999999999999</v>
      </c>
      <c r="O4" s="23">
        <v>146.9</v>
      </c>
      <c r="P4" s="309"/>
    </row>
    <row r="5" spans="1:19" s="102" customFormat="1" x14ac:dyDescent="0.25">
      <c r="A5" s="261"/>
      <c r="B5" s="110">
        <v>2013</v>
      </c>
      <c r="C5" s="110">
        <v>2014</v>
      </c>
      <c r="D5" s="200">
        <v>2015</v>
      </c>
      <c r="E5" s="110" t="s">
        <v>741</v>
      </c>
      <c r="F5" s="293" t="s">
        <v>745</v>
      </c>
      <c r="G5" s="310" t="s">
        <v>748</v>
      </c>
      <c r="H5" s="311" t="s">
        <v>750</v>
      </c>
      <c r="I5" s="313" t="s">
        <v>828</v>
      </c>
      <c r="J5" s="314" t="s">
        <v>829</v>
      </c>
      <c r="K5" s="316" t="s">
        <v>844</v>
      </c>
      <c r="L5" s="331" t="s">
        <v>845</v>
      </c>
      <c r="M5" s="316" t="s">
        <v>906</v>
      </c>
      <c r="N5" s="244" t="s">
        <v>903</v>
      </c>
      <c r="O5" s="332" t="s">
        <v>907</v>
      </c>
      <c r="P5" s="200">
        <v>2016</v>
      </c>
      <c r="Q5" s="110">
        <v>2016</v>
      </c>
      <c r="R5" s="262"/>
    </row>
    <row r="6" spans="1:19" x14ac:dyDescent="0.25">
      <c r="A6" s="19"/>
      <c r="B6" s="112" t="s">
        <v>5</v>
      </c>
      <c r="C6" s="112" t="s">
        <v>5</v>
      </c>
      <c r="D6" s="200" t="s">
        <v>478</v>
      </c>
      <c r="E6" s="112"/>
      <c r="F6" s="200" t="s">
        <v>821</v>
      </c>
      <c r="G6" s="200" t="s">
        <v>822</v>
      </c>
      <c r="H6" s="200" t="s">
        <v>823</v>
      </c>
      <c r="I6" s="200" t="s">
        <v>833</v>
      </c>
      <c r="J6" s="200" t="s">
        <v>834</v>
      </c>
      <c r="K6" s="200" t="s">
        <v>835</v>
      </c>
      <c r="L6" s="200" t="s">
        <v>846</v>
      </c>
      <c r="M6" s="200" t="s">
        <v>905</v>
      </c>
      <c r="N6" s="200" t="s">
        <v>904</v>
      </c>
      <c r="O6" s="200"/>
      <c r="P6" s="200" t="s">
        <v>478</v>
      </c>
      <c r="Q6" s="243" t="s">
        <v>30</v>
      </c>
    </row>
    <row r="7" spans="1:19" x14ac:dyDescent="0.25">
      <c r="A7" s="20" t="s">
        <v>6</v>
      </c>
      <c r="B7" s="120">
        <v>605</v>
      </c>
      <c r="C7" s="114">
        <v>349</v>
      </c>
      <c r="D7" s="114">
        <v>447</v>
      </c>
      <c r="E7" s="114"/>
      <c r="F7" s="114">
        <f>'P1'!I12/'KPM -  TeKSS '!F4/1000</f>
        <v>61.72918463750257</v>
      </c>
      <c r="G7" s="114">
        <f>'P2'!I12/'KPM -  TeKSS '!G4/1000</f>
        <v>68.465983606557373</v>
      </c>
      <c r="H7" s="114">
        <f>'P3'!I12/'KPM -  TeKSS '!H4/1000</f>
        <v>68.288731434800383</v>
      </c>
      <c r="I7" s="114">
        <f>'P4'!I11/'KPM -  TeKSS '!I4/1000</f>
        <v>52.241330166270792</v>
      </c>
      <c r="J7" s="114">
        <f>'P5'!I12/'KPM -  TeKSS '!J4/1000</f>
        <v>66.721362438332093</v>
      </c>
      <c r="K7" s="114">
        <f>'P6'!I12/'KPM -  TeKSS '!K4/1000</f>
        <v>66.563915857605181</v>
      </c>
      <c r="L7" s="114">
        <f>'P7'!I11/'KPM -  TeKSS '!L4/1000</f>
        <v>66.829756989101753</v>
      </c>
      <c r="M7" s="114">
        <f>'P8'!J10/'KPM -  TeKSS '!M4/1000</f>
        <v>67.038500712976159</v>
      </c>
      <c r="N7" s="114">
        <f>'P9'!J11/'KPM -  TeKSS '!N4/1000</f>
        <v>67.32415268627318</v>
      </c>
      <c r="O7" s="114">
        <f>'P10'!J11/'KPM -  TeKSS '!O4/1000</f>
        <v>67.600867937372357</v>
      </c>
      <c r="P7" s="114">
        <f>SUM(F7:O7)</f>
        <v>652.80378646679196</v>
      </c>
      <c r="Q7" s="115">
        <v>750</v>
      </c>
      <c r="S7" s="328"/>
    </row>
    <row r="8" spans="1:19" x14ac:dyDescent="0.25">
      <c r="A8" s="20"/>
      <c r="B8" s="120"/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2"/>
    </row>
    <row r="9" spans="1:19" x14ac:dyDescent="0.25">
      <c r="A9" s="20" t="s">
        <v>10</v>
      </c>
      <c r="B9" s="307">
        <v>0</v>
      </c>
      <c r="C9" s="307">
        <v>0</v>
      </c>
      <c r="D9" s="307">
        <v>0</v>
      </c>
      <c r="E9" s="307"/>
      <c r="F9" s="307">
        <v>0</v>
      </c>
      <c r="G9" s="307">
        <v>0</v>
      </c>
      <c r="H9" s="307">
        <v>0</v>
      </c>
      <c r="I9" s="307">
        <v>0</v>
      </c>
      <c r="J9" s="307">
        <v>0</v>
      </c>
      <c r="K9" s="307">
        <v>0</v>
      </c>
      <c r="L9" s="307">
        <v>0</v>
      </c>
      <c r="M9" s="307">
        <v>0</v>
      </c>
      <c r="N9" s="307">
        <v>0</v>
      </c>
      <c r="O9" s="307">
        <v>0</v>
      </c>
      <c r="P9" s="307">
        <f>SUM(F9:K9)</f>
        <v>0</v>
      </c>
      <c r="Q9" s="308">
        <v>0</v>
      </c>
    </row>
    <row r="10" spans="1:19" x14ac:dyDescent="0.25">
      <c r="A10" s="20" t="s">
        <v>1</v>
      </c>
      <c r="B10" s="307">
        <v>0</v>
      </c>
      <c r="C10" s="307">
        <v>0</v>
      </c>
      <c r="D10" s="307">
        <v>0</v>
      </c>
      <c r="E10" s="307"/>
      <c r="F10" s="307">
        <v>0</v>
      </c>
      <c r="G10" s="307">
        <v>0</v>
      </c>
      <c r="H10" s="307">
        <v>0</v>
      </c>
      <c r="I10" s="307">
        <v>0</v>
      </c>
      <c r="J10" s="307">
        <v>0</v>
      </c>
      <c r="K10" s="307">
        <v>0</v>
      </c>
      <c r="L10" s="307">
        <v>0</v>
      </c>
      <c r="M10" s="307">
        <v>0</v>
      </c>
      <c r="N10" s="307">
        <v>0</v>
      </c>
      <c r="O10" s="307">
        <v>0</v>
      </c>
      <c r="P10" s="307">
        <v>0</v>
      </c>
      <c r="Q10" s="308">
        <v>0</v>
      </c>
    </row>
    <row r="11" spans="1:19" x14ac:dyDescent="0.25">
      <c r="A11" s="20" t="s">
        <v>11</v>
      </c>
      <c r="B11" s="114">
        <v>41</v>
      </c>
      <c r="C11" s="114">
        <v>42</v>
      </c>
      <c r="D11" s="114">
        <v>258</v>
      </c>
      <c r="E11" s="290">
        <v>1</v>
      </c>
      <c r="F11" s="294">
        <f>'P1'!O6/'KPM -  TeKSS '!F4/1000</f>
        <v>45.899088382282471</v>
      </c>
      <c r="G11" s="294">
        <f>'P2'!O6/'KPM -  TeKSS '!G4/1000</f>
        <v>45.579239549180322</v>
      </c>
      <c r="H11" s="294">
        <f>'P3'!O6/'KPM -  TeKSS '!H4/1000</f>
        <v>45.461239065267748</v>
      </c>
      <c r="I11" s="294">
        <f>'P4'!O6/'KPM -  TeKSS '!I4/1000</f>
        <v>42.831240922972519</v>
      </c>
      <c r="J11" s="294">
        <f>'P5'!O6/'KPM -  TeKSS '!J4/1000</f>
        <v>41.624541123200643</v>
      </c>
      <c r="K11" s="294">
        <f>'P6'!Q8/'KPM -  TeKSS '!K4/1000</f>
        <v>41.526317084681764</v>
      </c>
      <c r="L11" s="294">
        <f>'P7'!L3/'KPM -  TeKSS '!L4/1000</f>
        <v>41.69216374466933</v>
      </c>
      <c r="M11" s="294">
        <f>'P8'!Q6/'KPM -  TeKSS '!M4/1000</f>
        <v>38.393041013105183</v>
      </c>
      <c r="N11" s="294">
        <f>'P9'!R3/'KPM -  TeKSS '!N4/1000</f>
        <v>38.723703728859611</v>
      </c>
      <c r="O11" s="294">
        <f>'P10'!R6/'KPM -  TeKSS '!O4/1000</f>
        <v>42.956373122305422</v>
      </c>
      <c r="P11" s="114">
        <f>SUM(F11:O11)</f>
        <v>424.68694773652498</v>
      </c>
      <c r="Q11" s="112">
        <v>375</v>
      </c>
      <c r="S11" s="154"/>
    </row>
    <row r="12" spans="1:19" x14ac:dyDescent="0.25">
      <c r="A12" s="20" t="s">
        <v>2</v>
      </c>
      <c r="B12" s="116">
        <v>7.0000000000000007E-2</v>
      </c>
      <c r="C12" s="246">
        <v>0.12</v>
      </c>
      <c r="D12" s="116">
        <v>0.57999999999999996</v>
      </c>
      <c r="E12" s="246"/>
      <c r="F12" s="116">
        <f t="shared" ref="F12:G12" si="0">+F11/F7</f>
        <v>0.74355572087691602</v>
      </c>
      <c r="G12" s="116">
        <f t="shared" si="0"/>
        <v>0.66572094853852271</v>
      </c>
      <c r="H12" s="116">
        <f t="shared" ref="H12:J12" si="1">+H11/H7</f>
        <v>0.66572094853852282</v>
      </c>
      <c r="I12" s="116">
        <f t="shared" si="1"/>
        <v>0.81987270972334803</v>
      </c>
      <c r="J12" s="116">
        <f t="shared" si="1"/>
        <v>0.62385628233644885</v>
      </c>
      <c r="K12" s="116">
        <f t="shared" ref="K12:L12" si="2">+K11/K7</f>
        <v>0.62385628233644885</v>
      </c>
      <c r="L12" s="116">
        <f t="shared" si="2"/>
        <v>0.62385628233644885</v>
      </c>
      <c r="M12" s="116">
        <f t="shared" ref="M12" si="3">+M11/M7</f>
        <v>0.57270136719620457</v>
      </c>
      <c r="N12" s="116">
        <f t="shared" ref="N12:O12" si="4">+N11/N7</f>
        <v>0.57518293485712213</v>
      </c>
      <c r="O12" s="116">
        <f t="shared" si="4"/>
        <v>0.63544114791694095</v>
      </c>
      <c r="P12" s="116">
        <f>P11/P7</f>
        <v>0.65055834010259495</v>
      </c>
      <c r="Q12" s="117">
        <v>0.37</v>
      </c>
    </row>
    <row r="13" spans="1:19" x14ac:dyDescent="0.25">
      <c r="A13" s="20" t="s">
        <v>33</v>
      </c>
      <c r="B13" s="121">
        <v>41</v>
      </c>
      <c r="C13" s="114">
        <v>42</v>
      </c>
      <c r="D13" s="114">
        <v>258</v>
      </c>
      <c r="E13" s="291"/>
      <c r="F13" s="140">
        <f t="shared" ref="F13" si="5">SUM(F9+F11)</f>
        <v>45.899088382282471</v>
      </c>
      <c r="G13" s="140">
        <f t="shared" ref="G13:H13" si="6">SUM(G9+G11)</f>
        <v>45.579239549180322</v>
      </c>
      <c r="H13" s="140">
        <f t="shared" si="6"/>
        <v>45.461239065267748</v>
      </c>
      <c r="I13" s="140">
        <f t="shared" ref="I13" si="7">SUM(I9+I11)</f>
        <v>42.831240922972519</v>
      </c>
      <c r="J13" s="140">
        <f t="shared" ref="J13:O13" si="8">SUM(J9+J11)</f>
        <v>41.624541123200643</v>
      </c>
      <c r="K13" s="114">
        <f t="shared" si="8"/>
        <v>41.526317084681764</v>
      </c>
      <c r="L13" s="114">
        <f t="shared" si="8"/>
        <v>41.69216374466933</v>
      </c>
      <c r="M13" s="114">
        <f t="shared" si="8"/>
        <v>38.393041013105183</v>
      </c>
      <c r="N13" s="114">
        <f t="shared" si="8"/>
        <v>38.723703728859611</v>
      </c>
      <c r="O13" s="114">
        <f t="shared" si="8"/>
        <v>42.956373122305422</v>
      </c>
      <c r="P13" s="114">
        <f>SUM(F13:O13)</f>
        <v>424.68694773652498</v>
      </c>
      <c r="Q13" s="112">
        <v>375</v>
      </c>
    </row>
    <row r="14" spans="1:19" x14ac:dyDescent="0.25">
      <c r="A14" s="20" t="s">
        <v>3</v>
      </c>
      <c r="B14" s="116">
        <v>7.0000000000000007E-2</v>
      </c>
      <c r="C14" s="246">
        <v>0.12</v>
      </c>
      <c r="D14" s="116">
        <v>0.57999999999999996</v>
      </c>
      <c r="E14" s="292"/>
      <c r="F14" s="116">
        <f t="shared" ref="F14:G14" si="9">+F13/F7</f>
        <v>0.74355572087691602</v>
      </c>
      <c r="G14" s="116">
        <f t="shared" si="9"/>
        <v>0.66572094853852271</v>
      </c>
      <c r="H14" s="116">
        <f t="shared" ref="H14:J14" si="10">+H13/H7</f>
        <v>0.66572094853852282</v>
      </c>
      <c r="I14" s="116">
        <f t="shared" si="10"/>
        <v>0.81987270972334803</v>
      </c>
      <c r="J14" s="116">
        <f t="shared" si="10"/>
        <v>0.62385628233644885</v>
      </c>
      <c r="K14" s="116">
        <f>+K13/K7</f>
        <v>0.62385628233644885</v>
      </c>
      <c r="L14" s="116">
        <f>+L13/L7</f>
        <v>0.62385628233644885</v>
      </c>
      <c r="M14" s="116">
        <f>+M13/M7</f>
        <v>0.57270136719620457</v>
      </c>
      <c r="N14" s="116">
        <f>+N13/N7</f>
        <v>0.57518293485712213</v>
      </c>
      <c r="O14" s="116">
        <f>+O13/O7</f>
        <v>0.63544114791694095</v>
      </c>
      <c r="P14" s="116">
        <f>P13/P7</f>
        <v>0.65055834010259495</v>
      </c>
      <c r="Q14" s="117">
        <v>0.37</v>
      </c>
    </row>
    <row r="15" spans="1:19" x14ac:dyDescent="0.25">
      <c r="A15" s="20"/>
      <c r="B15" s="122"/>
      <c r="C15" s="114"/>
      <c r="D15" s="114"/>
      <c r="E15" s="291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2"/>
    </row>
    <row r="16" spans="1:19" x14ac:dyDescent="0.25">
      <c r="A16" s="20" t="s">
        <v>4</v>
      </c>
      <c r="B16" s="114">
        <v>91</v>
      </c>
      <c r="C16" s="114">
        <v>119</v>
      </c>
      <c r="D16" s="114">
        <v>86</v>
      </c>
      <c r="E16" s="290">
        <v>2</v>
      </c>
      <c r="F16" s="294">
        <f>'P1'!O10/1000/'KPM -  TeKSS '!F4</f>
        <v>22.016370028068735</v>
      </c>
      <c r="G16" s="294">
        <f>'P2'!O10/1000/'KPM -  TeKSS '!G4</f>
        <v>28.968306147540979</v>
      </c>
      <c r="H16" s="294">
        <f>'P3'!O10/1000/'KPM -  TeKSS '!H4</f>
        <v>27.55537804878049</v>
      </c>
      <c r="I16" s="294">
        <f>'P4'!O10/1000/'KPM -  TeKSS '!I4</f>
        <v>16.002217237869026</v>
      </c>
      <c r="J16" s="294">
        <f>'P5'!O10/1000/'KPM -  TeKSS '!J4</f>
        <v>17.317150503480434</v>
      </c>
      <c r="K16" s="294">
        <f>'P6'!Q12/1000/'KPM -  TeKSS '!K4</f>
        <v>14.248018203883499</v>
      </c>
      <c r="L16" s="294">
        <f>'P7'!L9/1000/'KPM -  TeKSS '!L4</f>
        <v>11.908087389155893</v>
      </c>
      <c r="M16" s="294">
        <f>'P8'!Q10/1000/'KPM -  TeKSS '!M4</f>
        <v>10.367236164867244</v>
      </c>
      <c r="N16" s="294">
        <f>'P9'!R9/1000/'KPM -  TeKSS '!N4</f>
        <v>13.526931603613392</v>
      </c>
      <c r="O16" s="294">
        <f>'P10'!R9/1000/'KPM -  TeKSS '!O4</f>
        <v>19.185439210369861</v>
      </c>
      <c r="P16" s="114">
        <f>SUM(F16:O16)</f>
        <v>181.09513453762958</v>
      </c>
      <c r="Q16" s="112">
        <v>125</v>
      </c>
    </row>
    <row r="17" spans="1:19" x14ac:dyDescent="0.25">
      <c r="A17" s="20" t="s">
        <v>7</v>
      </c>
      <c r="B17" s="116">
        <v>0.15</v>
      </c>
      <c r="C17" s="116">
        <v>0.34</v>
      </c>
      <c r="D17" s="116">
        <v>0.19</v>
      </c>
      <c r="E17" s="116"/>
      <c r="F17" s="116">
        <f t="shared" ref="F17:P17" si="11">+F16/F7</f>
        <v>0.35666063236307588</v>
      </c>
      <c r="G17" s="116">
        <f t="shared" ref="G17:H17" si="12">+G16/G7</f>
        <v>0.42310508987950218</v>
      </c>
      <c r="H17" s="116">
        <f t="shared" si="12"/>
        <v>0.40351281199430933</v>
      </c>
      <c r="I17" s="116">
        <f t="shared" ref="I17:J17" si="13">+I16/I7</f>
        <v>0.30631335739228044</v>
      </c>
      <c r="J17" s="116">
        <f t="shared" si="13"/>
        <v>0.25954431790097193</v>
      </c>
      <c r="K17" s="116">
        <f>+K16/K7</f>
        <v>0.21405018049663929</v>
      </c>
      <c r="L17" s="116">
        <f>+L16/L7</f>
        <v>0.17818540610730937</v>
      </c>
      <c r="M17" s="116">
        <f>+M16/M7</f>
        <v>0.15464600273884901</v>
      </c>
      <c r="N17" s="116">
        <f>+N16/N7</f>
        <v>0.20092241883307679</v>
      </c>
      <c r="O17" s="116">
        <f>+O16/O7</f>
        <v>0.28380462848707616</v>
      </c>
      <c r="P17" s="116">
        <f t="shared" si="11"/>
        <v>0.27741128083490652</v>
      </c>
      <c r="Q17" s="117">
        <v>0.17</v>
      </c>
    </row>
    <row r="18" spans="1:19" x14ac:dyDescent="0.25">
      <c r="A18" s="20"/>
      <c r="B18" s="122"/>
      <c r="C18" s="114"/>
      <c r="D18" s="114"/>
      <c r="E18" s="114"/>
      <c r="F18" s="114"/>
      <c r="G18" s="114"/>
      <c r="H18" s="114"/>
      <c r="I18" s="114"/>
      <c r="J18" s="114"/>
      <c r="K18" s="114"/>
      <c r="L18" s="114"/>
      <c r="M18" s="114"/>
      <c r="N18" s="114"/>
      <c r="O18" s="114"/>
      <c r="P18" s="114"/>
      <c r="Q18" s="112"/>
    </row>
    <row r="19" spans="1:19" x14ac:dyDescent="0.25">
      <c r="A19" s="20" t="s">
        <v>8</v>
      </c>
      <c r="B19" s="114">
        <v>473</v>
      </c>
      <c r="C19" s="114">
        <v>188</v>
      </c>
      <c r="D19" s="114">
        <v>103</v>
      </c>
      <c r="E19" s="114"/>
      <c r="F19" s="114">
        <f t="shared" ref="F19:G19" si="14">F7-F13-F16</f>
        <v>-6.1862737728486366</v>
      </c>
      <c r="G19" s="114">
        <f t="shared" si="14"/>
        <v>-6.0815620901639278</v>
      </c>
      <c r="H19" s="114">
        <f t="shared" ref="H19:I19" si="15">H7-H13-H16</f>
        <v>-4.727885679247855</v>
      </c>
      <c r="I19" s="114">
        <f t="shared" si="15"/>
        <v>-6.5921279945707525</v>
      </c>
      <c r="J19" s="114">
        <f t="shared" ref="J19:P19" si="16">J7-J13-J16</f>
        <v>7.779670811651016</v>
      </c>
      <c r="K19" s="114">
        <f t="shared" si="16"/>
        <v>10.789580569039918</v>
      </c>
      <c r="L19" s="114">
        <f t="shared" si="16"/>
        <v>13.22950585527653</v>
      </c>
      <c r="M19" s="114">
        <f t="shared" si="16"/>
        <v>18.278223535003733</v>
      </c>
      <c r="N19" s="114">
        <f t="shared" si="16"/>
        <v>15.073517353800177</v>
      </c>
      <c r="O19" s="114">
        <f t="shared" ref="O19" si="17">O7-O13-O16</f>
        <v>5.459055604697074</v>
      </c>
      <c r="P19" s="114">
        <f t="shared" si="16"/>
        <v>47.021704192637401</v>
      </c>
      <c r="Q19" s="112">
        <v>250</v>
      </c>
      <c r="S19" s="25"/>
    </row>
    <row r="20" spans="1:19" x14ac:dyDescent="0.25">
      <c r="A20" s="20" t="s">
        <v>9</v>
      </c>
      <c r="B20" s="116">
        <f>B19/B7</f>
        <v>0.78181818181818186</v>
      </c>
      <c r="C20" s="116">
        <f>C19/C7</f>
        <v>0.5386819484240688</v>
      </c>
      <c r="D20" s="116">
        <v>0.23</v>
      </c>
      <c r="E20" s="116"/>
      <c r="F20" s="116">
        <f t="shared" ref="F20:G20" si="18">F19/F7</f>
        <v>-0.10021635323999187</v>
      </c>
      <c r="G20" s="116">
        <f t="shared" si="18"/>
        <v>-8.8826038418024889E-2</v>
      </c>
      <c r="H20" s="116">
        <f t="shared" ref="H20:J20" si="19">H19/H7</f>
        <v>-6.9233760532832117E-2</v>
      </c>
      <c r="I20" s="116">
        <f t="shared" si="19"/>
        <v>-0.12618606711562846</v>
      </c>
      <c r="J20" s="116">
        <f t="shared" si="19"/>
        <v>0.11659939976257915</v>
      </c>
      <c r="K20" s="116">
        <f t="shared" ref="K20:P20" si="20">K19/K7</f>
        <v>0.16209353716691186</v>
      </c>
      <c r="L20" s="116">
        <f t="shared" si="20"/>
        <v>0.19795831155624177</v>
      </c>
      <c r="M20" s="116">
        <f t="shared" si="20"/>
        <v>0.27265263006494639</v>
      </c>
      <c r="N20" s="116">
        <f t="shared" si="20"/>
        <v>0.22389464630980108</v>
      </c>
      <c r="O20" s="116">
        <f t="shared" si="20"/>
        <v>8.0754223595982833E-2</v>
      </c>
      <c r="P20" s="116">
        <f t="shared" si="20"/>
        <v>7.2030379062498567E-2</v>
      </c>
      <c r="Q20" s="117">
        <v>0.33</v>
      </c>
    </row>
    <row r="21" spans="1:19" x14ac:dyDescent="0.25">
      <c r="B21" s="108"/>
    </row>
    <row r="22" spans="1:19" x14ac:dyDescent="0.25">
      <c r="B22" s="108"/>
    </row>
    <row r="24" spans="1:19" x14ac:dyDescent="0.25">
      <c r="B24" s="109"/>
    </row>
  </sheetData>
  <pageMargins left="0.7" right="0.7" top="0.75" bottom="0.75" header="0.3" footer="0.3"/>
  <pageSetup orientation="landscape" horizontalDpi="4294967292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74"/>
  <sheetViews>
    <sheetView workbookViewId="0">
      <selection activeCell="Q12" sqref="Q12"/>
    </sheetView>
  </sheetViews>
  <sheetFormatPr defaultRowHeight="15" x14ac:dyDescent="0.25"/>
  <cols>
    <col min="1" max="8" width="3" style="50" customWidth="1"/>
    <col min="9" max="9" width="27.5703125" style="50" customWidth="1"/>
    <col min="10" max="10" width="17.7109375" style="26" customWidth="1"/>
    <col min="11" max="16" width="9.140625" style="23"/>
    <col min="17" max="17" width="21.85546875" style="23" customWidth="1"/>
    <col min="18" max="18" width="21.42578125" style="23" customWidth="1"/>
    <col min="19" max="16384" width="9.140625" style="23"/>
  </cols>
  <sheetData>
    <row r="1" spans="1:18" s="102" customFormat="1" ht="15.75" thickBot="1" x14ac:dyDescent="0.3">
      <c r="A1" s="31"/>
      <c r="B1" s="31"/>
      <c r="C1" s="31"/>
      <c r="D1" s="31"/>
      <c r="E1" s="31"/>
      <c r="F1" s="31"/>
      <c r="G1" s="31"/>
      <c r="H1" s="31"/>
      <c r="I1" s="31"/>
      <c r="J1" s="32" t="s">
        <v>908</v>
      </c>
    </row>
    <row r="2" spans="1:18" ht="15.75" thickTop="1" x14ac:dyDescent="0.25">
      <c r="A2" s="27"/>
      <c r="B2" s="27" t="s">
        <v>53</v>
      </c>
      <c r="C2" s="27"/>
      <c r="D2" s="27"/>
      <c r="E2" s="27"/>
      <c r="F2" s="27"/>
      <c r="G2" s="27"/>
      <c r="H2" s="27"/>
      <c r="I2" s="27"/>
      <c r="J2" s="28"/>
      <c r="Q2" s="226" t="s">
        <v>622</v>
      </c>
      <c r="R2" s="227" t="s">
        <v>621</v>
      </c>
    </row>
    <row r="3" spans="1:18" x14ac:dyDescent="0.25">
      <c r="A3" s="27"/>
      <c r="B3" s="27"/>
      <c r="C3" s="27"/>
      <c r="D3" s="27" t="s">
        <v>54</v>
      </c>
      <c r="E3" s="27"/>
      <c r="F3" s="27"/>
      <c r="G3" s="27"/>
      <c r="H3" s="27"/>
      <c r="I3" s="27"/>
      <c r="J3" s="28"/>
      <c r="Q3" s="164" t="s">
        <v>812</v>
      </c>
      <c r="R3" s="295">
        <f>J129</f>
        <v>5709499.5800000001</v>
      </c>
    </row>
    <row r="4" spans="1:18" x14ac:dyDescent="0.25">
      <c r="A4" s="27"/>
      <c r="B4" s="27"/>
      <c r="C4" s="27"/>
      <c r="D4" s="27"/>
      <c r="E4" s="27" t="s">
        <v>751</v>
      </c>
      <c r="F4" s="27"/>
      <c r="G4" s="27"/>
      <c r="H4" s="27"/>
      <c r="I4" s="27"/>
      <c r="J4" s="28"/>
      <c r="Q4" s="164" t="s">
        <v>814</v>
      </c>
      <c r="R4" s="296">
        <f>J19</f>
        <v>475791.63166666665</v>
      </c>
    </row>
    <row r="5" spans="1:18" x14ac:dyDescent="0.25">
      <c r="A5" s="27"/>
      <c r="B5" s="27"/>
      <c r="C5" s="27"/>
      <c r="D5" s="27"/>
      <c r="E5" s="27"/>
      <c r="F5" s="27" t="s">
        <v>752</v>
      </c>
      <c r="G5" s="27"/>
      <c r="H5" s="27"/>
      <c r="I5" s="27"/>
      <c r="J5" s="28">
        <v>147113.60000000001</v>
      </c>
      <c r="Q5" s="164" t="s">
        <v>815</v>
      </c>
      <c r="R5" s="296">
        <f>J20</f>
        <v>125000</v>
      </c>
    </row>
    <row r="6" spans="1:18" x14ac:dyDescent="0.25">
      <c r="A6" s="27"/>
      <c r="B6" s="27"/>
      <c r="C6" s="27"/>
      <c r="D6" s="27"/>
      <c r="E6" s="27"/>
      <c r="F6" s="27" t="s">
        <v>753</v>
      </c>
      <c r="G6" s="27"/>
      <c r="H6" s="27"/>
      <c r="I6" s="27"/>
      <c r="J6" s="28">
        <v>1029795</v>
      </c>
      <c r="Q6" s="297" t="s">
        <v>25</v>
      </c>
      <c r="R6" s="298">
        <f>SUM(R3:R5)</f>
        <v>6310291.2116666669</v>
      </c>
    </row>
    <row r="7" spans="1:18" x14ac:dyDescent="0.25">
      <c r="A7" s="27"/>
      <c r="B7" s="27"/>
      <c r="C7" s="27"/>
      <c r="D7" s="27"/>
      <c r="E7" s="27"/>
      <c r="F7" s="27" t="s">
        <v>754</v>
      </c>
      <c r="G7" s="27"/>
      <c r="H7" s="27"/>
      <c r="I7" s="27"/>
      <c r="J7" s="28">
        <f>'P9'!J7</f>
        <v>3038280</v>
      </c>
      <c r="Q7" s="299"/>
      <c r="R7" s="300"/>
    </row>
    <row r="8" spans="1:18" x14ac:dyDescent="0.25">
      <c r="A8" s="27"/>
      <c r="B8" s="27"/>
      <c r="C8" s="27"/>
      <c r="D8" s="27"/>
      <c r="E8" s="27"/>
      <c r="F8" s="27" t="s">
        <v>755</v>
      </c>
      <c r="G8" s="27"/>
      <c r="H8" s="27"/>
      <c r="I8" s="27"/>
      <c r="J8" s="28">
        <v>5715378.9000000004</v>
      </c>
      <c r="Q8" s="301" t="s">
        <v>743</v>
      </c>
      <c r="R8" s="302" t="s">
        <v>621</v>
      </c>
    </row>
    <row r="9" spans="1:18" ht="15.75" thickBot="1" x14ac:dyDescent="0.3">
      <c r="A9" s="27"/>
      <c r="B9" s="27"/>
      <c r="C9" s="27"/>
      <c r="D9" s="27"/>
      <c r="E9" s="27"/>
      <c r="F9" s="27" t="s">
        <v>756</v>
      </c>
      <c r="G9" s="27"/>
      <c r="H9" s="27"/>
      <c r="I9" s="27"/>
      <c r="J9" s="30"/>
      <c r="Q9" s="164" t="s">
        <v>813</v>
      </c>
      <c r="R9" s="186">
        <f>J170-R6</f>
        <v>2818341.0200033328</v>
      </c>
    </row>
    <row r="10" spans="1:18" ht="15.75" thickBot="1" x14ac:dyDescent="0.3">
      <c r="A10" s="27"/>
      <c r="B10" s="27"/>
      <c r="C10" s="27"/>
      <c r="D10" s="27"/>
      <c r="E10" s="27" t="s">
        <v>757</v>
      </c>
      <c r="F10" s="27"/>
      <c r="G10" s="27"/>
      <c r="H10" s="27"/>
      <c r="I10" s="27"/>
      <c r="J10" s="34">
        <f>ROUND(SUM(J4:J9),5)</f>
        <v>9930567.5</v>
      </c>
      <c r="Q10" s="303" t="s">
        <v>25</v>
      </c>
      <c r="R10" s="304">
        <f>SUM(R9:R9)</f>
        <v>2818341.0200033328</v>
      </c>
    </row>
    <row r="11" spans="1:18" ht="30" customHeight="1" thickBot="1" x14ac:dyDescent="0.3">
      <c r="A11" s="27"/>
      <c r="B11" s="27"/>
      <c r="C11" s="27"/>
      <c r="D11" s="27" t="s">
        <v>88</v>
      </c>
      <c r="E11" s="27"/>
      <c r="F11" s="27"/>
      <c r="G11" s="27"/>
      <c r="H11" s="27"/>
      <c r="I11" s="27"/>
      <c r="J11" s="33">
        <f>ROUND(J3+J10,5)</f>
        <v>9930567.5</v>
      </c>
    </row>
    <row r="12" spans="1:18" ht="30" customHeight="1" x14ac:dyDescent="0.25">
      <c r="A12" s="27"/>
      <c r="B12" s="27"/>
      <c r="C12" s="27" t="s">
        <v>147</v>
      </c>
      <c r="D12" s="27"/>
      <c r="E12" s="27"/>
      <c r="F12" s="27"/>
      <c r="G12" s="27"/>
      <c r="H12" s="27"/>
      <c r="I12" s="27"/>
      <c r="J12" s="28">
        <f>J11</f>
        <v>9930567.5</v>
      </c>
    </row>
    <row r="13" spans="1:18" ht="30" customHeight="1" x14ac:dyDescent="0.25">
      <c r="A13" s="27"/>
      <c r="B13" s="27"/>
      <c r="C13" s="27"/>
      <c r="D13" s="27" t="s">
        <v>148</v>
      </c>
      <c r="E13" s="27"/>
      <c r="F13" s="27"/>
      <c r="G13" s="27"/>
      <c r="H13" s="27"/>
      <c r="I13" s="27"/>
      <c r="J13" s="28"/>
    </row>
    <row r="14" spans="1:18" x14ac:dyDescent="0.25">
      <c r="A14" s="27"/>
      <c r="B14" s="27"/>
      <c r="C14" s="27"/>
      <c r="D14" s="27"/>
      <c r="E14" s="27" t="s">
        <v>696</v>
      </c>
      <c r="F14" s="27"/>
      <c r="G14" s="27"/>
      <c r="H14" s="27"/>
      <c r="I14" s="27"/>
      <c r="J14" s="28">
        <v>0</v>
      </c>
    </row>
    <row r="15" spans="1:18" x14ac:dyDescent="0.25">
      <c r="A15" s="27"/>
      <c r="B15" s="27"/>
      <c r="C15" s="27"/>
      <c r="D15" s="27"/>
      <c r="E15" s="27" t="s">
        <v>758</v>
      </c>
      <c r="F15" s="27"/>
      <c r="G15" s="27"/>
      <c r="H15" s="27"/>
      <c r="I15" s="27"/>
      <c r="J15" s="28"/>
    </row>
    <row r="16" spans="1:18" x14ac:dyDescent="0.25">
      <c r="A16" s="27"/>
      <c r="B16" s="27"/>
      <c r="C16" s="27"/>
      <c r="D16" s="27"/>
      <c r="E16" s="27"/>
      <c r="F16" s="27" t="s">
        <v>759</v>
      </c>
      <c r="G16" s="27"/>
      <c r="H16" s="27"/>
      <c r="I16" s="27"/>
      <c r="J16" s="28"/>
    </row>
    <row r="17" spans="1:10" x14ac:dyDescent="0.25">
      <c r="A17" s="27"/>
      <c r="B17" s="27"/>
      <c r="C17" s="27"/>
      <c r="D17" s="27"/>
      <c r="E17" s="27"/>
      <c r="F17" s="27"/>
      <c r="G17" s="27" t="s">
        <v>762</v>
      </c>
      <c r="H17" s="27"/>
      <c r="I17" s="27"/>
      <c r="J17" s="28"/>
    </row>
    <row r="18" spans="1:10" x14ac:dyDescent="0.25">
      <c r="A18" s="27"/>
      <c r="B18" s="27"/>
      <c r="C18" s="27"/>
      <c r="D18" s="27"/>
      <c r="E18" s="27"/>
      <c r="F18" s="27"/>
      <c r="G18" s="27"/>
      <c r="H18" s="27" t="s">
        <v>763</v>
      </c>
      <c r="I18" s="27"/>
      <c r="J18" s="28">
        <v>59938.04</v>
      </c>
    </row>
    <row r="19" spans="1:10" x14ac:dyDescent="0.25">
      <c r="A19" s="27"/>
      <c r="B19" s="27"/>
      <c r="C19" s="27"/>
      <c r="D19" s="27"/>
      <c r="E19" s="27"/>
      <c r="F19" s="27"/>
      <c r="G19" s="27"/>
      <c r="H19" s="27" t="s">
        <v>760</v>
      </c>
      <c r="I19" s="27"/>
      <c r="J19" s="28">
        <f>R3/12</f>
        <v>475791.63166666665</v>
      </c>
    </row>
    <row r="20" spans="1:10" x14ac:dyDescent="0.25">
      <c r="A20" s="27"/>
      <c r="B20" s="27"/>
      <c r="C20" s="27"/>
      <c r="D20" s="27"/>
      <c r="E20" s="27"/>
      <c r="F20" s="27"/>
      <c r="G20" s="27"/>
      <c r="H20" s="27" t="s">
        <v>767</v>
      </c>
      <c r="I20" s="27"/>
      <c r="J20" s="28">
        <f>125000</f>
        <v>125000</v>
      </c>
    </row>
    <row r="21" spans="1:10" ht="15.75" thickBot="1" x14ac:dyDescent="0.3">
      <c r="A21" s="27"/>
      <c r="B21" s="27"/>
      <c r="C21" s="27"/>
      <c r="D21" s="27"/>
      <c r="E21" s="27"/>
      <c r="F21" s="27"/>
      <c r="G21" s="27"/>
      <c r="H21" s="27" t="s">
        <v>764</v>
      </c>
      <c r="I21" s="27"/>
      <c r="J21" s="29">
        <v>4845</v>
      </c>
    </row>
    <row r="22" spans="1:10" x14ac:dyDescent="0.25">
      <c r="A22" s="27"/>
      <c r="B22" s="27"/>
      <c r="C22" s="27"/>
      <c r="D22" s="27"/>
      <c r="E22" s="27"/>
      <c r="F22" s="27"/>
      <c r="G22" s="27" t="s">
        <v>766</v>
      </c>
      <c r="H22" s="27"/>
      <c r="I22" s="27"/>
      <c r="J22" s="28">
        <f>ROUND(SUM(J17:J21),5)</f>
        <v>665574.67166999995</v>
      </c>
    </row>
    <row r="23" spans="1:10" x14ac:dyDescent="0.25">
      <c r="A23" s="27"/>
      <c r="B23" s="27"/>
      <c r="C23" s="27"/>
      <c r="D23" s="27"/>
      <c r="E23" s="27"/>
      <c r="F23" s="27"/>
      <c r="G23" s="27" t="s">
        <v>768</v>
      </c>
      <c r="H23" s="27"/>
      <c r="I23" s="27"/>
      <c r="J23" s="28"/>
    </row>
    <row r="24" spans="1:10" x14ac:dyDescent="0.25">
      <c r="A24" s="27"/>
      <c r="B24" s="27"/>
      <c r="C24" s="27"/>
      <c r="D24" s="27"/>
      <c r="E24" s="27"/>
      <c r="F24" s="27"/>
      <c r="G24" s="27"/>
      <c r="H24" s="27" t="s">
        <v>769</v>
      </c>
      <c r="I24" s="27"/>
      <c r="J24" s="28">
        <v>33815.919999999998</v>
      </c>
    </row>
    <row r="25" spans="1:10" ht="30" customHeight="1" thickBot="1" x14ac:dyDescent="0.3">
      <c r="A25" s="27"/>
      <c r="B25" s="27"/>
      <c r="C25" s="27"/>
      <c r="D25" s="27"/>
      <c r="E25" s="27"/>
      <c r="F25" s="27"/>
      <c r="G25" s="27"/>
      <c r="H25" s="27" t="s">
        <v>770</v>
      </c>
      <c r="I25" s="27"/>
      <c r="J25" s="29">
        <v>0</v>
      </c>
    </row>
    <row r="26" spans="1:10" x14ac:dyDescent="0.25">
      <c r="A26" s="27"/>
      <c r="B26" s="27"/>
      <c r="C26" s="27"/>
      <c r="D26" s="27"/>
      <c r="E26" s="27"/>
      <c r="F26" s="27"/>
      <c r="G26" s="27" t="s">
        <v>771</v>
      </c>
      <c r="H26" s="27"/>
      <c r="I26" s="27"/>
      <c r="J26" s="28">
        <f>ROUND(SUM(J23:J25),5)</f>
        <v>33815.919999999998</v>
      </c>
    </row>
    <row r="27" spans="1:10" x14ac:dyDescent="0.25">
      <c r="A27" s="27"/>
      <c r="B27" s="27"/>
      <c r="C27" s="27"/>
      <c r="D27" s="27"/>
      <c r="E27" s="27"/>
      <c r="F27" s="27"/>
      <c r="G27" s="27" t="s">
        <v>838</v>
      </c>
      <c r="H27" s="27"/>
      <c r="I27" s="27"/>
      <c r="J27" s="28">
        <v>153178.76999999999</v>
      </c>
    </row>
    <row r="28" spans="1:10" x14ac:dyDescent="0.25">
      <c r="A28" s="27"/>
      <c r="B28" s="27"/>
      <c r="C28" s="27"/>
      <c r="D28" s="27"/>
      <c r="E28" s="27"/>
      <c r="F28" s="27"/>
      <c r="G28" s="27" t="s">
        <v>772</v>
      </c>
      <c r="H28" s="27"/>
      <c r="I28" s="27"/>
      <c r="J28" s="28">
        <v>7830</v>
      </c>
    </row>
    <row r="29" spans="1:10" ht="30" customHeight="1" x14ac:dyDescent="0.25">
      <c r="A29" s="27"/>
      <c r="B29" s="27"/>
      <c r="C29" s="27"/>
      <c r="D29" s="27"/>
      <c r="E29" s="27"/>
      <c r="F29" s="27"/>
      <c r="G29" s="27" t="s">
        <v>848</v>
      </c>
      <c r="H29" s="27"/>
      <c r="I29" s="27"/>
      <c r="J29" s="28">
        <v>104130</v>
      </c>
    </row>
    <row r="30" spans="1:10" x14ac:dyDescent="0.25">
      <c r="A30" s="27"/>
      <c r="B30" s="27"/>
      <c r="C30" s="27"/>
      <c r="D30" s="27"/>
      <c r="E30" s="27"/>
      <c r="F30" s="27"/>
      <c r="G30" s="27" t="s">
        <v>855</v>
      </c>
      <c r="H30" s="27"/>
      <c r="I30" s="27"/>
      <c r="J30" s="28">
        <v>91142.1</v>
      </c>
    </row>
    <row r="31" spans="1:10" x14ac:dyDescent="0.25">
      <c r="A31" s="27"/>
      <c r="B31" s="27"/>
      <c r="C31" s="27"/>
      <c r="D31" s="27"/>
      <c r="E31" s="27"/>
      <c r="F31" s="27"/>
      <c r="G31" s="27" t="s">
        <v>773</v>
      </c>
      <c r="H31" s="27"/>
      <c r="I31" s="27"/>
      <c r="J31" s="28">
        <v>88600</v>
      </c>
    </row>
    <row r="32" spans="1:10" x14ac:dyDescent="0.25">
      <c r="A32" s="27"/>
      <c r="B32" s="27"/>
      <c r="C32" s="27"/>
      <c r="D32" s="27"/>
      <c r="E32" s="27"/>
      <c r="F32" s="27"/>
      <c r="G32" s="27" t="s">
        <v>428</v>
      </c>
      <c r="H32" s="27"/>
      <c r="I32" s="27"/>
      <c r="J32" s="28"/>
    </row>
    <row r="33" spans="1:10" x14ac:dyDescent="0.25">
      <c r="A33" s="27"/>
      <c r="B33" s="27"/>
      <c r="C33" s="27"/>
      <c r="D33" s="27"/>
      <c r="E33" s="27"/>
      <c r="F33" s="27"/>
      <c r="G33" s="27"/>
      <c r="H33" s="27" t="s">
        <v>429</v>
      </c>
      <c r="I33" s="27"/>
      <c r="J33" s="28"/>
    </row>
    <row r="34" spans="1:10" x14ac:dyDescent="0.25">
      <c r="A34" s="27"/>
      <c r="B34" s="27"/>
      <c r="C34" s="27"/>
      <c r="D34" s="27"/>
      <c r="E34" s="27"/>
      <c r="F34" s="27"/>
      <c r="G34" s="27"/>
      <c r="H34" s="27"/>
      <c r="I34" s="27" t="s">
        <v>430</v>
      </c>
      <c r="J34" s="28">
        <v>54004.17</v>
      </c>
    </row>
    <row r="35" spans="1:10" x14ac:dyDescent="0.25">
      <c r="A35" s="27"/>
      <c r="B35" s="27"/>
      <c r="C35" s="27"/>
      <c r="D35" s="27"/>
      <c r="E35" s="27"/>
      <c r="F35" s="27"/>
      <c r="G35" s="27"/>
      <c r="H35" s="27"/>
      <c r="I35" s="27" t="s">
        <v>431</v>
      </c>
      <c r="J35" s="28">
        <v>75500</v>
      </c>
    </row>
    <row r="36" spans="1:10" x14ac:dyDescent="0.25">
      <c r="A36" s="27"/>
      <c r="B36" s="27"/>
      <c r="C36" s="27"/>
      <c r="D36" s="27"/>
      <c r="E36" s="27"/>
      <c r="F36" s="27"/>
      <c r="G36" s="27"/>
      <c r="H36" s="27"/>
      <c r="I36" s="27" t="s">
        <v>432</v>
      </c>
      <c r="J36" s="28">
        <v>20100</v>
      </c>
    </row>
    <row r="37" spans="1:10" ht="15.75" thickBot="1" x14ac:dyDescent="0.3">
      <c r="A37" s="27"/>
      <c r="B37" s="27"/>
      <c r="C37" s="27"/>
      <c r="D37" s="27"/>
      <c r="E37" s="27"/>
      <c r="F37" s="27"/>
      <c r="G37" s="27"/>
      <c r="H37" s="27"/>
      <c r="I37" s="27" t="s">
        <v>433</v>
      </c>
      <c r="J37" s="29">
        <v>5025</v>
      </c>
    </row>
    <row r="38" spans="1:10" x14ac:dyDescent="0.25">
      <c r="A38" s="27"/>
      <c r="B38" s="27"/>
      <c r="C38" s="27"/>
      <c r="D38" s="27"/>
      <c r="E38" s="27"/>
      <c r="F38" s="27"/>
      <c r="G38" s="27"/>
      <c r="H38" s="27" t="s">
        <v>434</v>
      </c>
      <c r="I38" s="27"/>
      <c r="J38" s="28">
        <f>ROUND(SUM(J33:J37),5)</f>
        <v>154629.17000000001</v>
      </c>
    </row>
    <row r="39" spans="1:10" x14ac:dyDescent="0.25">
      <c r="A39" s="27"/>
      <c r="B39" s="27"/>
      <c r="C39" s="27"/>
      <c r="D39" s="27"/>
      <c r="E39" s="27"/>
      <c r="F39" s="27"/>
      <c r="G39" s="27"/>
      <c r="H39" s="27" t="s">
        <v>774</v>
      </c>
      <c r="I39" s="27"/>
      <c r="J39" s="28"/>
    </row>
    <row r="40" spans="1:10" ht="15.75" thickBot="1" x14ac:dyDescent="0.3">
      <c r="A40" s="27"/>
      <c r="B40" s="27"/>
      <c r="C40" s="27"/>
      <c r="D40" s="27"/>
      <c r="E40" s="27"/>
      <c r="F40" s="27"/>
      <c r="G40" s="27"/>
      <c r="H40" s="27"/>
      <c r="I40" s="27" t="s">
        <v>856</v>
      </c>
      <c r="J40" s="29">
        <v>105000</v>
      </c>
    </row>
    <row r="41" spans="1:10" ht="30" customHeight="1" x14ac:dyDescent="0.25">
      <c r="A41" s="27"/>
      <c r="B41" s="27"/>
      <c r="C41" s="27"/>
      <c r="D41" s="27"/>
      <c r="E41" s="27"/>
      <c r="F41" s="27"/>
      <c r="G41" s="27"/>
      <c r="H41" s="27" t="s">
        <v>859</v>
      </c>
      <c r="I41" s="27"/>
      <c r="J41" s="28">
        <f>ROUND(SUM(J39:J40),5)</f>
        <v>105000</v>
      </c>
    </row>
    <row r="42" spans="1:10" x14ac:dyDescent="0.25">
      <c r="A42" s="27"/>
      <c r="B42" s="27"/>
      <c r="C42" s="27"/>
      <c r="D42" s="27"/>
      <c r="E42" s="27"/>
      <c r="F42" s="27"/>
      <c r="G42" s="27"/>
      <c r="H42" s="27" t="s">
        <v>734</v>
      </c>
      <c r="I42" s="27"/>
      <c r="J42" s="28"/>
    </row>
    <row r="43" spans="1:10" x14ac:dyDescent="0.25">
      <c r="A43" s="27"/>
      <c r="B43" s="27"/>
      <c r="C43" s="27"/>
      <c r="D43" s="27"/>
      <c r="E43" s="27"/>
      <c r="F43" s="27"/>
      <c r="G43" s="27"/>
      <c r="H43" s="27"/>
      <c r="I43" s="27" t="s">
        <v>736</v>
      </c>
      <c r="J43" s="28">
        <v>193333.33</v>
      </c>
    </row>
    <row r="44" spans="1:10" ht="30" customHeight="1" x14ac:dyDescent="0.25">
      <c r="A44" s="27"/>
      <c r="B44" s="27"/>
      <c r="C44" s="27"/>
      <c r="D44" s="27"/>
      <c r="E44" s="27"/>
      <c r="F44" s="27"/>
      <c r="G44" s="27"/>
      <c r="H44" s="27"/>
      <c r="I44" s="27" t="s">
        <v>737</v>
      </c>
      <c r="J44" s="28">
        <v>15600</v>
      </c>
    </row>
    <row r="45" spans="1:10" ht="15.75" thickBot="1" x14ac:dyDescent="0.3">
      <c r="A45" s="27"/>
      <c r="B45" s="27"/>
      <c r="C45" s="27"/>
      <c r="D45" s="27"/>
      <c r="E45" s="27"/>
      <c r="F45" s="27"/>
      <c r="G45" s="27"/>
      <c r="H45" s="27"/>
      <c r="I45" s="27" t="s">
        <v>738</v>
      </c>
      <c r="J45" s="29">
        <v>3900</v>
      </c>
    </row>
    <row r="46" spans="1:10" x14ac:dyDescent="0.25">
      <c r="A46" s="27"/>
      <c r="B46" s="27"/>
      <c r="C46" s="27"/>
      <c r="D46" s="27"/>
      <c r="E46" s="27"/>
      <c r="F46" s="27"/>
      <c r="G46" s="27"/>
      <c r="H46" s="27" t="s">
        <v>739</v>
      </c>
      <c r="I46" s="27"/>
      <c r="J46" s="28">
        <f>ROUND(SUM(J42:J45),5)</f>
        <v>212833.33</v>
      </c>
    </row>
    <row r="47" spans="1:10" x14ac:dyDescent="0.25">
      <c r="A47" s="27"/>
      <c r="B47" s="27"/>
      <c r="C47" s="27"/>
      <c r="D47" s="27"/>
      <c r="E47" s="27"/>
      <c r="F47" s="27"/>
      <c r="G47" s="27"/>
      <c r="H47" s="27" t="s">
        <v>775</v>
      </c>
      <c r="I47" s="27"/>
      <c r="J47" s="28"/>
    </row>
    <row r="48" spans="1:10" x14ac:dyDescent="0.25">
      <c r="A48" s="27"/>
      <c r="B48" s="27"/>
      <c r="C48" s="27"/>
      <c r="D48" s="27"/>
      <c r="E48" s="27"/>
      <c r="F48" s="27"/>
      <c r="G48" s="27"/>
      <c r="H48" s="27"/>
      <c r="I48" s="27" t="s">
        <v>860</v>
      </c>
      <c r="J48" s="28">
        <v>37500</v>
      </c>
    </row>
    <row r="49" spans="1:10" ht="30" customHeight="1" x14ac:dyDescent="0.25">
      <c r="A49" s="27"/>
      <c r="B49" s="27"/>
      <c r="C49" s="27"/>
      <c r="D49" s="27"/>
      <c r="E49" s="27"/>
      <c r="F49" s="27"/>
      <c r="G49" s="27"/>
      <c r="H49" s="27"/>
      <c r="I49" s="27" t="s">
        <v>892</v>
      </c>
      <c r="J49" s="28">
        <v>190000</v>
      </c>
    </row>
    <row r="50" spans="1:10" x14ac:dyDescent="0.25">
      <c r="A50" s="27"/>
      <c r="B50" s="27"/>
      <c r="C50" s="27"/>
      <c r="D50" s="27"/>
      <c r="E50" s="27"/>
      <c r="F50" s="27"/>
      <c r="G50" s="27"/>
      <c r="H50" s="27"/>
      <c r="I50" s="27" t="s">
        <v>861</v>
      </c>
      <c r="J50" s="28">
        <v>22800</v>
      </c>
    </row>
    <row r="51" spans="1:10" ht="15.75" thickBot="1" x14ac:dyDescent="0.3">
      <c r="A51" s="27"/>
      <c r="B51" s="27"/>
      <c r="C51" s="27"/>
      <c r="D51" s="27"/>
      <c r="E51" s="27"/>
      <c r="F51" s="27"/>
      <c r="G51" s="27"/>
      <c r="H51" s="27"/>
      <c r="I51" s="27" t="s">
        <v>862</v>
      </c>
      <c r="J51" s="29">
        <v>5700</v>
      </c>
    </row>
    <row r="52" spans="1:10" x14ac:dyDescent="0.25">
      <c r="A52" s="27"/>
      <c r="B52" s="27"/>
      <c r="C52" s="27"/>
      <c r="D52" s="27"/>
      <c r="E52" s="27"/>
      <c r="F52" s="27"/>
      <c r="G52" s="27"/>
      <c r="H52" s="27" t="s">
        <v>863</v>
      </c>
      <c r="I52" s="27"/>
      <c r="J52" s="28">
        <f>ROUND(SUM(J47:J51),5)</f>
        <v>256000</v>
      </c>
    </row>
    <row r="53" spans="1:10" x14ac:dyDescent="0.25">
      <c r="A53" s="27"/>
      <c r="B53" s="27"/>
      <c r="C53" s="27"/>
      <c r="D53" s="27"/>
      <c r="E53" s="27"/>
      <c r="F53" s="27"/>
      <c r="G53" s="27"/>
      <c r="H53" s="27" t="s">
        <v>435</v>
      </c>
      <c r="I53" s="27"/>
      <c r="J53" s="28"/>
    </row>
    <row r="54" spans="1:10" x14ac:dyDescent="0.25">
      <c r="A54" s="27"/>
      <c r="B54" s="27"/>
      <c r="C54" s="27"/>
      <c r="D54" s="27"/>
      <c r="E54" s="27"/>
      <c r="F54" s="27"/>
      <c r="G54" s="27"/>
      <c r="H54" s="27"/>
      <c r="I54" s="27" t="s">
        <v>437</v>
      </c>
      <c r="J54" s="28">
        <v>444667</v>
      </c>
    </row>
    <row r="55" spans="1:10" ht="30" customHeight="1" x14ac:dyDescent="0.25">
      <c r="A55" s="27"/>
      <c r="B55" s="27"/>
      <c r="C55" s="27"/>
      <c r="D55" s="27"/>
      <c r="E55" s="27"/>
      <c r="F55" s="27"/>
      <c r="G55" s="27"/>
      <c r="H55" s="27"/>
      <c r="I55" s="27" t="s">
        <v>438</v>
      </c>
      <c r="J55" s="28">
        <v>35590</v>
      </c>
    </row>
    <row r="56" spans="1:10" ht="15.75" thickBot="1" x14ac:dyDescent="0.3">
      <c r="A56" s="27"/>
      <c r="B56" s="27"/>
      <c r="C56" s="27"/>
      <c r="D56" s="27"/>
      <c r="E56" s="27"/>
      <c r="F56" s="27"/>
      <c r="G56" s="27"/>
      <c r="H56" s="27"/>
      <c r="I56" s="27" t="s">
        <v>439</v>
      </c>
      <c r="J56" s="29">
        <v>8897.5</v>
      </c>
    </row>
    <row r="57" spans="1:10" x14ac:dyDescent="0.25">
      <c r="A57" s="27"/>
      <c r="B57" s="27"/>
      <c r="C57" s="27"/>
      <c r="D57" s="27"/>
      <c r="E57" s="27"/>
      <c r="F57" s="27"/>
      <c r="G57" s="27"/>
      <c r="H57" s="27" t="s">
        <v>440</v>
      </c>
      <c r="I57" s="27"/>
      <c r="J57" s="28">
        <f>ROUND(SUM(J53:J56),5)</f>
        <v>489154.5</v>
      </c>
    </row>
    <row r="58" spans="1:10" x14ac:dyDescent="0.25">
      <c r="A58" s="27"/>
      <c r="B58" s="27"/>
      <c r="C58" s="27"/>
      <c r="D58" s="27"/>
      <c r="E58" s="27"/>
      <c r="F58" s="27"/>
      <c r="G58" s="27"/>
      <c r="H58" s="27" t="s">
        <v>441</v>
      </c>
      <c r="I58" s="27"/>
      <c r="J58" s="28"/>
    </row>
    <row r="59" spans="1:10" x14ac:dyDescent="0.25">
      <c r="A59" s="27"/>
      <c r="B59" s="27"/>
      <c r="C59" s="27"/>
      <c r="D59" s="27"/>
      <c r="E59" s="27"/>
      <c r="F59" s="27"/>
      <c r="G59" s="27"/>
      <c r="H59" s="27"/>
      <c r="I59" s="27" t="s">
        <v>442</v>
      </c>
      <c r="J59" s="28">
        <v>240000</v>
      </c>
    </row>
    <row r="60" spans="1:10" ht="30" customHeight="1" x14ac:dyDescent="0.25">
      <c r="A60" s="27"/>
      <c r="B60" s="27"/>
      <c r="C60" s="27"/>
      <c r="D60" s="27"/>
      <c r="E60" s="27"/>
      <c r="F60" s="27"/>
      <c r="G60" s="27"/>
      <c r="H60" s="27"/>
      <c r="I60" s="27" t="s">
        <v>443</v>
      </c>
      <c r="J60" s="28">
        <v>230500</v>
      </c>
    </row>
    <row r="61" spans="1:10" x14ac:dyDescent="0.25">
      <c r="A61" s="27"/>
      <c r="B61" s="27"/>
      <c r="C61" s="27"/>
      <c r="D61" s="27"/>
      <c r="E61" s="27"/>
      <c r="F61" s="27"/>
      <c r="G61" s="27"/>
      <c r="H61" s="27"/>
      <c r="I61" s="27" t="s">
        <v>444</v>
      </c>
      <c r="J61" s="28">
        <v>18460</v>
      </c>
    </row>
    <row r="62" spans="1:10" ht="15.75" thickBot="1" x14ac:dyDescent="0.3">
      <c r="A62" s="27"/>
      <c r="B62" s="27"/>
      <c r="C62" s="27"/>
      <c r="D62" s="27"/>
      <c r="E62" s="27"/>
      <c r="F62" s="27"/>
      <c r="G62" s="27"/>
      <c r="H62" s="27"/>
      <c r="I62" s="27" t="s">
        <v>445</v>
      </c>
      <c r="J62" s="29">
        <v>4615</v>
      </c>
    </row>
    <row r="63" spans="1:10" x14ac:dyDescent="0.25">
      <c r="A63" s="27"/>
      <c r="B63" s="27"/>
      <c r="C63" s="27"/>
      <c r="D63" s="27"/>
      <c r="E63" s="27"/>
      <c r="F63" s="27"/>
      <c r="G63" s="27"/>
      <c r="H63" s="27" t="s">
        <v>446</v>
      </c>
      <c r="I63" s="27"/>
      <c r="J63" s="28">
        <f>ROUND(SUM(J58:J62),5)</f>
        <v>493575</v>
      </c>
    </row>
    <row r="64" spans="1:10" x14ac:dyDescent="0.25">
      <c r="A64" s="27"/>
      <c r="B64" s="27"/>
      <c r="C64" s="27"/>
      <c r="D64" s="27"/>
      <c r="E64" s="27"/>
      <c r="F64" s="27"/>
      <c r="G64" s="27"/>
      <c r="H64" s="27" t="s">
        <v>864</v>
      </c>
      <c r="I64" s="27"/>
      <c r="J64" s="28"/>
    </row>
    <row r="65" spans="1:10" x14ac:dyDescent="0.25">
      <c r="A65" s="27"/>
      <c r="B65" s="27"/>
      <c r="C65" s="27"/>
      <c r="D65" s="27"/>
      <c r="E65" s="27"/>
      <c r="F65" s="27"/>
      <c r="G65" s="27"/>
      <c r="H65" s="27"/>
      <c r="I65" s="27" t="s">
        <v>865</v>
      </c>
      <c r="J65" s="28">
        <v>5000</v>
      </c>
    </row>
    <row r="66" spans="1:10" ht="30" customHeight="1" x14ac:dyDescent="0.25">
      <c r="A66" s="27"/>
      <c r="B66" s="27"/>
      <c r="C66" s="27"/>
      <c r="D66" s="27"/>
      <c r="E66" s="27"/>
      <c r="F66" s="27"/>
      <c r="G66" s="27"/>
      <c r="H66" s="27"/>
      <c r="I66" s="27" t="s">
        <v>893</v>
      </c>
      <c r="J66" s="28">
        <v>1800</v>
      </c>
    </row>
    <row r="67" spans="1:10" x14ac:dyDescent="0.25">
      <c r="A67" s="27"/>
      <c r="B67" s="27"/>
      <c r="C67" s="27"/>
      <c r="D67" s="27"/>
      <c r="E67" s="27"/>
      <c r="F67" s="27"/>
      <c r="G67" s="27"/>
      <c r="H67" s="27"/>
      <c r="I67" s="27" t="s">
        <v>894</v>
      </c>
      <c r="J67" s="28">
        <v>450</v>
      </c>
    </row>
    <row r="68" spans="1:10" ht="15.75" thickBot="1" x14ac:dyDescent="0.3">
      <c r="A68" s="27"/>
      <c r="B68" s="27"/>
      <c r="C68" s="27"/>
      <c r="D68" s="27"/>
      <c r="E68" s="27"/>
      <c r="F68" s="27"/>
      <c r="G68" s="27"/>
      <c r="H68" s="27"/>
      <c r="I68" s="27" t="s">
        <v>895</v>
      </c>
      <c r="J68" s="29">
        <v>15000</v>
      </c>
    </row>
    <row r="69" spans="1:10" x14ac:dyDescent="0.25">
      <c r="A69" s="27"/>
      <c r="B69" s="27"/>
      <c r="C69" s="27"/>
      <c r="D69" s="27"/>
      <c r="E69" s="27"/>
      <c r="F69" s="27"/>
      <c r="G69" s="27"/>
      <c r="H69" s="27" t="s">
        <v>867</v>
      </c>
      <c r="I69" s="27"/>
      <c r="J69" s="28">
        <f>ROUND(SUM(J64:J68),5)</f>
        <v>22250</v>
      </c>
    </row>
    <row r="70" spans="1:10" x14ac:dyDescent="0.25">
      <c r="A70" s="27"/>
      <c r="B70" s="27"/>
      <c r="C70" s="27"/>
      <c r="D70" s="27"/>
      <c r="E70" s="27"/>
      <c r="F70" s="27"/>
      <c r="G70" s="27"/>
      <c r="H70" s="27" t="s">
        <v>447</v>
      </c>
      <c r="I70" s="27"/>
      <c r="J70" s="28"/>
    </row>
    <row r="71" spans="1:10" x14ac:dyDescent="0.25">
      <c r="A71" s="27"/>
      <c r="B71" s="27"/>
      <c r="C71" s="27"/>
      <c r="D71" s="27"/>
      <c r="E71" s="27"/>
      <c r="F71" s="27"/>
      <c r="G71" s="27"/>
      <c r="H71" s="27"/>
      <c r="I71" s="27" t="s">
        <v>448</v>
      </c>
      <c r="J71" s="28">
        <v>37500</v>
      </c>
    </row>
    <row r="72" spans="1:10" ht="30" customHeight="1" x14ac:dyDescent="0.25">
      <c r="A72" s="27"/>
      <c r="B72" s="27"/>
      <c r="C72" s="27"/>
      <c r="D72" s="27"/>
      <c r="E72" s="27"/>
      <c r="F72" s="27"/>
      <c r="G72" s="27"/>
      <c r="H72" s="27"/>
      <c r="I72" s="27" t="s">
        <v>449</v>
      </c>
      <c r="J72" s="28">
        <v>115000</v>
      </c>
    </row>
    <row r="73" spans="1:10" x14ac:dyDescent="0.25">
      <c r="A73" s="27"/>
      <c r="B73" s="27"/>
      <c r="C73" s="27"/>
      <c r="D73" s="27"/>
      <c r="E73" s="27"/>
      <c r="F73" s="27"/>
      <c r="G73" s="27"/>
      <c r="H73" s="27"/>
      <c r="I73" s="27" t="s">
        <v>450</v>
      </c>
      <c r="J73" s="28">
        <v>13800</v>
      </c>
    </row>
    <row r="74" spans="1:10" ht="15.75" thickBot="1" x14ac:dyDescent="0.3">
      <c r="A74" s="27"/>
      <c r="B74" s="27"/>
      <c r="C74" s="27"/>
      <c r="D74" s="27"/>
      <c r="E74" s="27"/>
      <c r="F74" s="27"/>
      <c r="G74" s="27"/>
      <c r="H74" s="27"/>
      <c r="I74" s="27" t="s">
        <v>451</v>
      </c>
      <c r="J74" s="29">
        <v>3450</v>
      </c>
    </row>
    <row r="75" spans="1:10" x14ac:dyDescent="0.25">
      <c r="A75" s="27"/>
      <c r="B75" s="27"/>
      <c r="C75" s="27"/>
      <c r="D75" s="27"/>
      <c r="E75" s="27"/>
      <c r="F75" s="27"/>
      <c r="G75" s="27"/>
      <c r="H75" s="27" t="s">
        <v>452</v>
      </c>
      <c r="I75" s="27"/>
      <c r="J75" s="28">
        <f>ROUND(SUM(J70:J74),5)</f>
        <v>169750</v>
      </c>
    </row>
    <row r="76" spans="1:10" x14ac:dyDescent="0.25">
      <c r="A76" s="27"/>
      <c r="B76" s="27"/>
      <c r="C76" s="27"/>
      <c r="D76" s="27"/>
      <c r="E76" s="27"/>
      <c r="F76" s="27"/>
      <c r="G76" s="27"/>
      <c r="H76" s="27" t="s">
        <v>453</v>
      </c>
      <c r="I76" s="27"/>
      <c r="J76" s="28"/>
    </row>
    <row r="77" spans="1:10" x14ac:dyDescent="0.25">
      <c r="A77" s="27"/>
      <c r="B77" s="27"/>
      <c r="C77" s="27"/>
      <c r="D77" s="27"/>
      <c r="E77" s="27"/>
      <c r="F77" s="27"/>
      <c r="G77" s="27"/>
      <c r="H77" s="27"/>
      <c r="I77" s="27" t="s">
        <v>454</v>
      </c>
      <c r="J77" s="28">
        <v>623000</v>
      </c>
    </row>
    <row r="78" spans="1:10" ht="30" customHeight="1" x14ac:dyDescent="0.25">
      <c r="A78" s="27"/>
      <c r="B78" s="27"/>
      <c r="C78" s="27"/>
      <c r="D78" s="27"/>
      <c r="E78" s="27"/>
      <c r="F78" s="27"/>
      <c r="G78" s="27"/>
      <c r="H78" s="27"/>
      <c r="I78" s="27" t="s">
        <v>455</v>
      </c>
      <c r="J78" s="28">
        <v>1342833</v>
      </c>
    </row>
    <row r="79" spans="1:10" x14ac:dyDescent="0.25">
      <c r="A79" s="27"/>
      <c r="B79" s="27"/>
      <c r="C79" s="27"/>
      <c r="D79" s="27"/>
      <c r="E79" s="27"/>
      <c r="F79" s="27"/>
      <c r="G79" s="27"/>
      <c r="H79" s="27"/>
      <c r="I79" s="27" t="s">
        <v>456</v>
      </c>
      <c r="J79" s="28">
        <v>168600</v>
      </c>
    </row>
    <row r="80" spans="1:10" ht="15.75" thickBot="1" x14ac:dyDescent="0.3">
      <c r="A80" s="27"/>
      <c r="B80" s="27"/>
      <c r="C80" s="27"/>
      <c r="D80" s="27"/>
      <c r="E80" s="27"/>
      <c r="F80" s="27"/>
      <c r="G80" s="27"/>
      <c r="H80" s="27"/>
      <c r="I80" s="27" t="s">
        <v>457</v>
      </c>
      <c r="J80" s="29">
        <v>42150</v>
      </c>
    </row>
    <row r="81" spans="1:10" x14ac:dyDescent="0.25">
      <c r="A81" s="27"/>
      <c r="B81" s="27"/>
      <c r="C81" s="27"/>
      <c r="D81" s="27"/>
      <c r="E81" s="27"/>
      <c r="F81" s="27"/>
      <c r="G81" s="27"/>
      <c r="H81" s="27" t="s">
        <v>458</v>
      </c>
      <c r="I81" s="27"/>
      <c r="J81" s="28">
        <f>ROUND(SUM(J76:J80),5)</f>
        <v>2176583</v>
      </c>
    </row>
    <row r="82" spans="1:10" x14ac:dyDescent="0.25">
      <c r="A82" s="27"/>
      <c r="B82" s="27"/>
      <c r="C82" s="27"/>
      <c r="D82" s="27"/>
      <c r="E82" s="27"/>
      <c r="F82" s="27"/>
      <c r="G82" s="27"/>
      <c r="H82" s="27" t="s">
        <v>817</v>
      </c>
      <c r="I82" s="27"/>
      <c r="J82" s="28"/>
    </row>
    <row r="83" spans="1:10" x14ac:dyDescent="0.25">
      <c r="A83" s="27"/>
      <c r="B83" s="27"/>
      <c r="C83" s="27"/>
      <c r="D83" s="27"/>
      <c r="E83" s="27"/>
      <c r="F83" s="27"/>
      <c r="G83" s="27"/>
      <c r="H83" s="27"/>
      <c r="I83" s="27" t="s">
        <v>868</v>
      </c>
      <c r="J83" s="28">
        <v>30000</v>
      </c>
    </row>
    <row r="84" spans="1:10" ht="30" customHeight="1" x14ac:dyDescent="0.25">
      <c r="A84" s="27"/>
      <c r="B84" s="27"/>
      <c r="C84" s="27"/>
      <c r="D84" s="27"/>
      <c r="E84" s="27"/>
      <c r="F84" s="27"/>
      <c r="G84" s="27"/>
      <c r="H84" s="27"/>
      <c r="I84" s="27" t="s">
        <v>869</v>
      </c>
      <c r="J84" s="28">
        <v>200000</v>
      </c>
    </row>
    <row r="85" spans="1:10" x14ac:dyDescent="0.25">
      <c r="A85" s="27"/>
      <c r="B85" s="27"/>
      <c r="C85" s="27"/>
      <c r="D85" s="27"/>
      <c r="E85" s="27"/>
      <c r="F85" s="27"/>
      <c r="G85" s="27"/>
      <c r="H85" s="27"/>
      <c r="I85" s="27" t="s">
        <v>870</v>
      </c>
      <c r="J85" s="28">
        <v>14400</v>
      </c>
    </row>
    <row r="86" spans="1:10" ht="15.75" thickBot="1" x14ac:dyDescent="0.3">
      <c r="A86" s="27"/>
      <c r="B86" s="27"/>
      <c r="C86" s="27"/>
      <c r="D86" s="27"/>
      <c r="E86" s="27"/>
      <c r="F86" s="27"/>
      <c r="G86" s="27"/>
      <c r="H86" s="27"/>
      <c r="I86" s="27" t="s">
        <v>871</v>
      </c>
      <c r="J86" s="29">
        <v>3600</v>
      </c>
    </row>
    <row r="87" spans="1:10" x14ac:dyDescent="0.25">
      <c r="A87" s="27"/>
      <c r="B87" s="27"/>
      <c r="C87" s="27"/>
      <c r="D87" s="27"/>
      <c r="E87" s="27"/>
      <c r="F87" s="27"/>
      <c r="G87" s="27"/>
      <c r="H87" s="27" t="s">
        <v>872</v>
      </c>
      <c r="I87" s="27"/>
      <c r="J87" s="28">
        <f>ROUND(SUM(J82:J86),5)</f>
        <v>248000</v>
      </c>
    </row>
    <row r="88" spans="1:10" x14ac:dyDescent="0.25">
      <c r="A88" s="27"/>
      <c r="B88" s="27"/>
      <c r="C88" s="27"/>
      <c r="D88" s="27"/>
      <c r="E88" s="27"/>
      <c r="F88" s="27"/>
      <c r="G88" s="27"/>
      <c r="H88" s="27" t="s">
        <v>698</v>
      </c>
      <c r="I88" s="27"/>
      <c r="J88" s="28"/>
    </row>
    <row r="89" spans="1:10" x14ac:dyDescent="0.25">
      <c r="A89" s="27"/>
      <c r="B89" s="27"/>
      <c r="C89" s="27"/>
      <c r="D89" s="27"/>
      <c r="E89" s="27"/>
      <c r="F89" s="27"/>
      <c r="G89" s="27"/>
      <c r="H89" s="27"/>
      <c r="I89" s="27" t="s">
        <v>699</v>
      </c>
      <c r="J89" s="28">
        <v>45000</v>
      </c>
    </row>
    <row r="90" spans="1:10" ht="30" customHeight="1" x14ac:dyDescent="0.25">
      <c r="A90" s="27"/>
      <c r="B90" s="27"/>
      <c r="C90" s="27"/>
      <c r="D90" s="27"/>
      <c r="E90" s="27"/>
      <c r="F90" s="27"/>
      <c r="G90" s="27"/>
      <c r="H90" s="27"/>
      <c r="I90" s="27" t="s">
        <v>700</v>
      </c>
      <c r="J90" s="28">
        <v>254676.33</v>
      </c>
    </row>
    <row r="91" spans="1:10" x14ac:dyDescent="0.25">
      <c r="A91" s="27"/>
      <c r="B91" s="27"/>
      <c r="C91" s="27"/>
      <c r="D91" s="27"/>
      <c r="E91" s="27"/>
      <c r="F91" s="27"/>
      <c r="G91" s="27"/>
      <c r="H91" s="27"/>
      <c r="I91" s="27" t="s">
        <v>701</v>
      </c>
      <c r="J91" s="28">
        <v>27420</v>
      </c>
    </row>
    <row r="92" spans="1:10" ht="15.75" thickBot="1" x14ac:dyDescent="0.3">
      <c r="A92" s="27"/>
      <c r="B92" s="27"/>
      <c r="C92" s="27"/>
      <c r="D92" s="27"/>
      <c r="E92" s="27"/>
      <c r="F92" s="27"/>
      <c r="G92" s="27"/>
      <c r="H92" s="27"/>
      <c r="I92" s="27" t="s">
        <v>702</v>
      </c>
      <c r="J92" s="29">
        <v>6855</v>
      </c>
    </row>
    <row r="93" spans="1:10" x14ac:dyDescent="0.25">
      <c r="A93" s="27"/>
      <c r="B93" s="27"/>
      <c r="C93" s="27"/>
      <c r="D93" s="27"/>
      <c r="E93" s="27"/>
      <c r="F93" s="27"/>
      <c r="G93" s="27"/>
      <c r="H93" s="27" t="s">
        <v>703</v>
      </c>
      <c r="I93" s="27"/>
      <c r="J93" s="28">
        <f>ROUND(SUM(J88:J92),5)</f>
        <v>333951.33</v>
      </c>
    </row>
    <row r="94" spans="1:10" x14ac:dyDescent="0.25">
      <c r="A94" s="27"/>
      <c r="B94" s="27"/>
      <c r="C94" s="27"/>
      <c r="D94" s="27"/>
      <c r="E94" s="27"/>
      <c r="F94" s="27"/>
      <c r="G94" s="27"/>
      <c r="H94" s="27" t="s">
        <v>459</v>
      </c>
      <c r="I94" s="27"/>
      <c r="J94" s="28"/>
    </row>
    <row r="95" spans="1:10" x14ac:dyDescent="0.25">
      <c r="A95" s="27"/>
      <c r="B95" s="27"/>
      <c r="C95" s="27"/>
      <c r="D95" s="27"/>
      <c r="E95" s="27"/>
      <c r="F95" s="27"/>
      <c r="G95" s="27"/>
      <c r="H95" s="27"/>
      <c r="I95" s="27" t="s">
        <v>461</v>
      </c>
      <c r="J95" s="28">
        <v>175000</v>
      </c>
    </row>
    <row r="96" spans="1:10" ht="30" customHeight="1" x14ac:dyDescent="0.25">
      <c r="A96" s="27"/>
      <c r="B96" s="27"/>
      <c r="C96" s="27"/>
      <c r="D96" s="27"/>
      <c r="E96" s="27"/>
      <c r="F96" s="27"/>
      <c r="G96" s="27"/>
      <c r="H96" s="27"/>
      <c r="I96" s="27" t="s">
        <v>462</v>
      </c>
      <c r="J96" s="28">
        <v>13800</v>
      </c>
    </row>
    <row r="97" spans="1:10" ht="15.75" thickBot="1" x14ac:dyDescent="0.3">
      <c r="A97" s="27"/>
      <c r="B97" s="27"/>
      <c r="C97" s="27"/>
      <c r="D97" s="27"/>
      <c r="E97" s="27"/>
      <c r="F97" s="27"/>
      <c r="G97" s="27"/>
      <c r="H97" s="27"/>
      <c r="I97" s="27" t="s">
        <v>463</v>
      </c>
      <c r="J97" s="29">
        <v>3450</v>
      </c>
    </row>
    <row r="98" spans="1:10" x14ac:dyDescent="0.25">
      <c r="A98" s="27"/>
      <c r="B98" s="27"/>
      <c r="C98" s="27"/>
      <c r="D98" s="27"/>
      <c r="E98" s="27"/>
      <c r="F98" s="27"/>
      <c r="G98" s="27"/>
      <c r="H98" s="27" t="s">
        <v>464</v>
      </c>
      <c r="I98" s="27"/>
      <c r="J98" s="28">
        <f>ROUND(SUM(J94:J97),5)</f>
        <v>192250</v>
      </c>
    </row>
    <row r="99" spans="1:10" x14ac:dyDescent="0.25">
      <c r="A99" s="27"/>
      <c r="B99" s="27"/>
      <c r="C99" s="27"/>
      <c r="D99" s="27"/>
      <c r="E99" s="27"/>
      <c r="F99" s="27"/>
      <c r="G99" s="27"/>
      <c r="H99" s="27" t="s">
        <v>776</v>
      </c>
      <c r="I99" s="27"/>
      <c r="J99" s="28"/>
    </row>
    <row r="100" spans="1:10" x14ac:dyDescent="0.25">
      <c r="A100" s="27"/>
      <c r="B100" s="27"/>
      <c r="C100" s="27"/>
      <c r="D100" s="27"/>
      <c r="E100" s="27"/>
      <c r="F100" s="27"/>
      <c r="G100" s="27"/>
      <c r="H100" s="27"/>
      <c r="I100" s="27" t="s">
        <v>873</v>
      </c>
      <c r="J100" s="28">
        <v>0</v>
      </c>
    </row>
    <row r="101" spans="1:10" ht="30" customHeight="1" x14ac:dyDescent="0.25">
      <c r="A101" s="27"/>
      <c r="B101" s="27"/>
      <c r="C101" s="27"/>
      <c r="D101" s="27"/>
      <c r="E101" s="27"/>
      <c r="F101" s="27"/>
      <c r="G101" s="27"/>
      <c r="H101" s="27"/>
      <c r="I101" s="27" t="s">
        <v>896</v>
      </c>
      <c r="J101" s="28">
        <v>110167</v>
      </c>
    </row>
    <row r="102" spans="1:10" x14ac:dyDescent="0.25">
      <c r="A102" s="27"/>
      <c r="B102" s="27"/>
      <c r="C102" s="27"/>
      <c r="D102" s="27"/>
      <c r="E102" s="27"/>
      <c r="F102" s="27"/>
      <c r="G102" s="27"/>
      <c r="H102" s="27"/>
      <c r="I102" s="27" t="s">
        <v>874</v>
      </c>
      <c r="J102" s="28">
        <v>12300</v>
      </c>
    </row>
    <row r="103" spans="1:10" ht="15.75" thickBot="1" x14ac:dyDescent="0.3">
      <c r="A103" s="27"/>
      <c r="B103" s="27"/>
      <c r="C103" s="27"/>
      <c r="D103" s="27"/>
      <c r="E103" s="27"/>
      <c r="F103" s="27"/>
      <c r="G103" s="27"/>
      <c r="H103" s="27"/>
      <c r="I103" s="27" t="s">
        <v>875</v>
      </c>
      <c r="J103" s="29">
        <v>3075</v>
      </c>
    </row>
    <row r="104" spans="1:10" x14ac:dyDescent="0.25">
      <c r="A104" s="27"/>
      <c r="B104" s="27"/>
      <c r="C104" s="27"/>
      <c r="D104" s="27"/>
      <c r="E104" s="27"/>
      <c r="F104" s="27"/>
      <c r="G104" s="27"/>
      <c r="H104" s="27" t="s">
        <v>876</v>
      </c>
      <c r="I104" s="27"/>
      <c r="J104" s="28">
        <f>ROUND(SUM(J99:J103),5)</f>
        <v>125542</v>
      </c>
    </row>
    <row r="105" spans="1:10" x14ac:dyDescent="0.25">
      <c r="A105" s="27"/>
      <c r="B105" s="27"/>
      <c r="C105" s="27"/>
      <c r="D105" s="27"/>
      <c r="E105" s="27"/>
      <c r="F105" s="27"/>
      <c r="G105" s="27"/>
      <c r="H105" s="27" t="s">
        <v>684</v>
      </c>
      <c r="I105" s="27"/>
      <c r="J105" s="28"/>
    </row>
    <row r="106" spans="1:10" x14ac:dyDescent="0.25">
      <c r="A106" s="27"/>
      <c r="B106" s="27"/>
      <c r="C106" s="27"/>
      <c r="D106" s="27"/>
      <c r="E106" s="27"/>
      <c r="F106" s="27"/>
      <c r="G106" s="27"/>
      <c r="H106" s="27"/>
      <c r="I106" s="27" t="s">
        <v>685</v>
      </c>
      <c r="J106" s="28">
        <v>31500</v>
      </c>
    </row>
    <row r="107" spans="1:10" ht="30" customHeight="1" x14ac:dyDescent="0.25">
      <c r="A107" s="27"/>
      <c r="B107" s="27"/>
      <c r="C107" s="27"/>
      <c r="D107" s="27"/>
      <c r="E107" s="27"/>
      <c r="F107" s="27"/>
      <c r="G107" s="27"/>
      <c r="H107" s="27"/>
      <c r="I107" s="27" t="s">
        <v>686</v>
      </c>
      <c r="J107" s="28">
        <v>87500</v>
      </c>
    </row>
    <row r="108" spans="1:10" x14ac:dyDescent="0.25">
      <c r="A108" s="27"/>
      <c r="B108" s="27"/>
      <c r="C108" s="27"/>
      <c r="D108" s="27"/>
      <c r="E108" s="27"/>
      <c r="F108" s="27"/>
      <c r="G108" s="27"/>
      <c r="H108" s="27"/>
      <c r="I108" s="27" t="s">
        <v>687</v>
      </c>
      <c r="J108" s="28">
        <v>8645</v>
      </c>
    </row>
    <row r="109" spans="1:10" ht="15.75" thickBot="1" x14ac:dyDescent="0.3">
      <c r="A109" s="27"/>
      <c r="B109" s="27"/>
      <c r="C109" s="27"/>
      <c r="D109" s="27"/>
      <c r="E109" s="27"/>
      <c r="F109" s="27"/>
      <c r="G109" s="27"/>
      <c r="H109" s="27"/>
      <c r="I109" s="27" t="s">
        <v>688</v>
      </c>
      <c r="J109" s="29">
        <v>2161.25</v>
      </c>
    </row>
    <row r="110" spans="1:10" x14ac:dyDescent="0.25">
      <c r="A110" s="27"/>
      <c r="B110" s="27"/>
      <c r="C110" s="27"/>
      <c r="D110" s="27"/>
      <c r="E110" s="27"/>
      <c r="F110" s="27"/>
      <c r="G110" s="27"/>
      <c r="H110" s="27" t="s">
        <v>689</v>
      </c>
      <c r="I110" s="27"/>
      <c r="J110" s="28">
        <f>ROUND(SUM(J105:J109),5)</f>
        <v>129806.25</v>
      </c>
    </row>
    <row r="111" spans="1:10" x14ac:dyDescent="0.25">
      <c r="A111" s="27"/>
      <c r="B111" s="27"/>
      <c r="C111" s="27"/>
      <c r="D111" s="27"/>
      <c r="E111" s="27"/>
      <c r="F111" s="27"/>
      <c r="G111" s="27"/>
      <c r="H111" s="27" t="s">
        <v>742</v>
      </c>
      <c r="I111" s="27"/>
      <c r="J111" s="28"/>
    </row>
    <row r="112" spans="1:10" x14ac:dyDescent="0.25">
      <c r="A112" s="27"/>
      <c r="B112" s="27"/>
      <c r="C112" s="27"/>
      <c r="D112" s="27"/>
      <c r="E112" s="27"/>
      <c r="F112" s="27"/>
      <c r="G112" s="27"/>
      <c r="H112" s="27"/>
      <c r="I112" s="27" t="s">
        <v>877</v>
      </c>
      <c r="J112" s="28">
        <v>32425</v>
      </c>
    </row>
    <row r="113" spans="1:10" ht="30" customHeight="1" x14ac:dyDescent="0.25">
      <c r="A113" s="27"/>
      <c r="B113" s="27"/>
      <c r="C113" s="27"/>
      <c r="D113" s="27"/>
      <c r="E113" s="27"/>
      <c r="F113" s="27"/>
      <c r="G113" s="27"/>
      <c r="H113" s="27"/>
      <c r="I113" s="27" t="s">
        <v>878</v>
      </c>
      <c r="J113" s="28">
        <v>177500</v>
      </c>
    </row>
    <row r="114" spans="1:10" x14ac:dyDescent="0.25">
      <c r="A114" s="27"/>
      <c r="B114" s="27"/>
      <c r="C114" s="27"/>
      <c r="D114" s="27"/>
      <c r="E114" s="27"/>
      <c r="F114" s="27"/>
      <c r="G114" s="27"/>
      <c r="H114" s="27"/>
      <c r="I114" s="27" t="s">
        <v>879</v>
      </c>
      <c r="J114" s="28">
        <v>17100</v>
      </c>
    </row>
    <row r="115" spans="1:10" ht="15.75" thickBot="1" x14ac:dyDescent="0.3">
      <c r="A115" s="27"/>
      <c r="B115" s="27"/>
      <c r="C115" s="27"/>
      <c r="D115" s="27"/>
      <c r="E115" s="27"/>
      <c r="F115" s="27"/>
      <c r="G115" s="27"/>
      <c r="H115" s="27"/>
      <c r="I115" s="27" t="s">
        <v>880</v>
      </c>
      <c r="J115" s="29">
        <v>4275</v>
      </c>
    </row>
    <row r="116" spans="1:10" x14ac:dyDescent="0.25">
      <c r="A116" s="27"/>
      <c r="B116" s="27"/>
      <c r="C116" s="27"/>
      <c r="D116" s="27"/>
      <c r="E116" s="27"/>
      <c r="F116" s="27"/>
      <c r="G116" s="27"/>
      <c r="H116" s="27" t="s">
        <v>881</v>
      </c>
      <c r="I116" s="27"/>
      <c r="J116" s="28">
        <f>ROUND(SUM(J111:J115),5)</f>
        <v>231300</v>
      </c>
    </row>
    <row r="117" spans="1:10" x14ac:dyDescent="0.25">
      <c r="A117" s="27"/>
      <c r="B117" s="27"/>
      <c r="C117" s="27"/>
      <c r="D117" s="27"/>
      <c r="E117" s="27"/>
      <c r="F117" s="27"/>
      <c r="G117" s="27"/>
      <c r="H117" s="27" t="s">
        <v>777</v>
      </c>
      <c r="I117" s="27"/>
      <c r="J117" s="28"/>
    </row>
    <row r="118" spans="1:10" x14ac:dyDescent="0.25">
      <c r="A118" s="27"/>
      <c r="B118" s="27"/>
      <c r="C118" s="27"/>
      <c r="D118" s="27"/>
      <c r="E118" s="27"/>
      <c r="F118" s="27"/>
      <c r="G118" s="27"/>
      <c r="H118" s="27"/>
      <c r="I118" s="27" t="s">
        <v>882</v>
      </c>
      <c r="J118" s="28">
        <v>43000</v>
      </c>
    </row>
    <row r="119" spans="1:10" ht="30" customHeight="1" x14ac:dyDescent="0.25">
      <c r="A119" s="27"/>
      <c r="B119" s="27"/>
      <c r="C119" s="27"/>
      <c r="D119" s="27"/>
      <c r="E119" s="27"/>
      <c r="F119" s="27"/>
      <c r="G119" s="27"/>
      <c r="H119" s="27"/>
      <c r="I119" s="27" t="s">
        <v>897</v>
      </c>
      <c r="J119" s="28">
        <v>100000</v>
      </c>
    </row>
    <row r="120" spans="1:10" x14ac:dyDescent="0.25">
      <c r="A120" s="27"/>
      <c r="B120" s="27"/>
      <c r="C120" s="27"/>
      <c r="D120" s="27"/>
      <c r="E120" s="27"/>
      <c r="F120" s="27"/>
      <c r="G120" s="27"/>
      <c r="H120" s="27"/>
      <c r="I120" s="27" t="s">
        <v>883</v>
      </c>
      <c r="J120" s="28">
        <v>12000</v>
      </c>
    </row>
    <row r="121" spans="1:10" ht="15.75" thickBot="1" x14ac:dyDescent="0.3">
      <c r="A121" s="27"/>
      <c r="B121" s="27"/>
      <c r="C121" s="27"/>
      <c r="D121" s="27"/>
      <c r="E121" s="27"/>
      <c r="F121" s="27"/>
      <c r="G121" s="27"/>
      <c r="H121" s="27"/>
      <c r="I121" s="27" t="s">
        <v>884</v>
      </c>
      <c r="J121" s="29">
        <v>3000</v>
      </c>
    </row>
    <row r="122" spans="1:10" x14ac:dyDescent="0.25">
      <c r="A122" s="27"/>
      <c r="B122" s="27"/>
      <c r="C122" s="27"/>
      <c r="D122" s="27"/>
      <c r="E122" s="27"/>
      <c r="F122" s="27"/>
      <c r="G122" s="27"/>
      <c r="H122" s="27" t="s">
        <v>885</v>
      </c>
      <c r="I122" s="27"/>
      <c r="J122" s="28">
        <f>ROUND(SUM(J117:J121),5)</f>
        <v>158000</v>
      </c>
    </row>
    <row r="123" spans="1:10" x14ac:dyDescent="0.25">
      <c r="A123" s="27"/>
      <c r="B123" s="27"/>
      <c r="C123" s="27"/>
      <c r="D123" s="27"/>
      <c r="E123" s="27"/>
      <c r="F123" s="27"/>
      <c r="G123" s="27"/>
      <c r="H123" s="27" t="s">
        <v>778</v>
      </c>
      <c r="I123" s="27"/>
      <c r="J123" s="28"/>
    </row>
    <row r="124" spans="1:10" x14ac:dyDescent="0.25">
      <c r="A124" s="27"/>
      <c r="B124" s="27"/>
      <c r="C124" s="27"/>
      <c r="D124" s="27"/>
      <c r="E124" s="27"/>
      <c r="F124" s="27"/>
      <c r="G124" s="27"/>
      <c r="H124" s="27"/>
      <c r="I124" s="27" t="s">
        <v>886</v>
      </c>
      <c r="J124" s="28">
        <v>20000</v>
      </c>
    </row>
    <row r="125" spans="1:10" ht="30" customHeight="1" x14ac:dyDescent="0.25">
      <c r="A125" s="27"/>
      <c r="B125" s="27"/>
      <c r="C125" s="27"/>
      <c r="D125" s="27"/>
      <c r="E125" s="27"/>
      <c r="F125" s="27"/>
      <c r="G125" s="27"/>
      <c r="H125" s="27"/>
      <c r="I125" s="27" t="s">
        <v>898</v>
      </c>
      <c r="J125" s="28">
        <v>181500</v>
      </c>
    </row>
    <row r="126" spans="1:10" x14ac:dyDescent="0.25">
      <c r="A126" s="27"/>
      <c r="B126" s="27"/>
      <c r="C126" s="27"/>
      <c r="D126" s="27"/>
      <c r="E126" s="27"/>
      <c r="F126" s="27"/>
      <c r="G126" s="27"/>
      <c r="H126" s="27"/>
      <c r="I126" s="27" t="s">
        <v>887</v>
      </c>
      <c r="J126" s="28">
        <v>7500</v>
      </c>
    </row>
    <row r="127" spans="1:10" ht="15.75" thickBot="1" x14ac:dyDescent="0.3">
      <c r="A127" s="27"/>
      <c r="B127" s="27"/>
      <c r="C127" s="27"/>
      <c r="D127" s="27"/>
      <c r="E127" s="27"/>
      <c r="F127" s="27"/>
      <c r="G127" s="27"/>
      <c r="H127" s="27"/>
      <c r="I127" s="27" t="s">
        <v>888</v>
      </c>
      <c r="J127" s="30">
        <v>1875</v>
      </c>
    </row>
    <row r="128" spans="1:10" ht="15.75" thickBot="1" x14ac:dyDescent="0.3">
      <c r="A128" s="27"/>
      <c r="B128" s="27"/>
      <c r="C128" s="27"/>
      <c r="D128" s="27"/>
      <c r="E128" s="27"/>
      <c r="F128" s="27"/>
      <c r="G128" s="27"/>
      <c r="H128" s="27" t="s">
        <v>889</v>
      </c>
      <c r="I128" s="27"/>
      <c r="J128" s="33">
        <f>ROUND(SUM(J123:J127),5)</f>
        <v>210875</v>
      </c>
    </row>
    <row r="129" spans="1:10" x14ac:dyDescent="0.25">
      <c r="A129" s="27"/>
      <c r="B129" s="27"/>
      <c r="C129" s="27"/>
      <c r="D129" s="27"/>
      <c r="E129" s="27"/>
      <c r="F129" s="27"/>
      <c r="G129" s="27" t="s">
        <v>471</v>
      </c>
      <c r="H129" s="27"/>
      <c r="I129" s="27"/>
      <c r="J129" s="28">
        <f>ROUND(J32+J38+J41+J46+J52+J57+J63+J69+J75+J81+J87+J93+J98+J104+J110+J116+J122+J128,5)</f>
        <v>5709499.5800000001</v>
      </c>
    </row>
    <row r="130" spans="1:10" x14ac:dyDescent="0.25">
      <c r="A130" s="27"/>
      <c r="B130" s="27"/>
      <c r="C130" s="27"/>
      <c r="D130" s="27"/>
      <c r="E130" s="27"/>
      <c r="F130" s="27"/>
      <c r="G130" s="27" t="s">
        <v>779</v>
      </c>
      <c r="H130" s="27"/>
      <c r="I130" s="27"/>
      <c r="J130" s="28">
        <v>140681.71</v>
      </c>
    </row>
    <row r="131" spans="1:10" ht="30" customHeight="1" x14ac:dyDescent="0.25">
      <c r="A131" s="27"/>
      <c r="B131" s="27"/>
      <c r="C131" s="27"/>
      <c r="D131" s="27"/>
      <c r="E131" s="27"/>
      <c r="F131" s="27"/>
      <c r="G131" s="27" t="s">
        <v>839</v>
      </c>
      <c r="H131" s="27"/>
      <c r="I131" s="27"/>
      <c r="J131" s="28">
        <v>0</v>
      </c>
    </row>
    <row r="132" spans="1:10" ht="30" customHeight="1" thickBot="1" x14ac:dyDescent="0.3">
      <c r="A132" s="27"/>
      <c r="B132" s="27"/>
      <c r="C132" s="27"/>
      <c r="D132" s="27"/>
      <c r="E132" s="27"/>
      <c r="F132" s="27"/>
      <c r="G132" s="27" t="s">
        <v>899</v>
      </c>
      <c r="H132" s="27"/>
      <c r="I132" s="27"/>
      <c r="J132" s="29">
        <v>0</v>
      </c>
    </row>
    <row r="133" spans="1:10" x14ac:dyDescent="0.25">
      <c r="A133" s="27"/>
      <c r="B133" s="27"/>
      <c r="C133" s="27"/>
      <c r="D133" s="27"/>
      <c r="E133" s="27"/>
      <c r="F133" s="27" t="s">
        <v>780</v>
      </c>
      <c r="G133" s="27"/>
      <c r="H133" s="27"/>
      <c r="I133" s="27"/>
      <c r="J133" s="28">
        <f>ROUND(J16+J22+SUM(J26:J31)+SUM(J129:J132),5)</f>
        <v>6994452.7516700001</v>
      </c>
    </row>
    <row r="134" spans="1:10" x14ac:dyDescent="0.25">
      <c r="A134" s="27"/>
      <c r="B134" s="27"/>
      <c r="C134" s="27"/>
      <c r="D134" s="27"/>
      <c r="E134" s="27"/>
      <c r="F134" s="27" t="s">
        <v>781</v>
      </c>
      <c r="G134" s="27"/>
      <c r="H134" s="27"/>
      <c r="I134" s="27"/>
      <c r="J134" s="28"/>
    </row>
    <row r="135" spans="1:10" x14ac:dyDescent="0.25">
      <c r="A135" s="27"/>
      <c r="B135" s="27"/>
      <c r="C135" s="27"/>
      <c r="D135" s="27"/>
      <c r="E135" s="27"/>
      <c r="F135" s="27"/>
      <c r="G135" s="27" t="s">
        <v>718</v>
      </c>
      <c r="H135" s="27"/>
      <c r="I135" s="27"/>
      <c r="J135" s="28"/>
    </row>
    <row r="136" spans="1:10" ht="30" customHeight="1" x14ac:dyDescent="0.25">
      <c r="A136" s="27"/>
      <c r="B136" s="27"/>
      <c r="C136" s="27"/>
      <c r="D136" s="27"/>
      <c r="E136" s="27"/>
      <c r="F136" s="27"/>
      <c r="G136" s="27"/>
      <c r="H136" s="27" t="s">
        <v>782</v>
      </c>
      <c r="I136" s="27"/>
      <c r="J136" s="28">
        <v>0</v>
      </c>
    </row>
    <row r="137" spans="1:10" ht="15.75" thickBot="1" x14ac:dyDescent="0.3">
      <c r="A137" s="27"/>
      <c r="B137" s="27"/>
      <c r="C137" s="27"/>
      <c r="D137" s="27"/>
      <c r="E137" s="27"/>
      <c r="F137" s="27"/>
      <c r="G137" s="27"/>
      <c r="H137" s="27" t="s">
        <v>783</v>
      </c>
      <c r="I137" s="27"/>
      <c r="J137" s="29">
        <v>1571.36</v>
      </c>
    </row>
    <row r="138" spans="1:10" x14ac:dyDescent="0.25">
      <c r="A138" s="27"/>
      <c r="B138" s="27"/>
      <c r="C138" s="27"/>
      <c r="D138" s="27"/>
      <c r="E138" s="27"/>
      <c r="F138" s="27"/>
      <c r="G138" s="27" t="s">
        <v>784</v>
      </c>
      <c r="H138" s="27"/>
      <c r="I138" s="27"/>
      <c r="J138" s="28">
        <f>ROUND(SUM(J135:J137),5)</f>
        <v>1571.36</v>
      </c>
    </row>
    <row r="139" spans="1:10" x14ac:dyDescent="0.25">
      <c r="A139" s="27"/>
      <c r="B139" s="27"/>
      <c r="C139" s="27"/>
      <c r="D139" s="27"/>
      <c r="E139" s="27"/>
      <c r="F139" s="27"/>
      <c r="G139" s="27" t="s">
        <v>785</v>
      </c>
      <c r="H139" s="27"/>
      <c r="I139" s="27"/>
      <c r="J139" s="28">
        <v>224489.8</v>
      </c>
    </row>
    <row r="140" spans="1:10" x14ac:dyDescent="0.25">
      <c r="A140" s="27"/>
      <c r="B140" s="27"/>
      <c r="C140" s="27"/>
      <c r="D140" s="27"/>
      <c r="E140" s="27"/>
      <c r="F140" s="27"/>
      <c r="G140" s="27" t="s">
        <v>786</v>
      </c>
      <c r="H140" s="27"/>
      <c r="I140" s="27"/>
      <c r="J140" s="28">
        <v>-12769.83</v>
      </c>
    </row>
    <row r="141" spans="1:10" ht="30" customHeight="1" x14ac:dyDescent="0.25">
      <c r="A141" s="27"/>
      <c r="B141" s="27"/>
      <c r="C141" s="27"/>
      <c r="D141" s="27"/>
      <c r="E141" s="27"/>
      <c r="F141" s="27"/>
      <c r="G141" s="27" t="s">
        <v>787</v>
      </c>
      <c r="H141" s="27"/>
      <c r="I141" s="27"/>
      <c r="J141" s="28">
        <v>283472.7</v>
      </c>
    </row>
    <row r="142" spans="1:10" x14ac:dyDescent="0.25">
      <c r="A142" s="27"/>
      <c r="B142" s="27"/>
      <c r="C142" s="27"/>
      <c r="D142" s="27"/>
      <c r="E142" s="27"/>
      <c r="F142" s="27"/>
      <c r="G142" s="27" t="s">
        <v>788</v>
      </c>
      <c r="H142" s="27"/>
      <c r="I142" s="27"/>
      <c r="J142" s="28">
        <v>3655</v>
      </c>
    </row>
    <row r="143" spans="1:10" x14ac:dyDescent="0.25">
      <c r="A143" s="27"/>
      <c r="B143" s="27"/>
      <c r="C143" s="27"/>
      <c r="D143" s="27"/>
      <c r="E143" s="27"/>
      <c r="F143" s="27"/>
      <c r="G143" s="27" t="s">
        <v>789</v>
      </c>
      <c r="H143" s="27"/>
      <c r="I143" s="27"/>
      <c r="J143" s="28">
        <v>0</v>
      </c>
    </row>
    <row r="144" spans="1:10" ht="15.75" thickBot="1" x14ac:dyDescent="0.3">
      <c r="A144" s="27"/>
      <c r="B144" s="27"/>
      <c r="C144" s="27"/>
      <c r="D144" s="27"/>
      <c r="E144" s="27"/>
      <c r="F144" s="27"/>
      <c r="G144" s="27" t="s">
        <v>900</v>
      </c>
      <c r="H144" s="27"/>
      <c r="I144" s="27"/>
      <c r="J144" s="29">
        <v>61720.5</v>
      </c>
    </row>
    <row r="145" spans="1:12" x14ac:dyDescent="0.25">
      <c r="A145" s="27"/>
      <c r="B145" s="27"/>
      <c r="C145" s="27"/>
      <c r="D145" s="27"/>
      <c r="E145" s="27"/>
      <c r="F145" s="27" t="s">
        <v>790</v>
      </c>
      <c r="G145" s="27"/>
      <c r="H145" s="27"/>
      <c r="I145" s="27"/>
      <c r="J145" s="28">
        <f>ROUND(J134+SUM(J138:J144),5)</f>
        <v>562139.53</v>
      </c>
    </row>
    <row r="146" spans="1:12" x14ac:dyDescent="0.25">
      <c r="A146" s="27"/>
      <c r="B146" s="27"/>
      <c r="C146" s="27"/>
      <c r="D146" s="27"/>
      <c r="E146" s="27"/>
      <c r="F146" s="27" t="s">
        <v>849</v>
      </c>
      <c r="G146" s="27"/>
      <c r="H146" s="27"/>
      <c r="I146" s="27"/>
      <c r="J146" s="28"/>
    </row>
    <row r="147" spans="1:12" ht="15.75" thickBot="1" x14ac:dyDescent="0.3">
      <c r="A147" s="27"/>
      <c r="B147" s="27"/>
      <c r="C147" s="27"/>
      <c r="D147" s="27"/>
      <c r="E147" s="27"/>
      <c r="F147" s="27"/>
      <c r="G147" s="27" t="s">
        <v>901</v>
      </c>
      <c r="H147" s="27"/>
      <c r="I147" s="27"/>
      <c r="J147" s="29">
        <v>226528.8</v>
      </c>
      <c r="L147" s="23">
        <f>J147/1000/147.23-'P8'!K126</f>
        <v>-0.80353205543453732</v>
      </c>
    </row>
    <row r="148" spans="1:12" ht="30" customHeight="1" x14ac:dyDescent="0.25">
      <c r="A148" s="27"/>
      <c r="B148" s="27"/>
      <c r="C148" s="27"/>
      <c r="D148" s="27"/>
      <c r="E148" s="27"/>
      <c r="F148" s="27" t="s">
        <v>851</v>
      </c>
      <c r="G148" s="27"/>
      <c r="H148" s="27"/>
      <c r="I148" s="27"/>
      <c r="J148" s="28">
        <f>ROUND(SUM(J146:J147),5)</f>
        <v>226528.8</v>
      </c>
    </row>
    <row r="149" spans="1:12" x14ac:dyDescent="0.25">
      <c r="A149" s="27"/>
      <c r="B149" s="27"/>
      <c r="C149" s="27"/>
      <c r="D149" s="27"/>
      <c r="E149" s="27"/>
      <c r="F149" s="27" t="s">
        <v>797</v>
      </c>
      <c r="G149" s="27"/>
      <c r="H149" s="27"/>
      <c r="I149" s="27"/>
      <c r="J149" s="28"/>
    </row>
    <row r="150" spans="1:12" x14ac:dyDescent="0.25">
      <c r="A150" s="27"/>
      <c r="B150" s="27"/>
      <c r="C150" s="27"/>
      <c r="D150" s="27"/>
      <c r="E150" s="27"/>
      <c r="F150" s="27"/>
      <c r="G150" s="27" t="s">
        <v>820</v>
      </c>
      <c r="H150" s="27"/>
      <c r="I150" s="27"/>
      <c r="J150" s="28">
        <v>0</v>
      </c>
    </row>
    <row r="151" spans="1:12" ht="30" customHeight="1" x14ac:dyDescent="0.25">
      <c r="A151" s="27"/>
      <c r="B151" s="27"/>
      <c r="C151" s="27"/>
      <c r="D151" s="27"/>
      <c r="E151" s="27"/>
      <c r="F151" s="27"/>
      <c r="G151" s="27" t="s">
        <v>840</v>
      </c>
      <c r="H151" s="27"/>
      <c r="I151" s="27"/>
      <c r="J151" s="28"/>
    </row>
    <row r="152" spans="1:12" ht="15.75" thickBot="1" x14ac:dyDescent="0.3">
      <c r="A152" s="27"/>
      <c r="B152" s="27"/>
      <c r="C152" s="27"/>
      <c r="D152" s="27"/>
      <c r="E152" s="27"/>
      <c r="F152" s="27"/>
      <c r="G152" s="27"/>
      <c r="H152" s="27" t="s">
        <v>841</v>
      </c>
      <c r="I152" s="27"/>
      <c r="J152" s="29">
        <v>90753</v>
      </c>
    </row>
    <row r="153" spans="1:12" x14ac:dyDescent="0.25">
      <c r="A153" s="27"/>
      <c r="B153" s="27"/>
      <c r="C153" s="27"/>
      <c r="D153" s="27"/>
      <c r="E153" s="27"/>
      <c r="F153" s="27"/>
      <c r="G153" s="27" t="s">
        <v>842</v>
      </c>
      <c r="H153" s="27"/>
      <c r="I153" s="27"/>
      <c r="J153" s="28">
        <f>ROUND(SUM(J151:J152),5)</f>
        <v>90753</v>
      </c>
    </row>
    <row r="154" spans="1:12" x14ac:dyDescent="0.25">
      <c r="A154" s="27"/>
      <c r="B154" s="27"/>
      <c r="C154" s="27"/>
      <c r="D154" s="27"/>
      <c r="E154" s="27"/>
      <c r="F154" s="27"/>
      <c r="G154" s="27" t="s">
        <v>798</v>
      </c>
      <c r="H154" s="27"/>
      <c r="I154" s="27"/>
      <c r="J154" s="333">
        <v>450</v>
      </c>
    </row>
    <row r="155" spans="1:12" ht="15.75" thickBot="1" x14ac:dyDescent="0.3">
      <c r="A155" s="27"/>
      <c r="B155" s="27"/>
      <c r="C155" s="27"/>
      <c r="D155" s="27"/>
      <c r="E155" s="27"/>
      <c r="F155" s="27"/>
      <c r="G155" s="27" t="s">
        <v>799</v>
      </c>
      <c r="H155" s="27"/>
      <c r="I155" s="27"/>
      <c r="J155" s="29">
        <v>5055</v>
      </c>
    </row>
    <row r="156" spans="1:12" ht="30" customHeight="1" x14ac:dyDescent="0.25">
      <c r="A156" s="27"/>
      <c r="B156" s="27"/>
      <c r="C156" s="27"/>
      <c r="D156" s="27"/>
      <c r="E156" s="27"/>
      <c r="F156" s="27" t="s">
        <v>800</v>
      </c>
      <c r="G156" s="27"/>
      <c r="H156" s="27"/>
      <c r="I156" s="27"/>
      <c r="J156" s="28">
        <f>ROUND(SUM(J149:J150)+SUM(J153:J155),5)</f>
        <v>96258</v>
      </c>
    </row>
    <row r="157" spans="1:12" x14ac:dyDescent="0.25">
      <c r="A157" s="27"/>
      <c r="B157" s="27"/>
      <c r="C157" s="27"/>
      <c r="D157" s="27"/>
      <c r="E157" s="27"/>
      <c r="F157" s="27" t="s">
        <v>801</v>
      </c>
      <c r="G157" s="27"/>
      <c r="H157" s="27"/>
      <c r="I157" s="27"/>
      <c r="J157" s="28"/>
    </row>
    <row r="158" spans="1:12" x14ac:dyDescent="0.25">
      <c r="A158" s="27"/>
      <c r="B158" s="27"/>
      <c r="C158" s="27"/>
      <c r="D158" s="27"/>
      <c r="E158" s="27"/>
      <c r="F158" s="27"/>
      <c r="G158" s="27" t="s">
        <v>802</v>
      </c>
      <c r="H158" s="27"/>
      <c r="I158" s="27"/>
      <c r="J158" s="333">
        <v>244084</v>
      </c>
    </row>
    <row r="159" spans="1:12" ht="30" customHeight="1" x14ac:dyDescent="0.25">
      <c r="A159" s="27"/>
      <c r="B159" s="27"/>
      <c r="C159" s="27"/>
      <c r="D159" s="27"/>
      <c r="E159" s="27"/>
      <c r="F159" s="27"/>
      <c r="G159" s="27" t="s">
        <v>803</v>
      </c>
      <c r="H159" s="27"/>
      <c r="I159" s="27"/>
      <c r="J159" s="28">
        <v>90411.8</v>
      </c>
    </row>
    <row r="160" spans="1:12" x14ac:dyDescent="0.25">
      <c r="A160" s="27"/>
      <c r="B160" s="27"/>
      <c r="C160" s="27"/>
      <c r="D160" s="27"/>
      <c r="E160" s="27"/>
      <c r="F160" s="27"/>
      <c r="G160" s="27" t="s">
        <v>804</v>
      </c>
      <c r="H160" s="27"/>
      <c r="I160" s="27"/>
      <c r="J160" s="28">
        <v>125000</v>
      </c>
    </row>
    <row r="161" spans="1:10" x14ac:dyDescent="0.25">
      <c r="A161" s="27"/>
      <c r="B161" s="27"/>
      <c r="C161" s="27"/>
      <c r="D161" s="27"/>
      <c r="E161" s="27"/>
      <c r="F161" s="27"/>
      <c r="G161" s="27" t="s">
        <v>805</v>
      </c>
      <c r="H161" s="27"/>
      <c r="I161" s="27"/>
      <c r="J161" s="333">
        <v>17238</v>
      </c>
    </row>
    <row r="162" spans="1:10" ht="15.75" thickBot="1" x14ac:dyDescent="0.3">
      <c r="A162" s="27"/>
      <c r="B162" s="27"/>
      <c r="C162" s="27"/>
      <c r="D162" s="27"/>
      <c r="E162" s="27"/>
      <c r="F162" s="27"/>
      <c r="G162" s="27" t="s">
        <v>902</v>
      </c>
      <c r="H162" s="27"/>
      <c r="I162" s="27"/>
      <c r="J162" s="30">
        <v>177275.47</v>
      </c>
    </row>
    <row r="163" spans="1:10" ht="15.75" thickBot="1" x14ac:dyDescent="0.3">
      <c r="A163" s="27"/>
      <c r="B163" s="27"/>
      <c r="C163" s="27"/>
      <c r="D163" s="27"/>
      <c r="E163" s="27"/>
      <c r="F163" s="27" t="s">
        <v>806</v>
      </c>
      <c r="G163" s="27"/>
      <c r="H163" s="27"/>
      <c r="I163" s="27"/>
      <c r="J163" s="33">
        <f>ROUND(SUM(J157:J162),5)</f>
        <v>654009.27</v>
      </c>
    </row>
    <row r="164" spans="1:10" x14ac:dyDescent="0.25">
      <c r="A164" s="27"/>
      <c r="B164" s="27"/>
      <c r="C164" s="27"/>
      <c r="D164" s="27"/>
      <c r="E164" s="27" t="s">
        <v>807</v>
      </c>
      <c r="F164" s="27"/>
      <c r="G164" s="27"/>
      <c r="H164" s="27"/>
      <c r="I164" s="27"/>
      <c r="J164" s="28">
        <f>ROUND(J15+J133+J145+J148+J156+J163,5)</f>
        <v>8533388.3516700007</v>
      </c>
    </row>
    <row r="165" spans="1:10" x14ac:dyDescent="0.25">
      <c r="A165" s="27"/>
      <c r="B165" s="27"/>
      <c r="C165" s="27"/>
      <c r="D165" s="27"/>
      <c r="E165" s="27" t="s">
        <v>808</v>
      </c>
      <c r="F165" s="27"/>
      <c r="G165" s="27"/>
      <c r="H165" s="27"/>
      <c r="I165" s="27"/>
      <c r="J165" s="28"/>
    </row>
    <row r="166" spans="1:10" ht="30" customHeight="1" x14ac:dyDescent="0.25">
      <c r="A166" s="27"/>
      <c r="B166" s="27"/>
      <c r="C166" s="27"/>
      <c r="D166" s="27"/>
      <c r="E166" s="27"/>
      <c r="F166" s="27" t="s">
        <v>809</v>
      </c>
      <c r="G166" s="27"/>
      <c r="H166" s="27"/>
      <c r="I166" s="27"/>
      <c r="J166" s="28">
        <v>50000</v>
      </c>
    </row>
    <row r="167" spans="1:10" ht="30" customHeight="1" x14ac:dyDescent="0.25">
      <c r="A167" s="27"/>
      <c r="B167" s="27"/>
      <c r="C167" s="27"/>
      <c r="D167" s="27"/>
      <c r="E167" s="27"/>
      <c r="F167" s="27" t="s">
        <v>810</v>
      </c>
      <c r="G167" s="27"/>
      <c r="H167" s="27"/>
      <c r="I167" s="27"/>
      <c r="J167" s="333">
        <v>545243.88</v>
      </c>
    </row>
    <row r="168" spans="1:10" ht="15.75" thickBot="1" x14ac:dyDescent="0.3">
      <c r="A168" s="27"/>
      <c r="B168" s="27"/>
      <c r="C168" s="27"/>
      <c r="D168" s="27"/>
      <c r="E168" s="27"/>
      <c r="F168" s="27" t="s">
        <v>890</v>
      </c>
      <c r="G168" s="27"/>
      <c r="H168" s="27"/>
      <c r="I168" s="27"/>
      <c r="J168" s="30">
        <v>0</v>
      </c>
    </row>
    <row r="169" spans="1:10" ht="15.75" thickBot="1" x14ac:dyDescent="0.3">
      <c r="A169" s="27"/>
      <c r="B169" s="27"/>
      <c r="C169" s="27"/>
      <c r="D169" s="27"/>
      <c r="E169" s="27" t="s">
        <v>811</v>
      </c>
      <c r="F169" s="27"/>
      <c r="G169" s="27"/>
      <c r="H169" s="27"/>
      <c r="I169" s="27"/>
      <c r="J169" s="34">
        <f>ROUND(SUM(J165:J168),5)</f>
        <v>595243.88</v>
      </c>
    </row>
    <row r="170" spans="1:10" ht="15.75" thickBot="1" x14ac:dyDescent="0.3">
      <c r="A170" s="27"/>
      <c r="B170" s="27"/>
      <c r="C170" s="27"/>
      <c r="D170" s="27" t="s">
        <v>357</v>
      </c>
      <c r="E170" s="27"/>
      <c r="F170" s="27"/>
      <c r="G170" s="27"/>
      <c r="H170" s="27"/>
      <c r="I170" s="27"/>
      <c r="J170" s="34">
        <f>ROUND(SUM(J13:J14)+J164+J169,5)</f>
        <v>9128632.2316699997</v>
      </c>
    </row>
    <row r="171" spans="1:10" ht="15.75" thickBot="1" x14ac:dyDescent="0.3">
      <c r="A171" s="27"/>
      <c r="B171" s="27" t="s">
        <v>358</v>
      </c>
      <c r="C171" s="27"/>
      <c r="D171" s="27"/>
      <c r="E171" s="27"/>
      <c r="F171" s="27"/>
      <c r="G171" s="27"/>
      <c r="H171" s="27"/>
      <c r="I171" s="27"/>
      <c r="J171" s="34">
        <f>ROUND(J1+J12-J170,5)</f>
        <v>844594.26832999999</v>
      </c>
    </row>
    <row r="172" spans="1:10" ht="30" customHeight="1" thickBot="1" x14ac:dyDescent="0.3">
      <c r="A172" s="27" t="s">
        <v>372</v>
      </c>
      <c r="B172" s="27"/>
      <c r="C172" s="27"/>
      <c r="D172" s="27"/>
      <c r="E172" s="27"/>
      <c r="F172" s="27"/>
      <c r="G172" s="27"/>
      <c r="H172" s="27"/>
      <c r="I172" s="27"/>
      <c r="J172" s="35">
        <f>J171</f>
        <v>844594.26832999999</v>
      </c>
    </row>
    <row r="173" spans="1:10" ht="30" customHeight="1" thickTop="1" x14ac:dyDescent="0.25"/>
    <row r="174" spans="1:10" s="104" customFormat="1" ht="30" customHeight="1" x14ac:dyDescent="0.25">
      <c r="A174" s="50"/>
      <c r="B174" s="50"/>
      <c r="C174" s="50"/>
      <c r="D174" s="50"/>
      <c r="E174" s="50"/>
      <c r="F174" s="50"/>
      <c r="G174" s="50"/>
      <c r="H174" s="50"/>
      <c r="I174" s="50"/>
      <c r="J174" s="26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theme="5" tint="0.39997558519241921"/>
  </sheetPr>
  <dimension ref="A1:R171"/>
  <sheetViews>
    <sheetView workbookViewId="0">
      <pane xSplit="9" ySplit="1" topLeftCell="J2" activePane="bottomRight" state="frozenSplit"/>
      <selection pane="topRight" activeCell="J1" sqref="J1"/>
      <selection pane="bottomLeft" activeCell="A2" sqref="A2"/>
      <selection pane="bottomRight" activeCell="L14" sqref="L14"/>
    </sheetView>
  </sheetViews>
  <sheetFormatPr defaultRowHeight="15" x14ac:dyDescent="0.25"/>
  <cols>
    <col min="1" max="8" width="3" style="50" customWidth="1"/>
    <col min="9" max="9" width="27.5703125" style="50" customWidth="1"/>
    <col min="10" max="10" width="15.5703125" style="26" bestFit="1" customWidth="1"/>
    <col min="11" max="16" width="9.140625" style="23"/>
    <col min="17" max="17" width="21.85546875" style="23" customWidth="1"/>
    <col min="18" max="18" width="21.42578125" style="23" customWidth="1"/>
    <col min="19" max="16384" width="9.140625" style="23"/>
  </cols>
  <sheetData>
    <row r="1" spans="1:18" s="102" customFormat="1" ht="15.75" thickBot="1" x14ac:dyDescent="0.3">
      <c r="A1" s="31"/>
      <c r="B1" s="31"/>
      <c r="C1" s="31"/>
      <c r="D1" s="31"/>
      <c r="E1" s="31"/>
      <c r="F1" s="31"/>
      <c r="G1" s="31"/>
      <c r="H1" s="31"/>
      <c r="I1" s="31"/>
      <c r="J1" s="32" t="s">
        <v>891</v>
      </c>
    </row>
    <row r="2" spans="1:18" ht="15.75" thickTop="1" x14ac:dyDescent="0.25">
      <c r="A2" s="27"/>
      <c r="B2" s="27" t="s">
        <v>53</v>
      </c>
      <c r="C2" s="27"/>
      <c r="D2" s="27"/>
      <c r="E2" s="27"/>
      <c r="F2" s="27"/>
      <c r="G2" s="27"/>
      <c r="H2" s="27"/>
      <c r="I2" s="27"/>
      <c r="J2" s="28"/>
      <c r="Q2" s="226" t="s">
        <v>622</v>
      </c>
      <c r="R2" s="227" t="s">
        <v>621</v>
      </c>
    </row>
    <row r="3" spans="1:18" x14ac:dyDescent="0.25">
      <c r="A3" s="27"/>
      <c r="B3" s="27"/>
      <c r="C3" s="27"/>
      <c r="D3" s="27" t="s">
        <v>54</v>
      </c>
      <c r="E3" s="27"/>
      <c r="F3" s="27"/>
      <c r="G3" s="27"/>
      <c r="H3" s="27"/>
      <c r="I3" s="27"/>
      <c r="J3" s="28"/>
      <c r="Q3" s="164" t="s">
        <v>812</v>
      </c>
      <c r="R3" s="295">
        <f>J127</f>
        <v>5701290.9000000004</v>
      </c>
    </row>
    <row r="4" spans="1:18" x14ac:dyDescent="0.25">
      <c r="A4" s="27"/>
      <c r="B4" s="27"/>
      <c r="C4" s="27"/>
      <c r="D4" s="27"/>
      <c r="E4" s="27" t="s">
        <v>751</v>
      </c>
      <c r="F4" s="27"/>
      <c r="G4" s="27"/>
      <c r="H4" s="27"/>
      <c r="I4" s="27"/>
      <c r="J4" s="28"/>
      <c r="Q4" s="164" t="s">
        <v>814</v>
      </c>
      <c r="R4" s="296"/>
    </row>
    <row r="5" spans="1:18" x14ac:dyDescent="0.25">
      <c r="A5" s="27"/>
      <c r="B5" s="27"/>
      <c r="C5" s="27"/>
      <c r="D5" s="27"/>
      <c r="E5" s="27"/>
      <c r="F5" s="27" t="s">
        <v>752</v>
      </c>
      <c r="G5" s="27"/>
      <c r="H5" s="27"/>
      <c r="I5" s="27"/>
      <c r="J5" s="28">
        <v>146723</v>
      </c>
      <c r="Q5" s="164" t="s">
        <v>815</v>
      </c>
      <c r="R5" s="296"/>
    </row>
    <row r="6" spans="1:18" x14ac:dyDescent="0.25">
      <c r="A6" s="27"/>
      <c r="B6" s="27"/>
      <c r="C6" s="27"/>
      <c r="D6" s="27"/>
      <c r="E6" s="27"/>
      <c r="F6" s="27" t="s">
        <v>753</v>
      </c>
      <c r="G6" s="27"/>
      <c r="H6" s="27"/>
      <c r="I6" s="27"/>
      <c r="J6" s="28">
        <v>1027060</v>
      </c>
      <c r="Q6" s="297" t="s">
        <v>25</v>
      </c>
      <c r="R6" s="298">
        <f>SUM(R3:R5)</f>
        <v>5701290.9000000004</v>
      </c>
    </row>
    <row r="7" spans="1:18" x14ac:dyDescent="0.25">
      <c r="A7" s="27"/>
      <c r="B7" s="27"/>
      <c r="C7" s="27"/>
      <c r="D7" s="27"/>
      <c r="E7" s="27"/>
      <c r="F7" s="27" t="s">
        <v>754</v>
      </c>
      <c r="G7" s="27"/>
      <c r="H7" s="27"/>
      <c r="I7" s="27"/>
      <c r="J7" s="28">
        <v>3038280</v>
      </c>
      <c r="Q7" s="299"/>
      <c r="R7" s="300"/>
    </row>
    <row r="8" spans="1:18" x14ac:dyDescent="0.25">
      <c r="A8" s="27"/>
      <c r="B8" s="27"/>
      <c r="C8" s="27"/>
      <c r="D8" s="27"/>
      <c r="E8" s="27"/>
      <c r="F8" s="27" t="s">
        <v>755</v>
      </c>
      <c r="G8" s="27"/>
      <c r="H8" s="27"/>
      <c r="I8" s="27"/>
      <c r="J8" s="28">
        <v>5700072</v>
      </c>
      <c r="Q8" s="301" t="s">
        <v>743</v>
      </c>
      <c r="R8" s="302" t="s">
        <v>621</v>
      </c>
    </row>
    <row r="9" spans="1:18" ht="15.75" thickBot="1" x14ac:dyDescent="0.3">
      <c r="A9" s="27"/>
      <c r="B9" s="27"/>
      <c r="C9" s="27"/>
      <c r="D9" s="27"/>
      <c r="E9" s="27"/>
      <c r="F9" s="27" t="s">
        <v>756</v>
      </c>
      <c r="G9" s="27"/>
      <c r="H9" s="27"/>
      <c r="I9" s="27"/>
      <c r="J9" s="30">
        <v>0</v>
      </c>
      <c r="Q9" s="164" t="s">
        <v>813</v>
      </c>
      <c r="R9" s="186">
        <f>J168-R3</f>
        <v>1991570.1399999997</v>
      </c>
    </row>
    <row r="10" spans="1:18" ht="15.75" thickBot="1" x14ac:dyDescent="0.3">
      <c r="A10" s="27"/>
      <c r="B10" s="27"/>
      <c r="C10" s="27"/>
      <c r="D10" s="27"/>
      <c r="E10" s="27" t="s">
        <v>757</v>
      </c>
      <c r="F10" s="27"/>
      <c r="G10" s="27"/>
      <c r="H10" s="27"/>
      <c r="I10" s="27"/>
      <c r="J10" s="34">
        <f>ROUND(SUM(J4:J9),5)</f>
        <v>9912135</v>
      </c>
      <c r="Q10" s="303" t="s">
        <v>25</v>
      </c>
      <c r="R10" s="304">
        <f>SUM(R9:R9)</f>
        <v>1991570.1399999997</v>
      </c>
    </row>
    <row r="11" spans="1:18" ht="30" customHeight="1" thickBot="1" x14ac:dyDescent="0.3">
      <c r="A11" s="27"/>
      <c r="B11" s="27"/>
      <c r="C11" s="27"/>
      <c r="D11" s="27" t="s">
        <v>88</v>
      </c>
      <c r="E11" s="27"/>
      <c r="F11" s="27"/>
      <c r="G11" s="27"/>
      <c r="H11" s="27"/>
      <c r="I11" s="27"/>
      <c r="J11" s="33">
        <f>ROUND(J3+J10,5)</f>
        <v>9912135</v>
      </c>
    </row>
    <row r="12" spans="1:18" ht="30" customHeight="1" x14ac:dyDescent="0.25">
      <c r="A12" s="27"/>
      <c r="B12" s="27"/>
      <c r="C12" s="27" t="s">
        <v>147</v>
      </c>
      <c r="D12" s="27"/>
      <c r="E12" s="27"/>
      <c r="F12" s="27"/>
      <c r="G12" s="27"/>
      <c r="H12" s="27"/>
      <c r="I12" s="27"/>
      <c r="J12" s="28">
        <f>J11</f>
        <v>9912135</v>
      </c>
      <c r="M12" s="23">
        <f>15000*145</f>
        <v>2175000</v>
      </c>
    </row>
    <row r="13" spans="1:18" ht="30" customHeight="1" x14ac:dyDescent="0.25">
      <c r="A13" s="27"/>
      <c r="B13" s="27"/>
      <c r="C13" s="27"/>
      <c r="D13" s="27" t="s">
        <v>148</v>
      </c>
      <c r="E13" s="27"/>
      <c r="F13" s="27"/>
      <c r="G13" s="27"/>
      <c r="H13" s="27"/>
      <c r="I13" s="27"/>
      <c r="J13" s="28"/>
    </row>
    <row r="14" spans="1:18" x14ac:dyDescent="0.25">
      <c r="A14" s="27"/>
      <c r="B14" s="27"/>
      <c r="C14" s="27"/>
      <c r="D14" s="27"/>
      <c r="E14" s="27" t="s">
        <v>696</v>
      </c>
      <c r="F14" s="27"/>
      <c r="G14" s="27"/>
      <c r="H14" s="27"/>
      <c r="I14" s="27"/>
      <c r="J14" s="28">
        <v>0</v>
      </c>
    </row>
    <row r="15" spans="1:18" x14ac:dyDescent="0.25">
      <c r="A15" s="27"/>
      <c r="B15" s="27"/>
      <c r="C15" s="27"/>
      <c r="D15" s="27"/>
      <c r="E15" s="27" t="s">
        <v>758</v>
      </c>
      <c r="F15" s="27"/>
      <c r="G15" s="27"/>
      <c r="H15" s="27"/>
      <c r="I15" s="27"/>
      <c r="J15" s="28"/>
    </row>
    <row r="16" spans="1:18" x14ac:dyDescent="0.25">
      <c r="A16" s="27"/>
      <c r="B16" s="27"/>
      <c r="C16" s="27"/>
      <c r="D16" s="27"/>
      <c r="E16" s="27"/>
      <c r="F16" s="27" t="s">
        <v>759</v>
      </c>
      <c r="G16" s="27"/>
      <c r="H16" s="27"/>
      <c r="I16" s="27"/>
      <c r="J16" s="28"/>
    </row>
    <row r="17" spans="1:10" x14ac:dyDescent="0.25">
      <c r="A17" s="27"/>
      <c r="B17" s="27"/>
      <c r="C17" s="27"/>
      <c r="D17" s="27"/>
      <c r="E17" s="27"/>
      <c r="F17" s="27"/>
      <c r="G17" s="27" t="s">
        <v>762</v>
      </c>
      <c r="H17" s="27"/>
      <c r="I17" s="27"/>
      <c r="J17" s="28"/>
    </row>
    <row r="18" spans="1:10" x14ac:dyDescent="0.25">
      <c r="A18" s="27"/>
      <c r="B18" s="27"/>
      <c r="C18" s="27"/>
      <c r="D18" s="27"/>
      <c r="E18" s="27"/>
      <c r="F18" s="27"/>
      <c r="G18" s="27"/>
      <c r="H18" s="27" t="s">
        <v>763</v>
      </c>
      <c r="I18" s="27"/>
      <c r="J18" s="28">
        <v>59938.04</v>
      </c>
    </row>
    <row r="19" spans="1:10" ht="15.75" thickBot="1" x14ac:dyDescent="0.3">
      <c r="A19" s="27"/>
      <c r="B19" s="27"/>
      <c r="C19" s="27"/>
      <c r="D19" s="27"/>
      <c r="E19" s="27"/>
      <c r="F19" s="27"/>
      <c r="G19" s="27"/>
      <c r="H19" s="27" t="s">
        <v>764</v>
      </c>
      <c r="I19" s="27"/>
      <c r="J19" s="29">
        <v>4845</v>
      </c>
    </row>
    <row r="20" spans="1:10" x14ac:dyDescent="0.25">
      <c r="A20" s="27"/>
      <c r="B20" s="27"/>
      <c r="C20" s="27"/>
      <c r="D20" s="27"/>
      <c r="E20" s="27"/>
      <c r="F20" s="27"/>
      <c r="G20" s="27" t="s">
        <v>766</v>
      </c>
      <c r="H20" s="27"/>
      <c r="I20" s="27"/>
      <c r="J20" s="28">
        <f>ROUND(SUM(J17:J19),5)</f>
        <v>64783.040000000001</v>
      </c>
    </row>
    <row r="21" spans="1:10" ht="30" customHeight="1" x14ac:dyDescent="0.25">
      <c r="A21" s="27"/>
      <c r="B21" s="27"/>
      <c r="C21" s="27"/>
      <c r="D21" s="27"/>
      <c r="E21" s="27"/>
      <c r="F21" s="27"/>
      <c r="G21" s="27" t="s">
        <v>768</v>
      </c>
      <c r="H21" s="27"/>
      <c r="I21" s="27"/>
      <c r="J21" s="28"/>
    </row>
    <row r="22" spans="1:10" x14ac:dyDescent="0.25">
      <c r="A22" s="27"/>
      <c r="B22" s="27"/>
      <c r="C22" s="27"/>
      <c r="D22" s="27"/>
      <c r="E22" s="27"/>
      <c r="F22" s="27"/>
      <c r="G22" s="27"/>
      <c r="H22" s="27" t="s">
        <v>769</v>
      </c>
      <c r="I22" s="27"/>
      <c r="J22" s="28">
        <v>33815.919999999998</v>
      </c>
    </row>
    <row r="23" spans="1:10" ht="15.75" thickBot="1" x14ac:dyDescent="0.3">
      <c r="A23" s="27"/>
      <c r="B23" s="27"/>
      <c r="C23" s="27"/>
      <c r="D23" s="27"/>
      <c r="E23" s="27"/>
      <c r="F23" s="27"/>
      <c r="G23" s="27"/>
      <c r="H23" s="27" t="s">
        <v>770</v>
      </c>
      <c r="I23" s="27"/>
      <c r="J23" s="29">
        <v>0</v>
      </c>
    </row>
    <row r="24" spans="1:10" x14ac:dyDescent="0.25">
      <c r="A24" s="27"/>
      <c r="B24" s="27"/>
      <c r="C24" s="27"/>
      <c r="D24" s="27"/>
      <c r="E24" s="27"/>
      <c r="F24" s="27"/>
      <c r="G24" s="27" t="s">
        <v>771</v>
      </c>
      <c r="H24" s="27"/>
      <c r="I24" s="27"/>
      <c r="J24" s="28">
        <f>ROUND(SUM(J21:J23),5)</f>
        <v>33815.919999999998</v>
      </c>
    </row>
    <row r="25" spans="1:10" ht="30" customHeight="1" x14ac:dyDescent="0.25">
      <c r="A25" s="27"/>
      <c r="B25" s="27"/>
      <c r="C25" s="27"/>
      <c r="D25" s="27"/>
      <c r="E25" s="27"/>
      <c r="F25" s="27"/>
      <c r="G25" s="27" t="s">
        <v>838</v>
      </c>
      <c r="H25" s="27"/>
      <c r="I25" s="27"/>
      <c r="J25" s="28">
        <v>153178.76999999999</v>
      </c>
    </row>
    <row r="26" spans="1:10" x14ac:dyDescent="0.25">
      <c r="A26" s="27"/>
      <c r="B26" s="27"/>
      <c r="C26" s="27"/>
      <c r="D26" s="27"/>
      <c r="E26" s="27"/>
      <c r="F26" s="27"/>
      <c r="G26" s="27" t="s">
        <v>772</v>
      </c>
      <c r="H26" s="27"/>
      <c r="I26" s="27"/>
      <c r="J26" s="28">
        <v>7830</v>
      </c>
    </row>
    <row r="27" spans="1:10" x14ac:dyDescent="0.25">
      <c r="A27" s="27"/>
      <c r="B27" s="27"/>
      <c r="C27" s="27"/>
      <c r="D27" s="27"/>
      <c r="E27" s="27"/>
      <c r="F27" s="27"/>
      <c r="G27" s="27" t="s">
        <v>848</v>
      </c>
      <c r="H27" s="27"/>
      <c r="I27" s="27"/>
      <c r="J27" s="28">
        <v>96630</v>
      </c>
    </row>
    <row r="28" spans="1:10" x14ac:dyDescent="0.25">
      <c r="A28" s="27"/>
      <c r="B28" s="27"/>
      <c r="C28" s="27"/>
      <c r="D28" s="27"/>
      <c r="E28" s="27"/>
      <c r="F28" s="27"/>
      <c r="G28" s="27" t="s">
        <v>855</v>
      </c>
      <c r="H28" s="27"/>
      <c r="I28" s="27"/>
      <c r="J28" s="28">
        <v>91142.1</v>
      </c>
    </row>
    <row r="29" spans="1:10" x14ac:dyDescent="0.25">
      <c r="A29" s="27"/>
      <c r="B29" s="27"/>
      <c r="C29" s="27"/>
      <c r="D29" s="27"/>
      <c r="E29" s="27"/>
      <c r="F29" s="27"/>
      <c r="G29" s="27" t="s">
        <v>773</v>
      </c>
      <c r="H29" s="27"/>
      <c r="I29" s="27"/>
      <c r="J29" s="28">
        <v>80000</v>
      </c>
    </row>
    <row r="30" spans="1:10" x14ac:dyDescent="0.25">
      <c r="A30" s="27"/>
      <c r="B30" s="27"/>
      <c r="C30" s="27"/>
      <c r="D30" s="27"/>
      <c r="E30" s="27"/>
      <c r="F30" s="27"/>
      <c r="G30" s="27" t="s">
        <v>428</v>
      </c>
      <c r="H30" s="27"/>
      <c r="I30" s="27"/>
      <c r="J30" s="28"/>
    </row>
    <row r="31" spans="1:10" x14ac:dyDescent="0.25">
      <c r="A31" s="27"/>
      <c r="B31" s="27"/>
      <c r="C31" s="27"/>
      <c r="D31" s="27"/>
      <c r="E31" s="27"/>
      <c r="F31" s="27"/>
      <c r="G31" s="27"/>
      <c r="H31" s="27" t="s">
        <v>429</v>
      </c>
      <c r="I31" s="27"/>
      <c r="J31" s="28"/>
    </row>
    <row r="32" spans="1:10" x14ac:dyDescent="0.25">
      <c r="A32" s="27"/>
      <c r="B32" s="27"/>
      <c r="C32" s="27"/>
      <c r="D32" s="27"/>
      <c r="E32" s="27"/>
      <c r="F32" s="27"/>
      <c r="G32" s="27"/>
      <c r="H32" s="27"/>
      <c r="I32" s="27" t="s">
        <v>430</v>
      </c>
      <c r="J32" s="28">
        <v>54004.17</v>
      </c>
    </row>
    <row r="33" spans="1:10" x14ac:dyDescent="0.25">
      <c r="A33" s="27"/>
      <c r="B33" s="27"/>
      <c r="C33" s="27"/>
      <c r="D33" s="27"/>
      <c r="E33" s="27"/>
      <c r="F33" s="27"/>
      <c r="G33" s="27"/>
      <c r="H33" s="27"/>
      <c r="I33" s="27" t="s">
        <v>431</v>
      </c>
      <c r="J33" s="28">
        <v>182500</v>
      </c>
    </row>
    <row r="34" spans="1:10" x14ac:dyDescent="0.25">
      <c r="A34" s="27"/>
      <c r="B34" s="27"/>
      <c r="C34" s="27"/>
      <c r="D34" s="27"/>
      <c r="E34" s="27"/>
      <c r="F34" s="27"/>
      <c r="G34" s="27"/>
      <c r="H34" s="27"/>
      <c r="I34" s="27" t="s">
        <v>432</v>
      </c>
      <c r="J34" s="28">
        <v>20100</v>
      </c>
    </row>
    <row r="35" spans="1:10" ht="15.75" thickBot="1" x14ac:dyDescent="0.3">
      <c r="A35" s="27"/>
      <c r="B35" s="27"/>
      <c r="C35" s="27"/>
      <c r="D35" s="27"/>
      <c r="E35" s="27"/>
      <c r="F35" s="27"/>
      <c r="G35" s="27"/>
      <c r="H35" s="27"/>
      <c r="I35" s="27" t="s">
        <v>433</v>
      </c>
      <c r="J35" s="29">
        <v>5025</v>
      </c>
    </row>
    <row r="36" spans="1:10" x14ac:dyDescent="0.25">
      <c r="A36" s="27"/>
      <c r="B36" s="27"/>
      <c r="C36" s="27"/>
      <c r="D36" s="27"/>
      <c r="E36" s="27"/>
      <c r="F36" s="27"/>
      <c r="G36" s="27"/>
      <c r="H36" s="27" t="s">
        <v>434</v>
      </c>
      <c r="I36" s="27"/>
      <c r="J36" s="28">
        <f>ROUND(SUM(J31:J35),5)</f>
        <v>261629.17</v>
      </c>
    </row>
    <row r="37" spans="1:10" ht="30" customHeight="1" x14ac:dyDescent="0.25">
      <c r="A37" s="27"/>
      <c r="B37" s="27"/>
      <c r="C37" s="27"/>
      <c r="D37" s="27"/>
      <c r="E37" s="27"/>
      <c r="F37" s="27"/>
      <c r="G37" s="27"/>
      <c r="H37" s="27" t="s">
        <v>774</v>
      </c>
      <c r="I37" s="27"/>
      <c r="J37" s="28"/>
    </row>
    <row r="38" spans="1:10" ht="15.75" thickBot="1" x14ac:dyDescent="0.3">
      <c r="A38" s="27"/>
      <c r="B38" s="27"/>
      <c r="C38" s="27"/>
      <c r="D38" s="27"/>
      <c r="E38" s="27"/>
      <c r="F38" s="27"/>
      <c r="G38" s="27"/>
      <c r="H38" s="27"/>
      <c r="I38" s="27" t="s">
        <v>856</v>
      </c>
      <c r="J38" s="29">
        <v>105000</v>
      </c>
    </row>
    <row r="39" spans="1:10" x14ac:dyDescent="0.25">
      <c r="A39" s="27"/>
      <c r="B39" s="27"/>
      <c r="C39" s="27"/>
      <c r="D39" s="27"/>
      <c r="E39" s="27"/>
      <c r="F39" s="27"/>
      <c r="G39" s="27"/>
      <c r="H39" s="27" t="s">
        <v>859</v>
      </c>
      <c r="I39" s="27"/>
      <c r="J39" s="28">
        <f>ROUND(SUM(J37:J38),5)</f>
        <v>105000</v>
      </c>
    </row>
    <row r="40" spans="1:10" ht="30" customHeight="1" x14ac:dyDescent="0.25">
      <c r="A40" s="27"/>
      <c r="B40" s="27"/>
      <c r="C40" s="27"/>
      <c r="D40" s="27"/>
      <c r="E40" s="27"/>
      <c r="F40" s="27"/>
      <c r="G40" s="27"/>
      <c r="H40" s="27" t="s">
        <v>734</v>
      </c>
      <c r="I40" s="27"/>
      <c r="J40" s="28"/>
    </row>
    <row r="41" spans="1:10" x14ac:dyDescent="0.25">
      <c r="A41" s="27"/>
      <c r="B41" s="27"/>
      <c r="C41" s="27"/>
      <c r="D41" s="27"/>
      <c r="E41" s="27"/>
      <c r="F41" s="27"/>
      <c r="G41" s="27"/>
      <c r="H41" s="27"/>
      <c r="I41" s="27" t="s">
        <v>736</v>
      </c>
      <c r="J41" s="28">
        <v>193333.33</v>
      </c>
    </row>
    <row r="42" spans="1:10" x14ac:dyDescent="0.25">
      <c r="A42" s="27"/>
      <c r="B42" s="27"/>
      <c r="C42" s="27"/>
      <c r="D42" s="27"/>
      <c r="E42" s="27"/>
      <c r="F42" s="27"/>
      <c r="G42" s="27"/>
      <c r="H42" s="27"/>
      <c r="I42" s="27" t="s">
        <v>737</v>
      </c>
      <c r="J42" s="28">
        <v>15600</v>
      </c>
    </row>
    <row r="43" spans="1:10" ht="15.75" thickBot="1" x14ac:dyDescent="0.3">
      <c r="A43" s="27"/>
      <c r="B43" s="27"/>
      <c r="C43" s="27"/>
      <c r="D43" s="27"/>
      <c r="E43" s="27"/>
      <c r="F43" s="27"/>
      <c r="G43" s="27"/>
      <c r="H43" s="27"/>
      <c r="I43" s="27" t="s">
        <v>738</v>
      </c>
      <c r="J43" s="29">
        <v>3900</v>
      </c>
    </row>
    <row r="44" spans="1:10" x14ac:dyDescent="0.25">
      <c r="A44" s="27"/>
      <c r="B44" s="27"/>
      <c r="C44" s="27"/>
      <c r="D44" s="27"/>
      <c r="E44" s="27"/>
      <c r="F44" s="27"/>
      <c r="G44" s="27"/>
      <c r="H44" s="27" t="s">
        <v>739</v>
      </c>
      <c r="I44" s="27"/>
      <c r="J44" s="28">
        <f>ROUND(SUM(J40:J43),5)</f>
        <v>212833.33</v>
      </c>
    </row>
    <row r="45" spans="1:10" ht="30" customHeight="1" x14ac:dyDescent="0.25">
      <c r="A45" s="27"/>
      <c r="B45" s="27"/>
      <c r="C45" s="27"/>
      <c r="D45" s="27"/>
      <c r="E45" s="27"/>
      <c r="F45" s="27"/>
      <c r="G45" s="27"/>
      <c r="H45" s="27" t="s">
        <v>775</v>
      </c>
      <c r="I45" s="27"/>
      <c r="J45" s="28"/>
    </row>
    <row r="46" spans="1:10" x14ac:dyDescent="0.25">
      <c r="A46" s="27"/>
      <c r="B46" s="27"/>
      <c r="C46" s="27"/>
      <c r="D46" s="27"/>
      <c r="E46" s="27"/>
      <c r="F46" s="27"/>
      <c r="G46" s="27"/>
      <c r="H46" s="27"/>
      <c r="I46" s="27" t="s">
        <v>860</v>
      </c>
      <c r="J46" s="28">
        <v>37500</v>
      </c>
    </row>
    <row r="47" spans="1:10" x14ac:dyDescent="0.25">
      <c r="A47" s="27"/>
      <c r="B47" s="27"/>
      <c r="C47" s="27"/>
      <c r="D47" s="27"/>
      <c r="E47" s="27"/>
      <c r="F47" s="27"/>
      <c r="G47" s="27"/>
      <c r="H47" s="27"/>
      <c r="I47" s="27" t="s">
        <v>892</v>
      </c>
      <c r="J47" s="28">
        <v>190000</v>
      </c>
    </row>
    <row r="48" spans="1:10" x14ac:dyDescent="0.25">
      <c r="A48" s="27"/>
      <c r="B48" s="27"/>
      <c r="C48" s="27"/>
      <c r="D48" s="27"/>
      <c r="E48" s="27"/>
      <c r="F48" s="27"/>
      <c r="G48" s="27"/>
      <c r="H48" s="27"/>
      <c r="I48" s="27" t="s">
        <v>861</v>
      </c>
      <c r="J48" s="28">
        <v>22800</v>
      </c>
    </row>
    <row r="49" spans="1:10" ht="15.75" thickBot="1" x14ac:dyDescent="0.3">
      <c r="A49" s="27"/>
      <c r="B49" s="27"/>
      <c r="C49" s="27"/>
      <c r="D49" s="27"/>
      <c r="E49" s="27"/>
      <c r="F49" s="27"/>
      <c r="G49" s="27"/>
      <c r="H49" s="27"/>
      <c r="I49" s="27" t="s">
        <v>862</v>
      </c>
      <c r="J49" s="29">
        <v>5700</v>
      </c>
    </row>
    <row r="50" spans="1:10" x14ac:dyDescent="0.25">
      <c r="A50" s="27"/>
      <c r="B50" s="27"/>
      <c r="C50" s="27"/>
      <c r="D50" s="27"/>
      <c r="E50" s="27"/>
      <c r="F50" s="27"/>
      <c r="G50" s="27"/>
      <c r="H50" s="27" t="s">
        <v>863</v>
      </c>
      <c r="I50" s="27"/>
      <c r="J50" s="28">
        <f>ROUND(SUM(J45:J49),5)</f>
        <v>256000</v>
      </c>
    </row>
    <row r="51" spans="1:10" ht="30" customHeight="1" x14ac:dyDescent="0.25">
      <c r="A51" s="27"/>
      <c r="B51" s="27"/>
      <c r="C51" s="27"/>
      <c r="D51" s="27"/>
      <c r="E51" s="27"/>
      <c r="F51" s="27"/>
      <c r="G51" s="27"/>
      <c r="H51" s="27" t="s">
        <v>435</v>
      </c>
      <c r="I51" s="27"/>
      <c r="J51" s="28"/>
    </row>
    <row r="52" spans="1:10" x14ac:dyDescent="0.25">
      <c r="A52" s="27"/>
      <c r="B52" s="27"/>
      <c r="C52" s="27"/>
      <c r="D52" s="27"/>
      <c r="E52" s="27"/>
      <c r="F52" s="27"/>
      <c r="G52" s="27"/>
      <c r="H52" s="27"/>
      <c r="I52" s="27" t="s">
        <v>437</v>
      </c>
      <c r="J52" s="28">
        <v>382083.33</v>
      </c>
    </row>
    <row r="53" spans="1:10" x14ac:dyDescent="0.25">
      <c r="A53" s="27"/>
      <c r="B53" s="27"/>
      <c r="C53" s="27"/>
      <c r="D53" s="27"/>
      <c r="E53" s="27"/>
      <c r="F53" s="27"/>
      <c r="G53" s="27"/>
      <c r="H53" s="27"/>
      <c r="I53" s="27" t="s">
        <v>438</v>
      </c>
      <c r="J53" s="28">
        <v>35590</v>
      </c>
    </row>
    <row r="54" spans="1:10" ht="15.75" thickBot="1" x14ac:dyDescent="0.3">
      <c r="A54" s="27"/>
      <c r="B54" s="27"/>
      <c r="C54" s="27"/>
      <c r="D54" s="27"/>
      <c r="E54" s="27"/>
      <c r="F54" s="27"/>
      <c r="G54" s="27"/>
      <c r="H54" s="27"/>
      <c r="I54" s="27" t="s">
        <v>439</v>
      </c>
      <c r="J54" s="29">
        <v>8897.5</v>
      </c>
    </row>
    <row r="55" spans="1:10" x14ac:dyDescent="0.25">
      <c r="A55" s="27"/>
      <c r="B55" s="27"/>
      <c r="C55" s="27"/>
      <c r="D55" s="27"/>
      <c r="E55" s="27"/>
      <c r="F55" s="27"/>
      <c r="G55" s="27"/>
      <c r="H55" s="27" t="s">
        <v>440</v>
      </c>
      <c r="I55" s="27"/>
      <c r="J55" s="28">
        <f>ROUND(SUM(J51:J54),5)</f>
        <v>426570.83</v>
      </c>
    </row>
    <row r="56" spans="1:10" ht="30" customHeight="1" x14ac:dyDescent="0.25">
      <c r="A56" s="27"/>
      <c r="B56" s="27"/>
      <c r="C56" s="27"/>
      <c r="D56" s="27"/>
      <c r="E56" s="27"/>
      <c r="F56" s="27"/>
      <c r="G56" s="27"/>
      <c r="H56" s="27" t="s">
        <v>441</v>
      </c>
      <c r="I56" s="27"/>
      <c r="J56" s="28"/>
    </row>
    <row r="57" spans="1:10" x14ac:dyDescent="0.25">
      <c r="A57" s="27"/>
      <c r="B57" s="27"/>
      <c r="C57" s="27"/>
      <c r="D57" s="27"/>
      <c r="E57" s="27"/>
      <c r="F57" s="27"/>
      <c r="G57" s="27"/>
      <c r="H57" s="27"/>
      <c r="I57" s="27" t="s">
        <v>442</v>
      </c>
      <c r="J57" s="28">
        <v>240000</v>
      </c>
    </row>
    <row r="58" spans="1:10" x14ac:dyDescent="0.25">
      <c r="A58" s="27"/>
      <c r="B58" s="27"/>
      <c r="C58" s="27"/>
      <c r="D58" s="27"/>
      <c r="E58" s="27"/>
      <c r="F58" s="27"/>
      <c r="G58" s="27"/>
      <c r="H58" s="27"/>
      <c r="I58" s="27" t="s">
        <v>443</v>
      </c>
      <c r="J58" s="28">
        <v>230500</v>
      </c>
    </row>
    <row r="59" spans="1:10" x14ac:dyDescent="0.25">
      <c r="A59" s="27"/>
      <c r="B59" s="27"/>
      <c r="C59" s="27"/>
      <c r="D59" s="27"/>
      <c r="E59" s="27"/>
      <c r="F59" s="27"/>
      <c r="G59" s="27"/>
      <c r="H59" s="27"/>
      <c r="I59" s="27" t="s">
        <v>444</v>
      </c>
      <c r="J59" s="28">
        <v>18460</v>
      </c>
    </row>
    <row r="60" spans="1:10" ht="15.75" thickBot="1" x14ac:dyDescent="0.3">
      <c r="A60" s="27"/>
      <c r="B60" s="27"/>
      <c r="C60" s="27"/>
      <c r="D60" s="27"/>
      <c r="E60" s="27"/>
      <c r="F60" s="27"/>
      <c r="G60" s="27"/>
      <c r="H60" s="27"/>
      <c r="I60" s="27" t="s">
        <v>445</v>
      </c>
      <c r="J60" s="29">
        <v>4615</v>
      </c>
    </row>
    <row r="61" spans="1:10" x14ac:dyDescent="0.25">
      <c r="A61" s="27"/>
      <c r="B61" s="27"/>
      <c r="C61" s="27"/>
      <c r="D61" s="27"/>
      <c r="E61" s="27"/>
      <c r="F61" s="27"/>
      <c r="G61" s="27"/>
      <c r="H61" s="27" t="s">
        <v>446</v>
      </c>
      <c r="I61" s="27"/>
      <c r="J61" s="28">
        <f>ROUND(SUM(J56:J60),5)</f>
        <v>493575</v>
      </c>
    </row>
    <row r="62" spans="1:10" ht="30" customHeight="1" x14ac:dyDescent="0.25">
      <c r="A62" s="27"/>
      <c r="B62" s="27"/>
      <c r="C62" s="27"/>
      <c r="D62" s="27"/>
      <c r="E62" s="27"/>
      <c r="F62" s="27"/>
      <c r="G62" s="27"/>
      <c r="H62" s="27" t="s">
        <v>864</v>
      </c>
      <c r="I62" s="27"/>
      <c r="J62" s="28"/>
    </row>
    <row r="63" spans="1:10" x14ac:dyDescent="0.25">
      <c r="A63" s="27"/>
      <c r="B63" s="27"/>
      <c r="C63" s="27"/>
      <c r="D63" s="27"/>
      <c r="E63" s="27"/>
      <c r="F63" s="27"/>
      <c r="G63" s="27"/>
      <c r="H63" s="27"/>
      <c r="I63" s="27" t="s">
        <v>865</v>
      </c>
      <c r="J63" s="28">
        <v>5000</v>
      </c>
    </row>
    <row r="64" spans="1:10" x14ac:dyDescent="0.25">
      <c r="A64" s="27"/>
      <c r="B64" s="27"/>
      <c r="C64" s="27"/>
      <c r="D64" s="27"/>
      <c r="E64" s="27"/>
      <c r="F64" s="27"/>
      <c r="G64" s="27"/>
      <c r="H64" s="27"/>
      <c r="I64" s="27" t="s">
        <v>893</v>
      </c>
      <c r="J64" s="28">
        <v>1800</v>
      </c>
    </row>
    <row r="65" spans="1:10" x14ac:dyDescent="0.25">
      <c r="A65" s="27"/>
      <c r="B65" s="27"/>
      <c r="C65" s="27"/>
      <c r="D65" s="27"/>
      <c r="E65" s="27"/>
      <c r="F65" s="27"/>
      <c r="G65" s="27"/>
      <c r="H65" s="27"/>
      <c r="I65" s="27" t="s">
        <v>894</v>
      </c>
      <c r="J65" s="28">
        <v>450</v>
      </c>
    </row>
    <row r="66" spans="1:10" ht="15.75" thickBot="1" x14ac:dyDescent="0.3">
      <c r="A66" s="27"/>
      <c r="B66" s="27"/>
      <c r="C66" s="27"/>
      <c r="D66" s="27"/>
      <c r="E66" s="27"/>
      <c r="F66" s="27"/>
      <c r="G66" s="27"/>
      <c r="H66" s="27"/>
      <c r="I66" s="27" t="s">
        <v>895</v>
      </c>
      <c r="J66" s="29">
        <v>15000</v>
      </c>
    </row>
    <row r="67" spans="1:10" x14ac:dyDescent="0.25">
      <c r="A67" s="27"/>
      <c r="B67" s="27"/>
      <c r="C67" s="27"/>
      <c r="D67" s="27"/>
      <c r="E67" s="27"/>
      <c r="F67" s="27"/>
      <c r="G67" s="27"/>
      <c r="H67" s="27" t="s">
        <v>867</v>
      </c>
      <c r="I67" s="27"/>
      <c r="J67" s="28">
        <f>ROUND(SUM(J62:J66),5)</f>
        <v>22250</v>
      </c>
    </row>
    <row r="68" spans="1:10" ht="30" customHeight="1" x14ac:dyDescent="0.25">
      <c r="A68" s="27"/>
      <c r="B68" s="27"/>
      <c r="C68" s="27"/>
      <c r="D68" s="27"/>
      <c r="E68" s="27"/>
      <c r="F68" s="27"/>
      <c r="G68" s="27"/>
      <c r="H68" s="27" t="s">
        <v>447</v>
      </c>
      <c r="I68" s="27"/>
      <c r="J68" s="28"/>
    </row>
    <row r="69" spans="1:10" x14ac:dyDescent="0.25">
      <c r="A69" s="27"/>
      <c r="B69" s="27"/>
      <c r="C69" s="27"/>
      <c r="D69" s="27"/>
      <c r="E69" s="27"/>
      <c r="F69" s="27"/>
      <c r="G69" s="27"/>
      <c r="H69" s="27"/>
      <c r="I69" s="27" t="s">
        <v>448</v>
      </c>
      <c r="J69" s="28">
        <v>37500</v>
      </c>
    </row>
    <row r="70" spans="1:10" x14ac:dyDescent="0.25">
      <c r="A70" s="27"/>
      <c r="B70" s="27"/>
      <c r="C70" s="27"/>
      <c r="D70" s="27"/>
      <c r="E70" s="27"/>
      <c r="F70" s="27"/>
      <c r="G70" s="27"/>
      <c r="H70" s="27"/>
      <c r="I70" s="27" t="s">
        <v>449</v>
      </c>
      <c r="J70" s="28">
        <v>115000</v>
      </c>
    </row>
    <row r="71" spans="1:10" x14ac:dyDescent="0.25">
      <c r="A71" s="27"/>
      <c r="B71" s="27"/>
      <c r="C71" s="27"/>
      <c r="D71" s="27"/>
      <c r="E71" s="27"/>
      <c r="F71" s="27"/>
      <c r="G71" s="27"/>
      <c r="H71" s="27"/>
      <c r="I71" s="27" t="s">
        <v>450</v>
      </c>
      <c r="J71" s="28">
        <v>13800</v>
      </c>
    </row>
    <row r="72" spans="1:10" ht="15.75" thickBot="1" x14ac:dyDescent="0.3">
      <c r="A72" s="27"/>
      <c r="B72" s="27"/>
      <c r="C72" s="27"/>
      <c r="D72" s="27"/>
      <c r="E72" s="27"/>
      <c r="F72" s="27"/>
      <c r="G72" s="27"/>
      <c r="H72" s="27"/>
      <c r="I72" s="27" t="s">
        <v>451</v>
      </c>
      <c r="J72" s="29">
        <v>3450</v>
      </c>
    </row>
    <row r="73" spans="1:10" x14ac:dyDescent="0.25">
      <c r="A73" s="27"/>
      <c r="B73" s="27"/>
      <c r="C73" s="27"/>
      <c r="D73" s="27"/>
      <c r="E73" s="27"/>
      <c r="F73" s="27"/>
      <c r="G73" s="27"/>
      <c r="H73" s="27" t="s">
        <v>452</v>
      </c>
      <c r="I73" s="27"/>
      <c r="J73" s="28">
        <f>ROUND(SUM(J68:J72),5)</f>
        <v>169750</v>
      </c>
    </row>
    <row r="74" spans="1:10" ht="30" customHeight="1" x14ac:dyDescent="0.25">
      <c r="A74" s="27"/>
      <c r="B74" s="27"/>
      <c r="C74" s="27"/>
      <c r="D74" s="27"/>
      <c r="E74" s="27"/>
      <c r="F74" s="27"/>
      <c r="G74" s="27"/>
      <c r="H74" s="27" t="s">
        <v>453</v>
      </c>
      <c r="I74" s="27"/>
      <c r="J74" s="28"/>
    </row>
    <row r="75" spans="1:10" x14ac:dyDescent="0.25">
      <c r="A75" s="27"/>
      <c r="B75" s="27"/>
      <c r="C75" s="27"/>
      <c r="D75" s="27"/>
      <c r="E75" s="27"/>
      <c r="F75" s="27"/>
      <c r="G75" s="27"/>
      <c r="H75" s="27"/>
      <c r="I75" s="27" t="s">
        <v>454</v>
      </c>
      <c r="J75" s="28">
        <v>623000</v>
      </c>
    </row>
    <row r="76" spans="1:10" x14ac:dyDescent="0.25">
      <c r="A76" s="27"/>
      <c r="B76" s="27"/>
      <c r="C76" s="27"/>
      <c r="D76" s="27"/>
      <c r="E76" s="27"/>
      <c r="F76" s="27"/>
      <c r="G76" s="27"/>
      <c r="H76" s="27"/>
      <c r="I76" s="27" t="s">
        <v>455</v>
      </c>
      <c r="J76" s="28">
        <v>1405000</v>
      </c>
    </row>
    <row r="77" spans="1:10" x14ac:dyDescent="0.25">
      <c r="A77" s="27"/>
      <c r="B77" s="27"/>
      <c r="C77" s="27"/>
      <c r="D77" s="27"/>
      <c r="E77" s="27"/>
      <c r="F77" s="27"/>
      <c r="G77" s="27"/>
      <c r="H77" s="27"/>
      <c r="I77" s="27" t="s">
        <v>456</v>
      </c>
      <c r="J77" s="28">
        <v>168600</v>
      </c>
    </row>
    <row r="78" spans="1:10" ht="15.75" thickBot="1" x14ac:dyDescent="0.3">
      <c r="A78" s="27"/>
      <c r="B78" s="27"/>
      <c r="C78" s="27"/>
      <c r="D78" s="27"/>
      <c r="E78" s="27"/>
      <c r="F78" s="27"/>
      <c r="G78" s="27"/>
      <c r="H78" s="27"/>
      <c r="I78" s="27" t="s">
        <v>457</v>
      </c>
      <c r="J78" s="29">
        <v>42150</v>
      </c>
    </row>
    <row r="79" spans="1:10" x14ac:dyDescent="0.25">
      <c r="A79" s="27"/>
      <c r="B79" s="27"/>
      <c r="C79" s="27"/>
      <c r="D79" s="27"/>
      <c r="E79" s="27"/>
      <c r="F79" s="27"/>
      <c r="G79" s="27"/>
      <c r="H79" s="27" t="s">
        <v>458</v>
      </c>
      <c r="I79" s="27"/>
      <c r="J79" s="28">
        <f>ROUND(SUM(J74:J78),5)</f>
        <v>2238750</v>
      </c>
    </row>
    <row r="80" spans="1:10" ht="30" customHeight="1" x14ac:dyDescent="0.25">
      <c r="A80" s="27"/>
      <c r="B80" s="27"/>
      <c r="C80" s="27"/>
      <c r="D80" s="27"/>
      <c r="E80" s="27"/>
      <c r="F80" s="27"/>
      <c r="G80" s="27"/>
      <c r="H80" s="27" t="s">
        <v>817</v>
      </c>
      <c r="I80" s="27"/>
      <c r="J80" s="28"/>
    </row>
    <row r="81" spans="1:10" x14ac:dyDescent="0.25">
      <c r="A81" s="27"/>
      <c r="B81" s="27"/>
      <c r="C81" s="27"/>
      <c r="D81" s="27"/>
      <c r="E81" s="27"/>
      <c r="F81" s="27"/>
      <c r="G81" s="27"/>
      <c r="H81" s="27"/>
      <c r="I81" s="27" t="s">
        <v>868</v>
      </c>
      <c r="J81" s="28">
        <v>30000</v>
      </c>
    </row>
    <row r="82" spans="1:10" x14ac:dyDescent="0.25">
      <c r="A82" s="27"/>
      <c r="B82" s="27"/>
      <c r="C82" s="27"/>
      <c r="D82" s="27"/>
      <c r="E82" s="27"/>
      <c r="F82" s="27"/>
      <c r="G82" s="27"/>
      <c r="H82" s="27"/>
      <c r="I82" s="27" t="s">
        <v>869</v>
      </c>
      <c r="J82" s="28">
        <v>78833.33</v>
      </c>
    </row>
    <row r="83" spans="1:10" x14ac:dyDescent="0.25">
      <c r="A83" s="27"/>
      <c r="B83" s="27"/>
      <c r="C83" s="27"/>
      <c r="D83" s="27"/>
      <c r="E83" s="27"/>
      <c r="F83" s="27"/>
      <c r="G83" s="27"/>
      <c r="H83" s="27"/>
      <c r="I83" s="27" t="s">
        <v>870</v>
      </c>
      <c r="J83" s="28">
        <v>14400</v>
      </c>
    </row>
    <row r="84" spans="1:10" ht="15.75" thickBot="1" x14ac:dyDescent="0.3">
      <c r="A84" s="27"/>
      <c r="B84" s="27"/>
      <c r="C84" s="27"/>
      <c r="D84" s="27"/>
      <c r="E84" s="27"/>
      <c r="F84" s="27"/>
      <c r="G84" s="27"/>
      <c r="H84" s="27"/>
      <c r="I84" s="27" t="s">
        <v>871</v>
      </c>
      <c r="J84" s="29">
        <v>3600</v>
      </c>
    </row>
    <row r="85" spans="1:10" x14ac:dyDescent="0.25">
      <c r="A85" s="27"/>
      <c r="B85" s="27"/>
      <c r="C85" s="27"/>
      <c r="D85" s="27"/>
      <c r="E85" s="27"/>
      <c r="F85" s="27"/>
      <c r="G85" s="27"/>
      <c r="H85" s="27" t="s">
        <v>872</v>
      </c>
      <c r="I85" s="27"/>
      <c r="J85" s="28">
        <f>ROUND(SUM(J80:J84),5)</f>
        <v>126833.33</v>
      </c>
    </row>
    <row r="86" spans="1:10" ht="30" customHeight="1" x14ac:dyDescent="0.25">
      <c r="A86" s="27"/>
      <c r="B86" s="27"/>
      <c r="C86" s="27"/>
      <c r="D86" s="27"/>
      <c r="E86" s="27"/>
      <c r="F86" s="27"/>
      <c r="G86" s="27"/>
      <c r="H86" s="27" t="s">
        <v>698</v>
      </c>
      <c r="I86" s="27"/>
      <c r="J86" s="28"/>
    </row>
    <row r="87" spans="1:10" x14ac:dyDescent="0.25">
      <c r="A87" s="27"/>
      <c r="B87" s="27"/>
      <c r="C87" s="27"/>
      <c r="D87" s="27"/>
      <c r="E87" s="27"/>
      <c r="F87" s="27"/>
      <c r="G87" s="27"/>
      <c r="H87" s="27"/>
      <c r="I87" s="27" t="s">
        <v>699</v>
      </c>
      <c r="J87" s="28">
        <v>45000</v>
      </c>
    </row>
    <row r="88" spans="1:10" x14ac:dyDescent="0.25">
      <c r="A88" s="27"/>
      <c r="B88" s="27"/>
      <c r="C88" s="27"/>
      <c r="D88" s="27"/>
      <c r="E88" s="27"/>
      <c r="F88" s="27"/>
      <c r="G88" s="27"/>
      <c r="H88" s="27"/>
      <c r="I88" s="27" t="s">
        <v>700</v>
      </c>
      <c r="J88" s="28">
        <v>298176.33</v>
      </c>
    </row>
    <row r="89" spans="1:10" x14ac:dyDescent="0.25">
      <c r="A89" s="27"/>
      <c r="B89" s="27"/>
      <c r="C89" s="27"/>
      <c r="D89" s="27"/>
      <c r="E89" s="27"/>
      <c r="F89" s="27"/>
      <c r="G89" s="27"/>
      <c r="H89" s="27"/>
      <c r="I89" s="27" t="s">
        <v>701</v>
      </c>
      <c r="J89" s="28">
        <v>27420</v>
      </c>
    </row>
    <row r="90" spans="1:10" ht="15.75" thickBot="1" x14ac:dyDescent="0.3">
      <c r="A90" s="27"/>
      <c r="B90" s="27"/>
      <c r="C90" s="27"/>
      <c r="D90" s="27"/>
      <c r="E90" s="27"/>
      <c r="F90" s="27"/>
      <c r="G90" s="27"/>
      <c r="H90" s="27"/>
      <c r="I90" s="27" t="s">
        <v>702</v>
      </c>
      <c r="J90" s="29">
        <v>6855</v>
      </c>
    </row>
    <row r="91" spans="1:10" x14ac:dyDescent="0.25">
      <c r="A91" s="27"/>
      <c r="B91" s="27"/>
      <c r="C91" s="27"/>
      <c r="D91" s="27"/>
      <c r="E91" s="27"/>
      <c r="F91" s="27"/>
      <c r="G91" s="27"/>
      <c r="H91" s="27" t="s">
        <v>703</v>
      </c>
      <c r="I91" s="27"/>
      <c r="J91" s="28">
        <f>ROUND(SUM(J86:J90),5)</f>
        <v>377451.33</v>
      </c>
    </row>
    <row r="92" spans="1:10" ht="30" customHeight="1" x14ac:dyDescent="0.25">
      <c r="A92" s="27"/>
      <c r="B92" s="27"/>
      <c r="C92" s="27"/>
      <c r="D92" s="27"/>
      <c r="E92" s="27"/>
      <c r="F92" s="27"/>
      <c r="G92" s="27"/>
      <c r="H92" s="27" t="s">
        <v>459</v>
      </c>
      <c r="I92" s="27"/>
      <c r="J92" s="28"/>
    </row>
    <row r="93" spans="1:10" x14ac:dyDescent="0.25">
      <c r="A93" s="27"/>
      <c r="B93" s="27"/>
      <c r="C93" s="27"/>
      <c r="D93" s="27"/>
      <c r="E93" s="27"/>
      <c r="F93" s="27"/>
      <c r="G93" s="27"/>
      <c r="H93" s="27"/>
      <c r="I93" s="27" t="s">
        <v>461</v>
      </c>
      <c r="J93" s="28">
        <v>175000</v>
      </c>
    </row>
    <row r="94" spans="1:10" x14ac:dyDescent="0.25">
      <c r="A94" s="27"/>
      <c r="B94" s="27"/>
      <c r="C94" s="27"/>
      <c r="D94" s="27"/>
      <c r="E94" s="27"/>
      <c r="F94" s="27"/>
      <c r="G94" s="27"/>
      <c r="H94" s="27"/>
      <c r="I94" s="27" t="s">
        <v>462</v>
      </c>
      <c r="J94" s="28">
        <v>13800</v>
      </c>
    </row>
    <row r="95" spans="1:10" ht="15.75" thickBot="1" x14ac:dyDescent="0.3">
      <c r="A95" s="27"/>
      <c r="B95" s="27"/>
      <c r="C95" s="27"/>
      <c r="D95" s="27"/>
      <c r="E95" s="27"/>
      <c r="F95" s="27"/>
      <c r="G95" s="27"/>
      <c r="H95" s="27"/>
      <c r="I95" s="27" t="s">
        <v>463</v>
      </c>
      <c r="J95" s="29">
        <v>3450</v>
      </c>
    </row>
    <row r="96" spans="1:10" x14ac:dyDescent="0.25">
      <c r="A96" s="27"/>
      <c r="B96" s="27"/>
      <c r="C96" s="27"/>
      <c r="D96" s="27"/>
      <c r="E96" s="27"/>
      <c r="F96" s="27"/>
      <c r="G96" s="27"/>
      <c r="H96" s="27" t="s">
        <v>464</v>
      </c>
      <c r="I96" s="27"/>
      <c r="J96" s="28">
        <f>ROUND(SUM(J92:J95),5)</f>
        <v>192250</v>
      </c>
    </row>
    <row r="97" spans="1:10" ht="30" customHeight="1" x14ac:dyDescent="0.25">
      <c r="A97" s="27"/>
      <c r="B97" s="27"/>
      <c r="C97" s="27"/>
      <c r="D97" s="27"/>
      <c r="E97" s="27"/>
      <c r="F97" s="27"/>
      <c r="G97" s="27"/>
      <c r="H97" s="27" t="s">
        <v>776</v>
      </c>
      <c r="I97" s="27"/>
      <c r="J97" s="28"/>
    </row>
    <row r="98" spans="1:10" x14ac:dyDescent="0.25">
      <c r="A98" s="27"/>
      <c r="B98" s="27"/>
      <c r="C98" s="27"/>
      <c r="D98" s="27"/>
      <c r="E98" s="27"/>
      <c r="F98" s="27"/>
      <c r="G98" s="27"/>
      <c r="H98" s="27"/>
      <c r="I98" s="27" t="s">
        <v>873</v>
      </c>
      <c r="J98" s="28">
        <v>0</v>
      </c>
    </row>
    <row r="99" spans="1:10" x14ac:dyDescent="0.25">
      <c r="A99" s="27"/>
      <c r="B99" s="27"/>
      <c r="C99" s="27"/>
      <c r="D99" s="27"/>
      <c r="E99" s="27"/>
      <c r="F99" s="27"/>
      <c r="G99" s="27"/>
      <c r="H99" s="27"/>
      <c r="I99" s="27" t="s">
        <v>896</v>
      </c>
      <c r="J99" s="28">
        <v>102500</v>
      </c>
    </row>
    <row r="100" spans="1:10" x14ac:dyDescent="0.25">
      <c r="A100" s="27"/>
      <c r="B100" s="27"/>
      <c r="C100" s="27"/>
      <c r="D100" s="27"/>
      <c r="E100" s="27"/>
      <c r="F100" s="27"/>
      <c r="G100" s="27"/>
      <c r="H100" s="27"/>
      <c r="I100" s="27" t="s">
        <v>874</v>
      </c>
      <c r="J100" s="28">
        <v>12300</v>
      </c>
    </row>
    <row r="101" spans="1:10" ht="15.75" thickBot="1" x14ac:dyDescent="0.3">
      <c r="A101" s="27"/>
      <c r="B101" s="27"/>
      <c r="C101" s="27"/>
      <c r="D101" s="27"/>
      <c r="E101" s="27"/>
      <c r="F101" s="27"/>
      <c r="G101" s="27"/>
      <c r="H101" s="27"/>
      <c r="I101" s="27" t="s">
        <v>875</v>
      </c>
      <c r="J101" s="29">
        <v>3075</v>
      </c>
    </row>
    <row r="102" spans="1:10" x14ac:dyDescent="0.25">
      <c r="A102" s="27"/>
      <c r="B102" s="27"/>
      <c r="C102" s="27"/>
      <c r="D102" s="27"/>
      <c r="E102" s="27"/>
      <c r="F102" s="27"/>
      <c r="G102" s="27"/>
      <c r="H102" s="27" t="s">
        <v>876</v>
      </c>
      <c r="I102" s="27"/>
      <c r="J102" s="28">
        <f>ROUND(SUM(J97:J101),5)</f>
        <v>117875</v>
      </c>
    </row>
    <row r="103" spans="1:10" ht="30" customHeight="1" x14ac:dyDescent="0.25">
      <c r="A103" s="27"/>
      <c r="B103" s="27"/>
      <c r="C103" s="27"/>
      <c r="D103" s="27"/>
      <c r="E103" s="27"/>
      <c r="F103" s="27"/>
      <c r="G103" s="27"/>
      <c r="H103" s="27" t="s">
        <v>684</v>
      </c>
      <c r="I103" s="27"/>
      <c r="J103" s="28"/>
    </row>
    <row r="104" spans="1:10" x14ac:dyDescent="0.25">
      <c r="A104" s="27"/>
      <c r="B104" s="27"/>
      <c r="C104" s="27"/>
      <c r="D104" s="27"/>
      <c r="E104" s="27"/>
      <c r="F104" s="27"/>
      <c r="G104" s="27"/>
      <c r="H104" s="27"/>
      <c r="I104" s="27" t="s">
        <v>685</v>
      </c>
      <c r="J104" s="28">
        <v>31500</v>
      </c>
    </row>
    <row r="105" spans="1:10" x14ac:dyDescent="0.25">
      <c r="A105" s="27"/>
      <c r="B105" s="27"/>
      <c r="C105" s="27"/>
      <c r="D105" s="27"/>
      <c r="E105" s="27"/>
      <c r="F105" s="27"/>
      <c r="G105" s="27"/>
      <c r="H105" s="27"/>
      <c r="I105" s="27" t="s">
        <v>686</v>
      </c>
      <c r="J105" s="28">
        <v>72041.66</v>
      </c>
    </row>
    <row r="106" spans="1:10" x14ac:dyDescent="0.25">
      <c r="A106" s="27"/>
      <c r="B106" s="27"/>
      <c r="C106" s="27"/>
      <c r="D106" s="27"/>
      <c r="E106" s="27"/>
      <c r="F106" s="27"/>
      <c r="G106" s="27"/>
      <c r="H106" s="27"/>
      <c r="I106" s="27" t="s">
        <v>687</v>
      </c>
      <c r="J106" s="28">
        <v>8645</v>
      </c>
    </row>
    <row r="107" spans="1:10" ht="15.75" thickBot="1" x14ac:dyDescent="0.3">
      <c r="A107" s="27"/>
      <c r="B107" s="27"/>
      <c r="C107" s="27"/>
      <c r="D107" s="27"/>
      <c r="E107" s="27"/>
      <c r="F107" s="27"/>
      <c r="G107" s="27"/>
      <c r="H107" s="27"/>
      <c r="I107" s="27" t="s">
        <v>688</v>
      </c>
      <c r="J107" s="29">
        <v>2161.25</v>
      </c>
    </row>
    <row r="108" spans="1:10" x14ac:dyDescent="0.25">
      <c r="A108" s="27"/>
      <c r="B108" s="27"/>
      <c r="C108" s="27"/>
      <c r="D108" s="27"/>
      <c r="E108" s="27"/>
      <c r="F108" s="27"/>
      <c r="G108" s="27"/>
      <c r="H108" s="27" t="s">
        <v>689</v>
      </c>
      <c r="I108" s="27"/>
      <c r="J108" s="28">
        <f>ROUND(SUM(J103:J107),5)</f>
        <v>114347.91</v>
      </c>
    </row>
    <row r="109" spans="1:10" ht="30" customHeight="1" x14ac:dyDescent="0.25">
      <c r="A109" s="27"/>
      <c r="B109" s="27"/>
      <c r="C109" s="27"/>
      <c r="D109" s="27"/>
      <c r="E109" s="27"/>
      <c r="F109" s="27"/>
      <c r="G109" s="27"/>
      <c r="H109" s="27" t="s">
        <v>742</v>
      </c>
      <c r="I109" s="27"/>
      <c r="J109" s="28"/>
    </row>
    <row r="110" spans="1:10" x14ac:dyDescent="0.25">
      <c r="A110" s="27"/>
      <c r="B110" s="27"/>
      <c r="C110" s="27"/>
      <c r="D110" s="27"/>
      <c r="E110" s="27"/>
      <c r="F110" s="27"/>
      <c r="G110" s="27"/>
      <c r="H110" s="27"/>
      <c r="I110" s="27" t="s">
        <v>877</v>
      </c>
      <c r="J110" s="28">
        <v>32425</v>
      </c>
    </row>
    <row r="111" spans="1:10" x14ac:dyDescent="0.25">
      <c r="A111" s="27"/>
      <c r="B111" s="27"/>
      <c r="C111" s="27"/>
      <c r="D111" s="27"/>
      <c r="E111" s="27"/>
      <c r="F111" s="27"/>
      <c r="G111" s="27"/>
      <c r="H111" s="27"/>
      <c r="I111" s="27" t="s">
        <v>878</v>
      </c>
      <c r="J111" s="28">
        <v>177500</v>
      </c>
    </row>
    <row r="112" spans="1:10" x14ac:dyDescent="0.25">
      <c r="A112" s="27"/>
      <c r="B112" s="27"/>
      <c r="C112" s="27"/>
      <c r="D112" s="27"/>
      <c r="E112" s="27"/>
      <c r="F112" s="27"/>
      <c r="G112" s="27"/>
      <c r="H112" s="27"/>
      <c r="I112" s="27" t="s">
        <v>879</v>
      </c>
      <c r="J112" s="28">
        <v>17100</v>
      </c>
    </row>
    <row r="113" spans="1:10" ht="15.75" thickBot="1" x14ac:dyDescent="0.3">
      <c r="A113" s="27"/>
      <c r="B113" s="27"/>
      <c r="C113" s="27"/>
      <c r="D113" s="27"/>
      <c r="E113" s="27"/>
      <c r="F113" s="27"/>
      <c r="G113" s="27"/>
      <c r="H113" s="27"/>
      <c r="I113" s="27" t="s">
        <v>880</v>
      </c>
      <c r="J113" s="29">
        <v>4275</v>
      </c>
    </row>
    <row r="114" spans="1:10" x14ac:dyDescent="0.25">
      <c r="A114" s="27"/>
      <c r="B114" s="27"/>
      <c r="C114" s="27"/>
      <c r="D114" s="27"/>
      <c r="E114" s="27"/>
      <c r="F114" s="27"/>
      <c r="G114" s="27"/>
      <c r="H114" s="27" t="s">
        <v>881</v>
      </c>
      <c r="I114" s="27"/>
      <c r="J114" s="28">
        <f>ROUND(SUM(J109:J113),5)</f>
        <v>231300</v>
      </c>
    </row>
    <row r="115" spans="1:10" ht="30" customHeight="1" x14ac:dyDescent="0.25">
      <c r="A115" s="27"/>
      <c r="B115" s="27"/>
      <c r="C115" s="27"/>
      <c r="D115" s="27"/>
      <c r="E115" s="27"/>
      <c r="F115" s="27"/>
      <c r="G115" s="27"/>
      <c r="H115" s="27" t="s">
        <v>777</v>
      </c>
      <c r="I115" s="27"/>
      <c r="J115" s="28"/>
    </row>
    <row r="116" spans="1:10" x14ac:dyDescent="0.25">
      <c r="A116" s="27"/>
      <c r="B116" s="27"/>
      <c r="C116" s="27"/>
      <c r="D116" s="27"/>
      <c r="E116" s="27"/>
      <c r="F116" s="27"/>
      <c r="G116" s="27"/>
      <c r="H116" s="27"/>
      <c r="I116" s="27" t="s">
        <v>882</v>
      </c>
      <c r="J116" s="28">
        <v>43000</v>
      </c>
    </row>
    <row r="117" spans="1:10" x14ac:dyDescent="0.25">
      <c r="A117" s="27"/>
      <c r="B117" s="27"/>
      <c r="C117" s="27"/>
      <c r="D117" s="27"/>
      <c r="E117" s="27"/>
      <c r="F117" s="27"/>
      <c r="G117" s="27"/>
      <c r="H117" s="27"/>
      <c r="I117" s="27" t="s">
        <v>897</v>
      </c>
      <c r="J117" s="28">
        <v>100000</v>
      </c>
    </row>
    <row r="118" spans="1:10" x14ac:dyDescent="0.25">
      <c r="A118" s="27"/>
      <c r="B118" s="27"/>
      <c r="C118" s="27"/>
      <c r="D118" s="27"/>
      <c r="E118" s="27"/>
      <c r="F118" s="27"/>
      <c r="G118" s="27"/>
      <c r="H118" s="27"/>
      <c r="I118" s="27" t="s">
        <v>883</v>
      </c>
      <c r="J118" s="28">
        <v>12000</v>
      </c>
    </row>
    <row r="119" spans="1:10" ht="15.75" thickBot="1" x14ac:dyDescent="0.3">
      <c r="A119" s="27"/>
      <c r="B119" s="27"/>
      <c r="C119" s="27"/>
      <c r="D119" s="27"/>
      <c r="E119" s="27"/>
      <c r="F119" s="27"/>
      <c r="G119" s="27"/>
      <c r="H119" s="27"/>
      <c r="I119" s="27" t="s">
        <v>884</v>
      </c>
      <c r="J119" s="29">
        <v>3000</v>
      </c>
    </row>
    <row r="120" spans="1:10" x14ac:dyDescent="0.25">
      <c r="A120" s="27"/>
      <c r="B120" s="27"/>
      <c r="C120" s="27"/>
      <c r="D120" s="27"/>
      <c r="E120" s="27"/>
      <c r="F120" s="27"/>
      <c r="G120" s="27"/>
      <c r="H120" s="27" t="s">
        <v>885</v>
      </c>
      <c r="I120" s="27"/>
      <c r="J120" s="28">
        <f>ROUND(SUM(J115:J119),5)</f>
        <v>158000</v>
      </c>
    </row>
    <row r="121" spans="1:10" ht="30" customHeight="1" x14ac:dyDescent="0.25">
      <c r="A121" s="27"/>
      <c r="B121" s="27"/>
      <c r="C121" s="27"/>
      <c r="D121" s="27"/>
      <c r="E121" s="27"/>
      <c r="F121" s="27"/>
      <c r="G121" s="27"/>
      <c r="H121" s="27" t="s">
        <v>778</v>
      </c>
      <c r="I121" s="27"/>
      <c r="J121" s="28"/>
    </row>
    <row r="122" spans="1:10" x14ac:dyDescent="0.25">
      <c r="A122" s="27"/>
      <c r="B122" s="27"/>
      <c r="C122" s="27"/>
      <c r="D122" s="27"/>
      <c r="E122" s="27"/>
      <c r="F122" s="27"/>
      <c r="G122" s="27"/>
      <c r="H122" s="27"/>
      <c r="I122" s="27" t="s">
        <v>886</v>
      </c>
      <c r="J122" s="28">
        <v>20000</v>
      </c>
    </row>
    <row r="123" spans="1:10" x14ac:dyDescent="0.25">
      <c r="A123" s="27"/>
      <c r="B123" s="27"/>
      <c r="C123" s="27"/>
      <c r="D123" s="27"/>
      <c r="E123" s="27"/>
      <c r="F123" s="27"/>
      <c r="G123" s="27"/>
      <c r="H123" s="27"/>
      <c r="I123" s="27" t="s">
        <v>898</v>
      </c>
      <c r="J123" s="28">
        <v>167500</v>
      </c>
    </row>
    <row r="124" spans="1:10" x14ac:dyDescent="0.25">
      <c r="A124" s="27"/>
      <c r="B124" s="27"/>
      <c r="C124" s="27"/>
      <c r="D124" s="27"/>
      <c r="E124" s="27"/>
      <c r="F124" s="27"/>
      <c r="G124" s="27"/>
      <c r="H124" s="27"/>
      <c r="I124" s="27" t="s">
        <v>887</v>
      </c>
      <c r="J124" s="28">
        <v>7500</v>
      </c>
    </row>
    <row r="125" spans="1:10" ht="15.75" thickBot="1" x14ac:dyDescent="0.3">
      <c r="A125" s="27"/>
      <c r="B125" s="27"/>
      <c r="C125" s="27"/>
      <c r="D125" s="27"/>
      <c r="E125" s="27"/>
      <c r="F125" s="27"/>
      <c r="G125" s="27"/>
      <c r="H125" s="27"/>
      <c r="I125" s="27" t="s">
        <v>888</v>
      </c>
      <c r="J125" s="30">
        <v>1875</v>
      </c>
    </row>
    <row r="126" spans="1:10" ht="15.75" thickBot="1" x14ac:dyDescent="0.3">
      <c r="A126" s="27"/>
      <c r="B126" s="27"/>
      <c r="C126" s="27"/>
      <c r="D126" s="27"/>
      <c r="E126" s="27"/>
      <c r="F126" s="27"/>
      <c r="G126" s="27"/>
      <c r="H126" s="27" t="s">
        <v>889</v>
      </c>
      <c r="I126" s="27"/>
      <c r="J126" s="33">
        <f>ROUND(SUM(J121:J125),5)</f>
        <v>196875</v>
      </c>
    </row>
    <row r="127" spans="1:10" ht="30" customHeight="1" x14ac:dyDescent="0.25">
      <c r="A127" s="27"/>
      <c r="B127" s="27"/>
      <c r="C127" s="27"/>
      <c r="D127" s="27"/>
      <c r="E127" s="27"/>
      <c r="F127" s="27"/>
      <c r="G127" s="27" t="s">
        <v>471</v>
      </c>
      <c r="H127" s="27"/>
      <c r="I127" s="27"/>
      <c r="J127" s="28">
        <f>ROUND(J30+J36+J39+J44+J50+J55+J61+J67+J73+J79+J85+J91+J96+J102+J108+J114+J120+J126,5)</f>
        <v>5701290.9000000004</v>
      </c>
    </row>
    <row r="128" spans="1:10" ht="30" customHeight="1" x14ac:dyDescent="0.25">
      <c r="A128" s="27"/>
      <c r="B128" s="27"/>
      <c r="C128" s="27"/>
      <c r="D128" s="27"/>
      <c r="E128" s="27"/>
      <c r="F128" s="27"/>
      <c r="G128" s="27" t="s">
        <v>779</v>
      </c>
      <c r="H128" s="27"/>
      <c r="I128" s="27"/>
      <c r="J128" s="28">
        <v>140681.71</v>
      </c>
    </row>
    <row r="129" spans="1:12" x14ac:dyDescent="0.25">
      <c r="A129" s="27"/>
      <c r="B129" s="27"/>
      <c r="C129" s="27"/>
      <c r="D129" s="27"/>
      <c r="E129" s="27"/>
      <c r="F129" s="27"/>
      <c r="G129" s="27" t="s">
        <v>839</v>
      </c>
      <c r="H129" s="27"/>
      <c r="I129" s="27"/>
      <c r="J129" s="28">
        <v>0</v>
      </c>
    </row>
    <row r="130" spans="1:12" ht="15.75" thickBot="1" x14ac:dyDescent="0.3">
      <c r="A130" s="27"/>
      <c r="B130" s="27"/>
      <c r="C130" s="27"/>
      <c r="D130" s="27"/>
      <c r="E130" s="27"/>
      <c r="F130" s="27"/>
      <c r="G130" s="27" t="s">
        <v>899</v>
      </c>
      <c r="H130" s="27"/>
      <c r="I130" s="27"/>
      <c r="J130" s="29">
        <v>0</v>
      </c>
    </row>
    <row r="131" spans="1:12" x14ac:dyDescent="0.25">
      <c r="A131" s="27"/>
      <c r="B131" s="27"/>
      <c r="C131" s="27"/>
      <c r="D131" s="27"/>
      <c r="E131" s="27"/>
      <c r="F131" s="27" t="s">
        <v>780</v>
      </c>
      <c r="G131" s="27"/>
      <c r="H131" s="27"/>
      <c r="I131" s="27"/>
      <c r="J131" s="28">
        <f>ROUND(J16+J20+SUM(J24:J29)+SUM(J127:J130),5)</f>
        <v>6369352.4400000004</v>
      </c>
    </row>
    <row r="132" spans="1:12" ht="30" customHeight="1" x14ac:dyDescent="0.25">
      <c r="A132" s="27"/>
      <c r="B132" s="27"/>
      <c r="C132" s="27"/>
      <c r="D132" s="27"/>
      <c r="E132" s="27"/>
      <c r="F132" s="27" t="s">
        <v>781</v>
      </c>
      <c r="G132" s="27"/>
      <c r="H132" s="27"/>
      <c r="I132" s="27"/>
      <c r="J132" s="28"/>
    </row>
    <row r="133" spans="1:12" x14ac:dyDescent="0.25">
      <c r="A133" s="27"/>
      <c r="B133" s="27"/>
      <c r="C133" s="27"/>
      <c r="D133" s="27"/>
      <c r="E133" s="27"/>
      <c r="F133" s="27"/>
      <c r="G133" s="27" t="s">
        <v>718</v>
      </c>
      <c r="H133" s="27"/>
      <c r="I133" s="27"/>
      <c r="J133" s="28"/>
    </row>
    <row r="134" spans="1:12" x14ac:dyDescent="0.25">
      <c r="A134" s="27"/>
      <c r="B134" s="27"/>
      <c r="C134" s="27"/>
      <c r="D134" s="27"/>
      <c r="E134" s="27"/>
      <c r="F134" s="27"/>
      <c r="G134" s="27"/>
      <c r="H134" s="27" t="s">
        <v>782</v>
      </c>
      <c r="I134" s="27"/>
      <c r="J134" s="28">
        <v>0</v>
      </c>
    </row>
    <row r="135" spans="1:12" ht="15.75" thickBot="1" x14ac:dyDescent="0.3">
      <c r="A135" s="27"/>
      <c r="B135" s="27"/>
      <c r="C135" s="27"/>
      <c r="D135" s="27"/>
      <c r="E135" s="27"/>
      <c r="F135" s="27"/>
      <c r="G135" s="27"/>
      <c r="H135" s="27" t="s">
        <v>783</v>
      </c>
      <c r="I135" s="27"/>
      <c r="J135" s="29">
        <v>1571.36</v>
      </c>
    </row>
    <row r="136" spans="1:12" x14ac:dyDescent="0.25">
      <c r="A136" s="27"/>
      <c r="B136" s="27"/>
      <c r="C136" s="27"/>
      <c r="D136" s="27"/>
      <c r="E136" s="27"/>
      <c r="F136" s="27"/>
      <c r="G136" s="27" t="s">
        <v>784</v>
      </c>
      <c r="H136" s="27"/>
      <c r="I136" s="27"/>
      <c r="J136" s="28">
        <f>ROUND(SUM(J133:J135),5)</f>
        <v>1571.36</v>
      </c>
    </row>
    <row r="137" spans="1:12" ht="30" customHeight="1" x14ac:dyDescent="0.25">
      <c r="A137" s="27"/>
      <c r="B137" s="27"/>
      <c r="C137" s="27"/>
      <c r="D137" s="27"/>
      <c r="E137" s="27"/>
      <c r="F137" s="27"/>
      <c r="G137" s="27" t="s">
        <v>785</v>
      </c>
      <c r="H137" s="27"/>
      <c r="I137" s="27"/>
      <c r="J137" s="28">
        <v>224489.8</v>
      </c>
    </row>
    <row r="138" spans="1:12" x14ac:dyDescent="0.25">
      <c r="A138" s="27"/>
      <c r="B138" s="27"/>
      <c r="C138" s="27"/>
      <c r="D138" s="27"/>
      <c r="E138" s="27"/>
      <c r="F138" s="27"/>
      <c r="G138" s="27" t="s">
        <v>786</v>
      </c>
      <c r="H138" s="27"/>
      <c r="I138" s="27"/>
      <c r="J138" s="28">
        <v>-12769.83</v>
      </c>
    </row>
    <row r="139" spans="1:12" x14ac:dyDescent="0.25">
      <c r="A139" s="27"/>
      <c r="B139" s="27"/>
      <c r="C139" s="27"/>
      <c r="D139" s="27"/>
      <c r="E139" s="27"/>
      <c r="F139" s="27"/>
      <c r="G139" s="27" t="s">
        <v>787</v>
      </c>
      <c r="H139" s="27"/>
      <c r="I139" s="27"/>
      <c r="J139" s="28">
        <v>283472.7</v>
      </c>
    </row>
    <row r="140" spans="1:12" x14ac:dyDescent="0.25">
      <c r="A140" s="27"/>
      <c r="B140" s="27"/>
      <c r="C140" s="27"/>
      <c r="D140" s="27"/>
      <c r="E140" s="27"/>
      <c r="F140" s="27"/>
      <c r="G140" s="27" t="s">
        <v>788</v>
      </c>
      <c r="H140" s="27"/>
      <c r="I140" s="27"/>
      <c r="J140" s="28">
        <v>0</v>
      </c>
    </row>
    <row r="141" spans="1:12" x14ac:dyDescent="0.25">
      <c r="A141" s="27"/>
      <c r="B141" s="27"/>
      <c r="C141" s="27"/>
      <c r="D141" s="27"/>
      <c r="E141" s="27"/>
      <c r="F141" s="27"/>
      <c r="G141" s="27" t="s">
        <v>789</v>
      </c>
      <c r="H141" s="27"/>
      <c r="I141" s="27"/>
      <c r="J141" s="28">
        <v>0</v>
      </c>
    </row>
    <row r="142" spans="1:12" ht="15.75" thickBot="1" x14ac:dyDescent="0.3">
      <c r="A142" s="27"/>
      <c r="B142" s="27"/>
      <c r="C142" s="27"/>
      <c r="D142" s="27"/>
      <c r="E142" s="27"/>
      <c r="F142" s="27"/>
      <c r="G142" s="27" t="s">
        <v>900</v>
      </c>
      <c r="H142" s="27"/>
      <c r="I142" s="27"/>
      <c r="J142" s="29">
        <v>61720.5</v>
      </c>
    </row>
    <row r="143" spans="1:12" x14ac:dyDescent="0.25">
      <c r="A143" s="27"/>
      <c r="B143" s="27"/>
      <c r="C143" s="27"/>
      <c r="D143" s="27"/>
      <c r="E143" s="27"/>
      <c r="F143" s="27" t="s">
        <v>790</v>
      </c>
      <c r="G143" s="27"/>
      <c r="H143" s="27"/>
      <c r="I143" s="27"/>
      <c r="J143" s="315">
        <f>ROUND(J132+SUM(J136:J142),5)</f>
        <v>558484.53</v>
      </c>
      <c r="L143" s="23">
        <f>J143/1000/147.23-'P8'!K126</f>
        <v>1.4511424674208597</v>
      </c>
    </row>
    <row r="144" spans="1:12" ht="30" customHeight="1" x14ac:dyDescent="0.25">
      <c r="A144" s="27"/>
      <c r="B144" s="27"/>
      <c r="C144" s="27"/>
      <c r="D144" s="27"/>
      <c r="E144" s="27"/>
      <c r="F144" s="27" t="s">
        <v>849</v>
      </c>
      <c r="G144" s="27"/>
      <c r="H144" s="27"/>
      <c r="I144" s="27"/>
      <c r="J144" s="28"/>
    </row>
    <row r="145" spans="1:10" ht="15.75" thickBot="1" x14ac:dyDescent="0.3">
      <c r="A145" s="27"/>
      <c r="B145" s="27"/>
      <c r="C145" s="27"/>
      <c r="D145" s="27"/>
      <c r="E145" s="27"/>
      <c r="F145" s="27"/>
      <c r="G145" s="27" t="s">
        <v>901</v>
      </c>
      <c r="H145" s="27"/>
      <c r="I145" s="27"/>
      <c r="J145" s="29">
        <v>226528.8</v>
      </c>
    </row>
    <row r="146" spans="1:10" x14ac:dyDescent="0.25">
      <c r="A146" s="27"/>
      <c r="B146" s="27"/>
      <c r="C146" s="27"/>
      <c r="D146" s="27"/>
      <c r="E146" s="27"/>
      <c r="F146" s="27" t="s">
        <v>851</v>
      </c>
      <c r="G146" s="27"/>
      <c r="H146" s="27"/>
      <c r="I146" s="27"/>
      <c r="J146" s="28">
        <f>ROUND(SUM(J144:J145),5)</f>
        <v>226528.8</v>
      </c>
    </row>
    <row r="147" spans="1:10" ht="30" customHeight="1" x14ac:dyDescent="0.25">
      <c r="A147" s="27"/>
      <c r="B147" s="27"/>
      <c r="C147" s="27"/>
      <c r="D147" s="27"/>
      <c r="E147" s="27"/>
      <c r="F147" s="27" t="s">
        <v>797</v>
      </c>
      <c r="G147" s="27"/>
      <c r="H147" s="27"/>
      <c r="I147" s="27"/>
      <c r="J147" s="28"/>
    </row>
    <row r="148" spans="1:10" x14ac:dyDescent="0.25">
      <c r="A148" s="27"/>
      <c r="B148" s="27"/>
      <c r="C148" s="27"/>
      <c r="D148" s="27"/>
      <c r="E148" s="27"/>
      <c r="F148" s="27"/>
      <c r="G148" s="27" t="s">
        <v>820</v>
      </c>
      <c r="H148" s="27"/>
      <c r="I148" s="27"/>
      <c r="J148" s="28">
        <v>0</v>
      </c>
    </row>
    <row r="149" spans="1:10" x14ac:dyDescent="0.25">
      <c r="A149" s="27"/>
      <c r="B149" s="27"/>
      <c r="C149" s="27"/>
      <c r="D149" s="27"/>
      <c r="E149" s="27"/>
      <c r="F149" s="27"/>
      <c r="G149" s="27" t="s">
        <v>840</v>
      </c>
      <c r="H149" s="27"/>
      <c r="I149" s="27"/>
      <c r="J149" s="28"/>
    </row>
    <row r="150" spans="1:10" ht="15.75" thickBot="1" x14ac:dyDescent="0.3">
      <c r="A150" s="27"/>
      <c r="B150" s="27"/>
      <c r="C150" s="27"/>
      <c r="D150" s="27"/>
      <c r="E150" s="27"/>
      <c r="F150" s="27"/>
      <c r="G150" s="27"/>
      <c r="H150" s="27" t="s">
        <v>841</v>
      </c>
      <c r="I150" s="27"/>
      <c r="J150" s="29">
        <v>90753</v>
      </c>
    </row>
    <row r="151" spans="1:10" x14ac:dyDescent="0.25">
      <c r="A151" s="27"/>
      <c r="B151" s="27"/>
      <c r="C151" s="27"/>
      <c r="D151" s="27"/>
      <c r="E151" s="27"/>
      <c r="F151" s="27"/>
      <c r="G151" s="27" t="s">
        <v>842</v>
      </c>
      <c r="H151" s="27"/>
      <c r="I151" s="27"/>
      <c r="J151" s="28">
        <f>ROUND(SUM(J149:J150),5)</f>
        <v>90753</v>
      </c>
    </row>
    <row r="152" spans="1:10" ht="30" customHeight="1" x14ac:dyDescent="0.25">
      <c r="A152" s="27"/>
      <c r="B152" s="27"/>
      <c r="C152" s="27"/>
      <c r="D152" s="27"/>
      <c r="E152" s="27"/>
      <c r="F152" s="27"/>
      <c r="G152" s="27" t="s">
        <v>798</v>
      </c>
      <c r="H152" s="27"/>
      <c r="I152" s="27"/>
      <c r="J152" s="28">
        <v>0</v>
      </c>
    </row>
    <row r="153" spans="1:10" ht="15.75" thickBot="1" x14ac:dyDescent="0.3">
      <c r="A153" s="27"/>
      <c r="B153" s="27"/>
      <c r="C153" s="27"/>
      <c r="D153" s="27"/>
      <c r="E153" s="27"/>
      <c r="F153" s="27"/>
      <c r="G153" s="27" t="s">
        <v>799</v>
      </c>
      <c r="H153" s="27"/>
      <c r="I153" s="27"/>
      <c r="J153" s="29">
        <v>5055</v>
      </c>
    </row>
    <row r="154" spans="1:10" x14ac:dyDescent="0.25">
      <c r="A154" s="27"/>
      <c r="B154" s="27"/>
      <c r="C154" s="27"/>
      <c r="D154" s="27"/>
      <c r="E154" s="27"/>
      <c r="F154" s="27" t="s">
        <v>800</v>
      </c>
      <c r="G154" s="27"/>
      <c r="H154" s="27"/>
      <c r="I154" s="27"/>
      <c r="J154" s="28">
        <f>ROUND(SUM(J147:J148)+SUM(J151:J153),5)</f>
        <v>95808</v>
      </c>
    </row>
    <row r="155" spans="1:10" ht="30" customHeight="1" x14ac:dyDescent="0.25">
      <c r="A155" s="27"/>
      <c r="B155" s="27"/>
      <c r="C155" s="27"/>
      <c r="D155" s="27"/>
      <c r="E155" s="27"/>
      <c r="F155" s="27" t="s">
        <v>801</v>
      </c>
      <c r="G155" s="27"/>
      <c r="H155" s="27"/>
      <c r="I155" s="27"/>
      <c r="J155" s="28"/>
    </row>
    <row r="156" spans="1:10" x14ac:dyDescent="0.25">
      <c r="A156" s="27"/>
      <c r="B156" s="27"/>
      <c r="C156" s="27"/>
      <c r="D156" s="27"/>
      <c r="E156" s="27"/>
      <c r="F156" s="27"/>
      <c r="G156" s="27" t="s">
        <v>802</v>
      </c>
      <c r="H156" s="27"/>
      <c r="I156" s="27"/>
      <c r="J156" s="28">
        <v>0</v>
      </c>
    </row>
    <row r="157" spans="1:10" x14ac:dyDescent="0.25">
      <c r="A157" s="27"/>
      <c r="B157" s="27"/>
      <c r="C157" s="27"/>
      <c r="D157" s="27"/>
      <c r="E157" s="27"/>
      <c r="F157" s="27"/>
      <c r="G157" s="27" t="s">
        <v>803</v>
      </c>
      <c r="H157" s="27"/>
      <c r="I157" s="27"/>
      <c r="J157" s="28">
        <v>90411.8</v>
      </c>
    </row>
    <row r="158" spans="1:10" x14ac:dyDescent="0.25">
      <c r="A158" s="27"/>
      <c r="B158" s="27"/>
      <c r="C158" s="27"/>
      <c r="D158" s="27"/>
      <c r="E158" s="27"/>
      <c r="F158" s="27"/>
      <c r="G158" s="27" t="s">
        <v>804</v>
      </c>
      <c r="H158" s="27"/>
      <c r="I158" s="27"/>
      <c r="J158" s="28">
        <v>125000</v>
      </c>
    </row>
    <row r="159" spans="1:10" x14ac:dyDescent="0.25">
      <c r="A159" s="27"/>
      <c r="B159" s="27"/>
      <c r="C159" s="27"/>
      <c r="D159" s="27"/>
      <c r="E159" s="27"/>
      <c r="F159" s="27"/>
      <c r="G159" s="27" t="s">
        <v>805</v>
      </c>
      <c r="H159" s="27"/>
      <c r="I159" s="27"/>
      <c r="J159" s="28">
        <v>0</v>
      </c>
    </row>
    <row r="160" spans="1:10" ht="15.75" thickBot="1" x14ac:dyDescent="0.3">
      <c r="A160" s="27"/>
      <c r="B160" s="27"/>
      <c r="C160" s="27"/>
      <c r="D160" s="27"/>
      <c r="E160" s="27"/>
      <c r="F160" s="27"/>
      <c r="G160" s="27" t="s">
        <v>902</v>
      </c>
      <c r="H160" s="27"/>
      <c r="I160" s="27"/>
      <c r="J160" s="30">
        <v>177275.47</v>
      </c>
    </row>
    <row r="161" spans="1:10" ht="15.75" thickBot="1" x14ac:dyDescent="0.3">
      <c r="A161" s="27"/>
      <c r="B161" s="27"/>
      <c r="C161" s="27"/>
      <c r="D161" s="27"/>
      <c r="E161" s="27"/>
      <c r="F161" s="27" t="s">
        <v>806</v>
      </c>
      <c r="G161" s="27"/>
      <c r="H161" s="27"/>
      <c r="I161" s="27"/>
      <c r="J161" s="33">
        <f>ROUND(SUM(J155:J160),5)</f>
        <v>392687.27</v>
      </c>
    </row>
    <row r="162" spans="1:10" ht="30" customHeight="1" x14ac:dyDescent="0.25">
      <c r="A162" s="27"/>
      <c r="B162" s="27"/>
      <c r="C162" s="27"/>
      <c r="D162" s="27"/>
      <c r="E162" s="27" t="s">
        <v>807</v>
      </c>
      <c r="F162" s="27"/>
      <c r="G162" s="27"/>
      <c r="H162" s="27"/>
      <c r="I162" s="27"/>
      <c r="J162" s="28">
        <f>ROUND(J15+J131+J143+J146+J154+J161,5)</f>
        <v>7642861.04</v>
      </c>
    </row>
    <row r="163" spans="1:10" ht="30" customHeight="1" x14ac:dyDescent="0.25">
      <c r="A163" s="27"/>
      <c r="B163" s="27"/>
      <c r="C163" s="27"/>
      <c r="D163" s="27"/>
      <c r="E163" s="27" t="s">
        <v>808</v>
      </c>
      <c r="F163" s="27"/>
      <c r="G163" s="27"/>
      <c r="H163" s="27"/>
      <c r="I163" s="27"/>
      <c r="J163" s="28"/>
    </row>
    <row r="164" spans="1:10" x14ac:dyDescent="0.25">
      <c r="A164" s="27"/>
      <c r="B164" s="27"/>
      <c r="C164" s="27"/>
      <c r="D164" s="27"/>
      <c r="E164" s="27"/>
      <c r="F164" s="27" t="s">
        <v>809</v>
      </c>
      <c r="G164" s="27"/>
      <c r="H164" s="27"/>
      <c r="I164" s="27"/>
      <c r="J164" s="28">
        <v>50000</v>
      </c>
    </row>
    <row r="165" spans="1:10" x14ac:dyDescent="0.25">
      <c r="A165" s="27"/>
      <c r="B165" s="27"/>
      <c r="C165" s="27"/>
      <c r="D165" s="27"/>
      <c r="E165" s="27"/>
      <c r="F165" s="27" t="s">
        <v>810</v>
      </c>
      <c r="G165" s="27"/>
      <c r="H165" s="27"/>
      <c r="I165" s="27"/>
      <c r="J165" s="28">
        <v>0</v>
      </c>
    </row>
    <row r="166" spans="1:10" ht="15.75" thickBot="1" x14ac:dyDescent="0.3">
      <c r="A166" s="27"/>
      <c r="B166" s="27"/>
      <c r="C166" s="27"/>
      <c r="D166" s="27"/>
      <c r="E166" s="27"/>
      <c r="F166" s="27" t="s">
        <v>890</v>
      </c>
      <c r="G166" s="27"/>
      <c r="H166" s="27"/>
      <c r="I166" s="27"/>
      <c r="J166" s="30">
        <v>0</v>
      </c>
    </row>
    <row r="167" spans="1:10" ht="15.75" thickBot="1" x14ac:dyDescent="0.3">
      <c r="A167" s="27"/>
      <c r="B167" s="27"/>
      <c r="C167" s="27"/>
      <c r="D167" s="27"/>
      <c r="E167" s="27" t="s">
        <v>811</v>
      </c>
      <c r="F167" s="27"/>
      <c r="G167" s="27"/>
      <c r="H167" s="27"/>
      <c r="I167" s="27"/>
      <c r="J167" s="34">
        <f>ROUND(SUM(J163:J166),5)</f>
        <v>50000</v>
      </c>
    </row>
    <row r="168" spans="1:10" ht="30" customHeight="1" thickBot="1" x14ac:dyDescent="0.3">
      <c r="A168" s="27"/>
      <c r="B168" s="27"/>
      <c r="C168" s="27"/>
      <c r="D168" s="27" t="s">
        <v>357</v>
      </c>
      <c r="E168" s="27"/>
      <c r="F168" s="27"/>
      <c r="G168" s="27"/>
      <c r="H168" s="27"/>
      <c r="I168" s="27"/>
      <c r="J168" s="34">
        <f>ROUND(SUM(J13:J14)+J162+J167,5)</f>
        <v>7692861.04</v>
      </c>
    </row>
    <row r="169" spans="1:10" ht="30" customHeight="1" thickBot="1" x14ac:dyDescent="0.3">
      <c r="A169" s="27"/>
      <c r="B169" s="27" t="s">
        <v>358</v>
      </c>
      <c r="C169" s="27"/>
      <c r="D169" s="27"/>
      <c r="E169" s="27"/>
      <c r="F169" s="27"/>
      <c r="G169" s="27"/>
      <c r="H169" s="27"/>
      <c r="I169" s="27"/>
      <c r="J169" s="34">
        <f>ROUND(J2+J12-J168,5)</f>
        <v>2219273.96</v>
      </c>
    </row>
    <row r="170" spans="1:10" s="104" customFormat="1" ht="30" customHeight="1" thickBot="1" x14ac:dyDescent="0.25">
      <c r="A170" s="27" t="s">
        <v>372</v>
      </c>
      <c r="B170" s="27"/>
      <c r="C170" s="27"/>
      <c r="D170" s="27"/>
      <c r="E170" s="27"/>
      <c r="F170" s="27"/>
      <c r="G170" s="27"/>
      <c r="H170" s="27"/>
      <c r="I170" s="27"/>
      <c r="J170" s="35">
        <f>J169</f>
        <v>2219273.96</v>
      </c>
    </row>
    <row r="171" spans="1:10" ht="15.75" thickTop="1" x14ac:dyDescent="0.25"/>
  </sheetData>
  <pageMargins left="0.7" right="0.7" top="0.75" bottom="0.75" header="0.25" footer="0.3"/>
  <pageSetup orientation="portrait" r:id="rId1"/>
  <headerFooter>
    <oddHeader>&amp;L&amp;"Arial,Bold"&amp;8 1:28 AM
&amp;"Arial,Bold"&amp;8 10/06/16
&amp;"Arial,Bold"&amp;8 Accrual Basis&amp;C&amp;"Arial,Bold"&amp;12 TeKnowledge Shared Services (Pvt) Ltd
&amp;"Arial,Bold"&amp;14 Profit &amp;&amp; Loss
&amp;"Arial,Bold"&amp;10 August 26 through September 29, 2016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263170" r:id="rId4" name="HEADER">
          <controlPr defaultSize="0" autoLine="0" autoPict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0</xdr:colOff>
                <xdr:row>1</xdr:row>
                <xdr:rowOff>28575</xdr:rowOff>
              </to>
            </anchor>
          </controlPr>
        </control>
      </mc:Choice>
      <mc:Fallback>
        <control shapeId="263170" r:id="rId4" name="HEADER"/>
      </mc:Fallback>
    </mc:AlternateContent>
    <mc:AlternateContent xmlns:mc="http://schemas.openxmlformats.org/markup-compatibility/2006">
      <mc:Choice Requires="x14">
        <control shapeId="263169" r:id="rId6" name="FILTER">
          <controlPr defaultSize="0" autoLine="0" autoPict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0</xdr:colOff>
                <xdr:row>1</xdr:row>
                <xdr:rowOff>28575</xdr:rowOff>
              </to>
            </anchor>
          </controlPr>
        </control>
      </mc:Choice>
      <mc:Fallback>
        <control shapeId="263169" r:id="rId6" name="FILTER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theme="8" tint="0.39997558519241921"/>
  </sheetPr>
  <dimension ref="A1:Q146"/>
  <sheetViews>
    <sheetView workbookViewId="0">
      <pane xSplit="9" ySplit="1" topLeftCell="J2" activePane="bottomRight" state="frozenSplit"/>
      <selection pane="topRight" activeCell="J1" sqref="J1"/>
      <selection pane="bottomLeft" activeCell="A2" sqref="A2"/>
      <selection pane="bottomRight" activeCell="K8" sqref="K8"/>
    </sheetView>
  </sheetViews>
  <sheetFormatPr defaultRowHeight="15" x14ac:dyDescent="0.25"/>
  <cols>
    <col min="1" max="8" width="3" style="50" customWidth="1"/>
    <col min="9" max="9" width="27.5703125" style="50" customWidth="1"/>
    <col min="10" max="10" width="14.85546875" style="26" bestFit="1" customWidth="1"/>
    <col min="11" max="15" width="9.140625" style="23"/>
    <col min="16" max="16" width="28.140625" style="23" customWidth="1"/>
    <col min="17" max="17" width="13.5703125" style="23" customWidth="1"/>
    <col min="18" max="16384" width="9.140625" style="23"/>
  </cols>
  <sheetData>
    <row r="1" spans="1:17" s="102" customFormat="1" ht="15.75" thickBot="1" x14ac:dyDescent="0.3">
      <c r="A1" s="31"/>
      <c r="B1" s="31"/>
      <c r="C1" s="31"/>
      <c r="D1" s="31"/>
      <c r="E1" s="31"/>
      <c r="F1" s="31"/>
      <c r="G1" s="31"/>
      <c r="H1" s="31"/>
      <c r="I1" s="31"/>
      <c r="J1" s="32" t="s">
        <v>852</v>
      </c>
    </row>
    <row r="2" spans="1:17" ht="15.75" thickTop="1" x14ac:dyDescent="0.25">
      <c r="A2" s="27"/>
      <c r="B2" s="27" t="s">
        <v>53</v>
      </c>
      <c r="C2" s="27"/>
      <c r="D2" s="27"/>
      <c r="E2" s="27"/>
      <c r="F2" s="27"/>
      <c r="G2" s="27"/>
      <c r="H2" s="27"/>
      <c r="I2" s="27"/>
      <c r="J2" s="28"/>
      <c r="P2" s="226" t="s">
        <v>622</v>
      </c>
      <c r="Q2" s="227" t="s">
        <v>621</v>
      </c>
    </row>
    <row r="3" spans="1:17" x14ac:dyDescent="0.25">
      <c r="A3" s="27"/>
      <c r="B3" s="27"/>
      <c r="C3" s="27"/>
      <c r="D3" s="27" t="s">
        <v>54</v>
      </c>
      <c r="E3" s="27"/>
      <c r="F3" s="27"/>
      <c r="G3" s="27"/>
      <c r="H3" s="27"/>
      <c r="I3" s="27"/>
      <c r="J3" s="28"/>
      <c r="P3" s="164" t="s">
        <v>812</v>
      </c>
      <c r="Q3" s="295">
        <f>J115</f>
        <v>5654143.1500000004</v>
      </c>
    </row>
    <row r="4" spans="1:17" x14ac:dyDescent="0.25">
      <c r="A4" s="27"/>
      <c r="B4" s="27"/>
      <c r="C4" s="27"/>
      <c r="D4" s="27"/>
      <c r="E4" s="27" t="s">
        <v>751</v>
      </c>
      <c r="F4" s="27"/>
      <c r="G4" s="27"/>
      <c r="H4" s="27"/>
      <c r="I4" s="27"/>
      <c r="J4" s="28"/>
      <c r="P4" s="164" t="s">
        <v>814</v>
      </c>
      <c r="Q4" s="296"/>
    </row>
    <row r="5" spans="1:17" x14ac:dyDescent="0.25">
      <c r="A5" s="27"/>
      <c r="B5" s="27"/>
      <c r="C5" s="27"/>
      <c r="D5" s="27"/>
      <c r="E5" s="27"/>
      <c r="F5" s="27" t="s">
        <v>752</v>
      </c>
      <c r="G5" s="27"/>
      <c r="H5" s="27"/>
      <c r="I5" s="27"/>
      <c r="J5" s="28">
        <v>143880</v>
      </c>
      <c r="P5" s="164" t="s">
        <v>815</v>
      </c>
      <c r="Q5" s="296"/>
    </row>
    <row r="6" spans="1:17" x14ac:dyDescent="0.25">
      <c r="A6" s="27"/>
      <c r="B6" s="27"/>
      <c r="C6" s="27"/>
      <c r="D6" s="27"/>
      <c r="E6" s="27"/>
      <c r="F6" s="27" t="s">
        <v>753</v>
      </c>
      <c r="G6" s="27"/>
      <c r="H6" s="27"/>
      <c r="I6" s="27"/>
      <c r="J6" s="28">
        <v>1018500</v>
      </c>
      <c r="P6" s="297" t="s">
        <v>25</v>
      </c>
      <c r="Q6" s="298">
        <f>SUM(Q3:Q5)</f>
        <v>5654143.1500000004</v>
      </c>
    </row>
    <row r="7" spans="1:17" x14ac:dyDescent="0.25">
      <c r="A7" s="27"/>
      <c r="B7" s="27"/>
      <c r="C7" s="27"/>
      <c r="D7" s="27"/>
      <c r="E7" s="27"/>
      <c r="F7" s="27" t="s">
        <v>754</v>
      </c>
      <c r="G7" s="27"/>
      <c r="H7" s="27"/>
      <c r="I7" s="27"/>
      <c r="J7" s="28">
        <f>863280+2175000</f>
        <v>3038280</v>
      </c>
      <c r="K7" s="23">
        <f>+J7/143.8</f>
        <v>21128.511821974964</v>
      </c>
      <c r="P7" s="299"/>
      <c r="Q7" s="300"/>
    </row>
    <row r="8" spans="1:17" ht="15.75" thickBot="1" x14ac:dyDescent="0.3">
      <c r="A8" s="27"/>
      <c r="B8" s="27"/>
      <c r="C8" s="27"/>
      <c r="D8" s="27"/>
      <c r="E8" s="27"/>
      <c r="F8" s="27" t="s">
        <v>755</v>
      </c>
      <c r="G8" s="27"/>
      <c r="H8" s="27"/>
      <c r="I8" s="27"/>
      <c r="J8" s="30">
        <v>5672100</v>
      </c>
      <c r="P8" s="301" t="s">
        <v>743</v>
      </c>
      <c r="Q8" s="302" t="s">
        <v>621</v>
      </c>
    </row>
    <row r="9" spans="1:17" ht="15.75" thickBot="1" x14ac:dyDescent="0.3">
      <c r="A9" s="27"/>
      <c r="B9" s="27"/>
      <c r="C9" s="27"/>
      <c r="D9" s="27"/>
      <c r="E9" s="27" t="s">
        <v>757</v>
      </c>
      <c r="F9" s="27"/>
      <c r="G9" s="27"/>
      <c r="H9" s="27"/>
      <c r="I9" s="27"/>
      <c r="J9" s="33">
        <f>ROUND(SUM(J4:J8),5)</f>
        <v>9872760</v>
      </c>
      <c r="P9" s="164" t="s">
        <v>813</v>
      </c>
      <c r="Q9" s="186">
        <f>J143-Q3</f>
        <v>1526782.8699999992</v>
      </c>
    </row>
    <row r="10" spans="1:17" ht="30" customHeight="1" x14ac:dyDescent="0.25">
      <c r="A10" s="27"/>
      <c r="B10" s="27"/>
      <c r="C10" s="27"/>
      <c r="D10" s="27" t="s">
        <v>88</v>
      </c>
      <c r="E10" s="27"/>
      <c r="F10" s="27"/>
      <c r="G10" s="27"/>
      <c r="H10" s="27"/>
      <c r="I10" s="27"/>
      <c r="J10" s="28">
        <f>ROUND(J3+J9,5)</f>
        <v>9872760</v>
      </c>
      <c r="P10" s="303" t="s">
        <v>25</v>
      </c>
      <c r="Q10" s="304">
        <f>SUM(Q9:Q9)</f>
        <v>1526782.8699999992</v>
      </c>
    </row>
    <row r="11" spans="1:17" ht="30" customHeight="1" x14ac:dyDescent="0.25">
      <c r="A11" s="27"/>
      <c r="B11" s="27"/>
      <c r="C11" s="27"/>
      <c r="D11" s="27" t="s">
        <v>89</v>
      </c>
      <c r="E11" s="27"/>
      <c r="F11" s="27"/>
      <c r="G11" s="27"/>
      <c r="H11" s="27"/>
      <c r="I11" s="27"/>
      <c r="J11" s="28"/>
    </row>
    <row r="12" spans="1:17" ht="15.75" thickBot="1" x14ac:dyDescent="0.3">
      <c r="A12" s="27"/>
      <c r="B12" s="27"/>
      <c r="C12" s="27"/>
      <c r="D12" s="27"/>
      <c r="E12" s="27" t="s">
        <v>853</v>
      </c>
      <c r="F12" s="27"/>
      <c r="G12" s="27"/>
      <c r="H12" s="27"/>
      <c r="I12" s="27"/>
      <c r="J12" s="30">
        <v>0.25</v>
      </c>
    </row>
    <row r="13" spans="1:17" ht="15.75" thickBot="1" x14ac:dyDescent="0.3">
      <c r="A13" s="27"/>
      <c r="B13" s="27"/>
      <c r="C13" s="27"/>
      <c r="D13" s="27" t="s">
        <v>146</v>
      </c>
      <c r="E13" s="27"/>
      <c r="F13" s="27"/>
      <c r="G13" s="27"/>
      <c r="H13" s="27"/>
      <c r="I13" s="27"/>
      <c r="J13" s="33">
        <f>ROUND(SUM(J11:J12),5)</f>
        <v>0.25</v>
      </c>
    </row>
    <row r="14" spans="1:17" ht="30" customHeight="1" x14ac:dyDescent="0.25">
      <c r="A14" s="27"/>
      <c r="B14" s="27"/>
      <c r="C14" s="27" t="s">
        <v>147</v>
      </c>
      <c r="D14" s="27"/>
      <c r="E14" s="27"/>
      <c r="F14" s="27"/>
      <c r="G14" s="27"/>
      <c r="H14" s="27"/>
      <c r="I14" s="27"/>
      <c r="J14" s="28">
        <f>ROUND(J10-J13,5)</f>
        <v>9872759.75</v>
      </c>
    </row>
    <row r="15" spans="1:17" ht="30" customHeight="1" x14ac:dyDescent="0.25">
      <c r="A15" s="27"/>
      <c r="B15" s="27"/>
      <c r="C15" s="27"/>
      <c r="D15" s="27" t="s">
        <v>148</v>
      </c>
      <c r="E15" s="27"/>
      <c r="F15" s="27"/>
      <c r="G15" s="27"/>
      <c r="H15" s="27"/>
      <c r="I15" s="27"/>
      <c r="J15" s="28"/>
    </row>
    <row r="16" spans="1:17" x14ac:dyDescent="0.25">
      <c r="A16" s="27"/>
      <c r="B16" s="27"/>
      <c r="C16" s="27"/>
      <c r="D16" s="27"/>
      <c r="E16" s="27" t="s">
        <v>758</v>
      </c>
      <c r="F16" s="27"/>
      <c r="G16" s="27"/>
      <c r="H16" s="27"/>
      <c r="I16" s="27"/>
      <c r="J16" s="28"/>
    </row>
    <row r="17" spans="1:10" x14ac:dyDescent="0.25">
      <c r="A17" s="27"/>
      <c r="B17" s="27"/>
      <c r="C17" s="27"/>
      <c r="D17" s="27"/>
      <c r="E17" s="27"/>
      <c r="F17" s="27" t="s">
        <v>759</v>
      </c>
      <c r="G17" s="27"/>
      <c r="H17" s="27"/>
      <c r="I17" s="27"/>
      <c r="J17" s="28"/>
    </row>
    <row r="18" spans="1:10" x14ac:dyDescent="0.25">
      <c r="A18" s="27"/>
      <c r="B18" s="27"/>
      <c r="C18" s="27"/>
      <c r="D18" s="27"/>
      <c r="E18" s="27"/>
      <c r="F18" s="27"/>
      <c r="G18" s="27" t="s">
        <v>762</v>
      </c>
      <c r="H18" s="27"/>
      <c r="I18" s="27"/>
      <c r="J18" s="28"/>
    </row>
    <row r="19" spans="1:10" x14ac:dyDescent="0.25">
      <c r="A19" s="27"/>
      <c r="B19" s="27"/>
      <c r="C19" s="27"/>
      <c r="D19" s="27"/>
      <c r="E19" s="27"/>
      <c r="F19" s="27"/>
      <c r="G19" s="27"/>
      <c r="H19" s="27" t="s">
        <v>763</v>
      </c>
      <c r="I19" s="27"/>
      <c r="J19" s="28">
        <v>59938.04</v>
      </c>
    </row>
    <row r="20" spans="1:10" ht="15.75" thickBot="1" x14ac:dyDescent="0.3">
      <c r="A20" s="27"/>
      <c r="B20" s="27"/>
      <c r="C20" s="27"/>
      <c r="D20" s="27"/>
      <c r="E20" s="27"/>
      <c r="F20" s="27"/>
      <c r="G20" s="27"/>
      <c r="H20" s="27" t="s">
        <v>764</v>
      </c>
      <c r="I20" s="27"/>
      <c r="J20" s="29">
        <v>4845</v>
      </c>
    </row>
    <row r="21" spans="1:10" x14ac:dyDescent="0.25">
      <c r="A21" s="27"/>
      <c r="B21" s="27"/>
      <c r="C21" s="27"/>
      <c r="D21" s="27"/>
      <c r="E21" s="27"/>
      <c r="F21" s="27"/>
      <c r="G21" s="27" t="s">
        <v>766</v>
      </c>
      <c r="H21" s="27"/>
      <c r="I21" s="27"/>
      <c r="J21" s="28">
        <f>ROUND(SUM(J18:J20),5)</f>
        <v>64783.040000000001</v>
      </c>
    </row>
    <row r="22" spans="1:10" ht="30" customHeight="1" x14ac:dyDescent="0.25">
      <c r="A22" s="27"/>
      <c r="B22" s="27"/>
      <c r="C22" s="27"/>
      <c r="D22" s="27"/>
      <c r="E22" s="27"/>
      <c r="F22" s="27"/>
      <c r="G22" s="27" t="s">
        <v>825</v>
      </c>
      <c r="H22" s="27"/>
      <c r="I22" s="27"/>
      <c r="J22" s="28">
        <v>80000</v>
      </c>
    </row>
    <row r="23" spans="1:10" x14ac:dyDescent="0.25">
      <c r="A23" s="27"/>
      <c r="B23" s="27"/>
      <c r="C23" s="27"/>
      <c r="D23" s="27"/>
      <c r="E23" s="27"/>
      <c r="F23" s="27"/>
      <c r="G23" s="27" t="s">
        <v>772</v>
      </c>
      <c r="H23" s="27"/>
      <c r="I23" s="27"/>
      <c r="J23" s="28">
        <v>7830</v>
      </c>
    </row>
    <row r="24" spans="1:10" x14ac:dyDescent="0.25">
      <c r="A24" s="27"/>
      <c r="B24" s="27"/>
      <c r="C24" s="27"/>
      <c r="D24" s="27"/>
      <c r="E24" s="27"/>
      <c r="F24" s="27"/>
      <c r="G24" s="27" t="s">
        <v>848</v>
      </c>
      <c r="H24" s="27"/>
      <c r="I24" s="27"/>
      <c r="J24" s="28">
        <v>106333</v>
      </c>
    </row>
    <row r="25" spans="1:10" x14ac:dyDescent="0.25">
      <c r="A25" s="27"/>
      <c r="B25" s="27"/>
      <c r="C25" s="27"/>
      <c r="D25" s="27"/>
      <c r="E25" s="27"/>
      <c r="F25" s="27"/>
      <c r="G25" s="27" t="s">
        <v>854</v>
      </c>
      <c r="H25" s="27"/>
      <c r="I25" s="27"/>
      <c r="J25" s="28">
        <v>70380</v>
      </c>
    </row>
    <row r="26" spans="1:10" x14ac:dyDescent="0.25">
      <c r="A26" s="27"/>
      <c r="B26" s="27"/>
      <c r="C26" s="27"/>
      <c r="D26" s="27"/>
      <c r="E26" s="27"/>
      <c r="F26" s="27"/>
      <c r="G26" s="27" t="s">
        <v>855</v>
      </c>
      <c r="H26" s="27"/>
      <c r="I26" s="27"/>
      <c r="J26" s="28">
        <v>87236.01</v>
      </c>
    </row>
    <row r="27" spans="1:10" x14ac:dyDescent="0.25">
      <c r="A27" s="27"/>
      <c r="B27" s="27"/>
      <c r="C27" s="27"/>
      <c r="D27" s="27"/>
      <c r="E27" s="27"/>
      <c r="F27" s="27"/>
      <c r="G27" s="27" t="s">
        <v>428</v>
      </c>
      <c r="H27" s="27"/>
      <c r="I27" s="27"/>
      <c r="J27" s="28"/>
    </row>
    <row r="28" spans="1:10" x14ac:dyDescent="0.25">
      <c r="A28" s="27"/>
      <c r="B28" s="27"/>
      <c r="C28" s="27"/>
      <c r="D28" s="27"/>
      <c r="E28" s="27"/>
      <c r="F28" s="27"/>
      <c r="G28" s="27"/>
      <c r="H28" s="27" t="s">
        <v>429</v>
      </c>
      <c r="I28" s="27"/>
      <c r="J28" s="28"/>
    </row>
    <row r="29" spans="1:10" x14ac:dyDescent="0.25">
      <c r="A29" s="27"/>
      <c r="B29" s="27"/>
      <c r="C29" s="27"/>
      <c r="D29" s="27"/>
      <c r="E29" s="27"/>
      <c r="F29" s="27"/>
      <c r="G29" s="27"/>
      <c r="H29" s="27"/>
      <c r="I29" s="27" t="s">
        <v>430</v>
      </c>
      <c r="J29" s="28">
        <v>212068.75</v>
      </c>
    </row>
    <row r="30" spans="1:10" x14ac:dyDescent="0.25">
      <c r="A30" s="27"/>
      <c r="B30" s="27"/>
      <c r="C30" s="27"/>
      <c r="D30" s="27"/>
      <c r="E30" s="27"/>
      <c r="F30" s="27"/>
      <c r="G30" s="27"/>
      <c r="H30" s="27"/>
      <c r="I30" s="27" t="s">
        <v>432</v>
      </c>
      <c r="J30" s="28">
        <v>19604</v>
      </c>
    </row>
    <row r="31" spans="1:10" ht="15.75" thickBot="1" x14ac:dyDescent="0.3">
      <c r="A31" s="27"/>
      <c r="B31" s="27"/>
      <c r="C31" s="27"/>
      <c r="D31" s="27"/>
      <c r="E31" s="27"/>
      <c r="F31" s="27"/>
      <c r="G31" s="27"/>
      <c r="H31" s="27"/>
      <c r="I31" s="27" t="s">
        <v>433</v>
      </c>
      <c r="J31" s="29">
        <v>4901</v>
      </c>
    </row>
    <row r="32" spans="1:10" x14ac:dyDescent="0.25">
      <c r="A32" s="27"/>
      <c r="B32" s="27"/>
      <c r="C32" s="27"/>
      <c r="D32" s="27"/>
      <c r="E32" s="27"/>
      <c r="F32" s="27"/>
      <c r="G32" s="27"/>
      <c r="H32" s="27" t="s">
        <v>434</v>
      </c>
      <c r="I32" s="27"/>
      <c r="J32" s="28">
        <f>ROUND(SUM(J28:J31),5)</f>
        <v>236573.75</v>
      </c>
    </row>
    <row r="33" spans="1:10" ht="30" customHeight="1" x14ac:dyDescent="0.25">
      <c r="A33" s="27"/>
      <c r="B33" s="27"/>
      <c r="C33" s="27"/>
      <c r="D33" s="27"/>
      <c r="E33" s="27"/>
      <c r="F33" s="27"/>
      <c r="G33" s="27"/>
      <c r="H33" s="27" t="s">
        <v>774</v>
      </c>
      <c r="I33" s="27"/>
      <c r="J33" s="28"/>
    </row>
    <row r="34" spans="1:10" x14ac:dyDescent="0.25">
      <c r="A34" s="27"/>
      <c r="B34" s="27"/>
      <c r="C34" s="27"/>
      <c r="D34" s="27"/>
      <c r="E34" s="27"/>
      <c r="F34" s="27"/>
      <c r="G34" s="27"/>
      <c r="H34" s="27"/>
      <c r="I34" s="27" t="s">
        <v>856</v>
      </c>
      <c r="J34" s="28">
        <v>105000</v>
      </c>
    </row>
    <row r="35" spans="1:10" x14ac:dyDescent="0.25">
      <c r="A35" s="27"/>
      <c r="B35" s="27"/>
      <c r="C35" s="27"/>
      <c r="D35" s="27"/>
      <c r="E35" s="27"/>
      <c r="F35" s="27"/>
      <c r="G35" s="27"/>
      <c r="H35" s="27"/>
      <c r="I35" s="27" t="s">
        <v>857</v>
      </c>
      <c r="J35" s="28">
        <v>14400</v>
      </c>
    </row>
    <row r="36" spans="1:10" ht="15.75" thickBot="1" x14ac:dyDescent="0.3">
      <c r="A36" s="27"/>
      <c r="B36" s="27"/>
      <c r="C36" s="27"/>
      <c r="D36" s="27"/>
      <c r="E36" s="27"/>
      <c r="F36" s="27"/>
      <c r="G36" s="27"/>
      <c r="H36" s="27"/>
      <c r="I36" s="27" t="s">
        <v>858</v>
      </c>
      <c r="J36" s="29">
        <v>3600</v>
      </c>
    </row>
    <row r="37" spans="1:10" x14ac:dyDescent="0.25">
      <c r="A37" s="27"/>
      <c r="B37" s="27"/>
      <c r="C37" s="27"/>
      <c r="D37" s="27"/>
      <c r="E37" s="27"/>
      <c r="F37" s="27"/>
      <c r="G37" s="27"/>
      <c r="H37" s="27" t="s">
        <v>859</v>
      </c>
      <c r="I37" s="27"/>
      <c r="J37" s="28">
        <f>ROUND(SUM(J33:J36),5)</f>
        <v>123000</v>
      </c>
    </row>
    <row r="38" spans="1:10" ht="30" customHeight="1" x14ac:dyDescent="0.25">
      <c r="A38" s="27"/>
      <c r="B38" s="27"/>
      <c r="C38" s="27"/>
      <c r="D38" s="27"/>
      <c r="E38" s="27"/>
      <c r="F38" s="27"/>
      <c r="G38" s="27"/>
      <c r="H38" s="27" t="s">
        <v>734</v>
      </c>
      <c r="I38" s="27"/>
      <c r="J38" s="28"/>
    </row>
    <row r="39" spans="1:10" x14ac:dyDescent="0.25">
      <c r="A39" s="27"/>
      <c r="B39" s="27"/>
      <c r="C39" s="27"/>
      <c r="D39" s="27"/>
      <c r="E39" s="27"/>
      <c r="F39" s="27"/>
      <c r="G39" s="27"/>
      <c r="H39" s="27"/>
      <c r="I39" s="27" t="s">
        <v>736</v>
      </c>
      <c r="J39" s="28">
        <v>135000</v>
      </c>
    </row>
    <row r="40" spans="1:10" x14ac:dyDescent="0.25">
      <c r="A40" s="27"/>
      <c r="B40" s="27"/>
      <c r="C40" s="27"/>
      <c r="D40" s="27"/>
      <c r="E40" s="27"/>
      <c r="F40" s="27"/>
      <c r="G40" s="27"/>
      <c r="H40" s="27"/>
      <c r="I40" s="27" t="s">
        <v>737</v>
      </c>
      <c r="J40" s="28">
        <v>13800</v>
      </c>
    </row>
    <row r="41" spans="1:10" ht="15.75" thickBot="1" x14ac:dyDescent="0.3">
      <c r="A41" s="27"/>
      <c r="B41" s="27"/>
      <c r="C41" s="27"/>
      <c r="D41" s="27"/>
      <c r="E41" s="27"/>
      <c r="F41" s="27"/>
      <c r="G41" s="27"/>
      <c r="H41" s="27"/>
      <c r="I41" s="27" t="s">
        <v>738</v>
      </c>
      <c r="J41" s="29">
        <v>3450</v>
      </c>
    </row>
    <row r="42" spans="1:10" x14ac:dyDescent="0.25">
      <c r="A42" s="27"/>
      <c r="B42" s="27"/>
      <c r="C42" s="27"/>
      <c r="D42" s="27"/>
      <c r="E42" s="27"/>
      <c r="F42" s="27"/>
      <c r="G42" s="27"/>
      <c r="H42" s="27" t="s">
        <v>739</v>
      </c>
      <c r="I42" s="27"/>
      <c r="J42" s="28">
        <f>ROUND(SUM(J38:J41),5)</f>
        <v>152250</v>
      </c>
    </row>
    <row r="43" spans="1:10" ht="30" customHeight="1" x14ac:dyDescent="0.25">
      <c r="A43" s="27"/>
      <c r="B43" s="27"/>
      <c r="C43" s="27"/>
      <c r="D43" s="27"/>
      <c r="E43" s="27"/>
      <c r="F43" s="27"/>
      <c r="G43" s="27"/>
      <c r="H43" s="27" t="s">
        <v>775</v>
      </c>
      <c r="I43" s="27"/>
      <c r="J43" s="28"/>
    </row>
    <row r="44" spans="1:10" x14ac:dyDescent="0.25">
      <c r="A44" s="27"/>
      <c r="B44" s="27"/>
      <c r="C44" s="27"/>
      <c r="D44" s="27"/>
      <c r="E44" s="27"/>
      <c r="F44" s="27"/>
      <c r="G44" s="27"/>
      <c r="H44" s="27"/>
      <c r="I44" s="27" t="s">
        <v>860</v>
      </c>
      <c r="J44" s="28">
        <v>227500</v>
      </c>
    </row>
    <row r="45" spans="1:10" x14ac:dyDescent="0.25">
      <c r="A45" s="27"/>
      <c r="B45" s="27"/>
      <c r="C45" s="27"/>
      <c r="D45" s="27"/>
      <c r="E45" s="27"/>
      <c r="F45" s="27"/>
      <c r="G45" s="27"/>
      <c r="H45" s="27"/>
      <c r="I45" s="27" t="s">
        <v>861</v>
      </c>
      <c r="J45" s="28">
        <v>22800</v>
      </c>
    </row>
    <row r="46" spans="1:10" ht="15.75" thickBot="1" x14ac:dyDescent="0.3">
      <c r="A46" s="27"/>
      <c r="B46" s="27"/>
      <c r="C46" s="27"/>
      <c r="D46" s="27"/>
      <c r="E46" s="27"/>
      <c r="F46" s="27"/>
      <c r="G46" s="27"/>
      <c r="H46" s="27"/>
      <c r="I46" s="27" t="s">
        <v>862</v>
      </c>
      <c r="J46" s="29">
        <v>5700</v>
      </c>
    </row>
    <row r="47" spans="1:10" x14ac:dyDescent="0.25">
      <c r="A47" s="27"/>
      <c r="B47" s="27"/>
      <c r="C47" s="27"/>
      <c r="D47" s="27"/>
      <c r="E47" s="27"/>
      <c r="F47" s="27"/>
      <c r="G47" s="27"/>
      <c r="H47" s="27" t="s">
        <v>863</v>
      </c>
      <c r="I47" s="27"/>
      <c r="J47" s="28">
        <f>ROUND(SUM(J43:J46),5)</f>
        <v>256000</v>
      </c>
    </row>
    <row r="48" spans="1:10" ht="30" customHeight="1" x14ac:dyDescent="0.25">
      <c r="A48" s="27"/>
      <c r="B48" s="27"/>
      <c r="C48" s="27"/>
      <c r="D48" s="27"/>
      <c r="E48" s="27"/>
      <c r="F48" s="27"/>
      <c r="G48" s="27"/>
      <c r="H48" s="27" t="s">
        <v>435</v>
      </c>
      <c r="I48" s="27"/>
      <c r="J48" s="28"/>
    </row>
    <row r="49" spans="1:10" x14ac:dyDescent="0.25">
      <c r="A49" s="27"/>
      <c r="B49" s="27"/>
      <c r="C49" s="27"/>
      <c r="D49" s="27"/>
      <c r="E49" s="27"/>
      <c r="F49" s="27"/>
      <c r="G49" s="27"/>
      <c r="H49" s="27"/>
      <c r="I49" s="27" t="s">
        <v>437</v>
      </c>
      <c r="J49" s="28">
        <v>406666.67</v>
      </c>
    </row>
    <row r="50" spans="1:10" x14ac:dyDescent="0.25">
      <c r="A50" s="27"/>
      <c r="B50" s="27"/>
      <c r="C50" s="27"/>
      <c r="D50" s="27"/>
      <c r="E50" s="27"/>
      <c r="F50" s="27"/>
      <c r="G50" s="27"/>
      <c r="H50" s="27"/>
      <c r="I50" s="27" t="s">
        <v>438</v>
      </c>
      <c r="J50" s="28">
        <v>37940</v>
      </c>
    </row>
    <row r="51" spans="1:10" ht="15.75" thickBot="1" x14ac:dyDescent="0.3">
      <c r="A51" s="27"/>
      <c r="B51" s="27"/>
      <c r="C51" s="27"/>
      <c r="D51" s="27"/>
      <c r="E51" s="27"/>
      <c r="F51" s="27"/>
      <c r="G51" s="27"/>
      <c r="H51" s="27"/>
      <c r="I51" s="27" t="s">
        <v>439</v>
      </c>
      <c r="J51" s="29">
        <v>9485</v>
      </c>
    </row>
    <row r="52" spans="1:10" x14ac:dyDescent="0.25">
      <c r="A52" s="27"/>
      <c r="B52" s="27"/>
      <c r="C52" s="27"/>
      <c r="D52" s="27"/>
      <c r="E52" s="27"/>
      <c r="F52" s="27"/>
      <c r="G52" s="27"/>
      <c r="H52" s="27" t="s">
        <v>440</v>
      </c>
      <c r="I52" s="27"/>
      <c r="J52" s="28">
        <f>ROUND(SUM(J48:J51),5)</f>
        <v>454091.67</v>
      </c>
    </row>
    <row r="53" spans="1:10" ht="30" customHeight="1" x14ac:dyDescent="0.25">
      <c r="A53" s="27"/>
      <c r="B53" s="27"/>
      <c r="C53" s="27"/>
      <c r="D53" s="27"/>
      <c r="E53" s="27"/>
      <c r="F53" s="27"/>
      <c r="G53" s="27"/>
      <c r="H53" s="27" t="s">
        <v>441</v>
      </c>
      <c r="I53" s="27"/>
      <c r="J53" s="28"/>
    </row>
    <row r="54" spans="1:10" x14ac:dyDescent="0.25">
      <c r="A54" s="27"/>
      <c r="B54" s="27"/>
      <c r="C54" s="27"/>
      <c r="D54" s="27"/>
      <c r="E54" s="27"/>
      <c r="F54" s="27"/>
      <c r="G54" s="27"/>
      <c r="H54" s="27"/>
      <c r="I54" s="27" t="s">
        <v>442</v>
      </c>
      <c r="J54" s="28">
        <v>425000</v>
      </c>
    </row>
    <row r="55" spans="1:10" x14ac:dyDescent="0.25">
      <c r="A55" s="27"/>
      <c r="B55" s="27"/>
      <c r="C55" s="27"/>
      <c r="D55" s="27"/>
      <c r="E55" s="27"/>
      <c r="F55" s="27"/>
      <c r="G55" s="27"/>
      <c r="H55" s="27"/>
      <c r="I55" s="27" t="s">
        <v>443</v>
      </c>
      <c r="J55" s="28">
        <v>152500</v>
      </c>
    </row>
    <row r="56" spans="1:10" x14ac:dyDescent="0.25">
      <c r="A56" s="27"/>
      <c r="B56" s="27"/>
      <c r="C56" s="27"/>
      <c r="D56" s="27"/>
      <c r="E56" s="27"/>
      <c r="F56" s="27"/>
      <c r="G56" s="27"/>
      <c r="H56" s="27"/>
      <c r="I56" s="27" t="s">
        <v>444</v>
      </c>
      <c r="J56" s="28">
        <v>9000</v>
      </c>
    </row>
    <row r="57" spans="1:10" ht="15.75" thickBot="1" x14ac:dyDescent="0.3">
      <c r="A57" s="27"/>
      <c r="B57" s="27"/>
      <c r="C57" s="27"/>
      <c r="D57" s="27"/>
      <c r="E57" s="27"/>
      <c r="F57" s="27"/>
      <c r="G57" s="27"/>
      <c r="H57" s="27"/>
      <c r="I57" s="27" t="s">
        <v>445</v>
      </c>
      <c r="J57" s="29">
        <v>2250</v>
      </c>
    </row>
    <row r="58" spans="1:10" x14ac:dyDescent="0.25">
      <c r="A58" s="27"/>
      <c r="B58" s="27"/>
      <c r="C58" s="27"/>
      <c r="D58" s="27"/>
      <c r="E58" s="27"/>
      <c r="F58" s="27"/>
      <c r="G58" s="27"/>
      <c r="H58" s="27" t="s">
        <v>446</v>
      </c>
      <c r="I58" s="27"/>
      <c r="J58" s="28">
        <f>ROUND(SUM(J53:J57),5)</f>
        <v>588750</v>
      </c>
    </row>
    <row r="59" spans="1:10" ht="30" customHeight="1" x14ac:dyDescent="0.25">
      <c r="A59" s="27"/>
      <c r="B59" s="27"/>
      <c r="C59" s="27"/>
      <c r="D59" s="27"/>
      <c r="E59" s="27"/>
      <c r="F59" s="27"/>
      <c r="G59" s="27"/>
      <c r="H59" s="27" t="s">
        <v>864</v>
      </c>
      <c r="I59" s="27"/>
      <c r="J59" s="28"/>
    </row>
    <row r="60" spans="1:10" x14ac:dyDescent="0.25">
      <c r="A60" s="27"/>
      <c r="B60" s="27"/>
      <c r="C60" s="27"/>
      <c r="D60" s="27"/>
      <c r="E60" s="27"/>
      <c r="F60" s="27"/>
      <c r="G60" s="27"/>
      <c r="H60" s="27"/>
      <c r="I60" s="27" t="s">
        <v>865</v>
      </c>
      <c r="J60" s="28">
        <v>1000</v>
      </c>
    </row>
    <row r="61" spans="1:10" ht="15.75" thickBot="1" x14ac:dyDescent="0.3">
      <c r="A61" s="27"/>
      <c r="B61" s="27"/>
      <c r="C61" s="27"/>
      <c r="D61" s="27"/>
      <c r="E61" s="27"/>
      <c r="F61" s="27"/>
      <c r="G61" s="27"/>
      <c r="H61" s="27"/>
      <c r="I61" s="27" t="s">
        <v>866</v>
      </c>
      <c r="J61" s="29">
        <v>3000</v>
      </c>
    </row>
    <row r="62" spans="1:10" x14ac:dyDescent="0.25">
      <c r="A62" s="27"/>
      <c r="B62" s="27"/>
      <c r="C62" s="27"/>
      <c r="D62" s="27"/>
      <c r="E62" s="27"/>
      <c r="F62" s="27"/>
      <c r="G62" s="27"/>
      <c r="H62" s="27" t="s">
        <v>867</v>
      </c>
      <c r="I62" s="27"/>
      <c r="J62" s="28">
        <f>ROUND(SUM(J59:J61),5)</f>
        <v>4000</v>
      </c>
    </row>
    <row r="63" spans="1:10" ht="30" customHeight="1" x14ac:dyDescent="0.25">
      <c r="A63" s="27"/>
      <c r="B63" s="27"/>
      <c r="C63" s="27"/>
      <c r="D63" s="27"/>
      <c r="E63" s="27"/>
      <c r="F63" s="27"/>
      <c r="G63" s="27"/>
      <c r="H63" s="27" t="s">
        <v>447</v>
      </c>
      <c r="I63" s="27"/>
      <c r="J63" s="28"/>
    </row>
    <row r="64" spans="1:10" x14ac:dyDescent="0.25">
      <c r="A64" s="27"/>
      <c r="B64" s="27"/>
      <c r="C64" s="27"/>
      <c r="D64" s="27"/>
      <c r="E64" s="27"/>
      <c r="F64" s="27"/>
      <c r="G64" s="27"/>
      <c r="H64" s="27"/>
      <c r="I64" s="27" t="s">
        <v>448</v>
      </c>
      <c r="J64" s="28">
        <v>162500</v>
      </c>
    </row>
    <row r="65" spans="1:10" x14ac:dyDescent="0.25">
      <c r="A65" s="27"/>
      <c r="B65" s="27"/>
      <c r="C65" s="27"/>
      <c r="D65" s="27"/>
      <c r="E65" s="27"/>
      <c r="F65" s="27"/>
      <c r="G65" s="27"/>
      <c r="H65" s="27"/>
      <c r="I65" s="27" t="s">
        <v>450</v>
      </c>
      <c r="J65" s="28">
        <v>15000</v>
      </c>
    </row>
    <row r="66" spans="1:10" ht="15.75" thickBot="1" x14ac:dyDescent="0.3">
      <c r="A66" s="27"/>
      <c r="B66" s="27"/>
      <c r="C66" s="27"/>
      <c r="D66" s="27"/>
      <c r="E66" s="27"/>
      <c r="F66" s="27"/>
      <c r="G66" s="27"/>
      <c r="H66" s="27"/>
      <c r="I66" s="27" t="s">
        <v>451</v>
      </c>
      <c r="J66" s="29">
        <v>3750</v>
      </c>
    </row>
    <row r="67" spans="1:10" x14ac:dyDescent="0.25">
      <c r="A67" s="27"/>
      <c r="B67" s="27"/>
      <c r="C67" s="27"/>
      <c r="D67" s="27"/>
      <c r="E67" s="27"/>
      <c r="F67" s="27"/>
      <c r="G67" s="27"/>
      <c r="H67" s="27" t="s">
        <v>452</v>
      </c>
      <c r="I67" s="27"/>
      <c r="J67" s="28">
        <f>ROUND(SUM(J63:J66),5)</f>
        <v>181250</v>
      </c>
    </row>
    <row r="68" spans="1:10" ht="30" customHeight="1" x14ac:dyDescent="0.25">
      <c r="A68" s="27"/>
      <c r="B68" s="27"/>
      <c r="C68" s="27"/>
      <c r="D68" s="27"/>
      <c r="E68" s="27"/>
      <c r="F68" s="27"/>
      <c r="G68" s="27"/>
      <c r="H68" s="27" t="s">
        <v>453</v>
      </c>
      <c r="I68" s="27"/>
      <c r="J68" s="28"/>
    </row>
    <row r="69" spans="1:10" x14ac:dyDescent="0.25">
      <c r="A69" s="27"/>
      <c r="B69" s="27"/>
      <c r="C69" s="27"/>
      <c r="D69" s="27"/>
      <c r="E69" s="27"/>
      <c r="F69" s="27"/>
      <c r="G69" s="27"/>
      <c r="H69" s="27"/>
      <c r="I69" s="27" t="s">
        <v>454</v>
      </c>
      <c r="J69" s="28">
        <v>2007999.99</v>
      </c>
    </row>
    <row r="70" spans="1:10" x14ac:dyDescent="0.25">
      <c r="A70" s="27"/>
      <c r="B70" s="27"/>
      <c r="C70" s="27"/>
      <c r="D70" s="27"/>
      <c r="E70" s="27"/>
      <c r="F70" s="27"/>
      <c r="G70" s="27"/>
      <c r="H70" s="27"/>
      <c r="I70" s="27" t="s">
        <v>456</v>
      </c>
      <c r="J70" s="28">
        <v>166600</v>
      </c>
    </row>
    <row r="71" spans="1:10" ht="15.75" thickBot="1" x14ac:dyDescent="0.3">
      <c r="A71" s="27"/>
      <c r="B71" s="27"/>
      <c r="C71" s="27"/>
      <c r="D71" s="27"/>
      <c r="E71" s="27"/>
      <c r="F71" s="27"/>
      <c r="G71" s="27"/>
      <c r="H71" s="27"/>
      <c r="I71" s="27" t="s">
        <v>457</v>
      </c>
      <c r="J71" s="29">
        <v>41650</v>
      </c>
    </row>
    <row r="72" spans="1:10" x14ac:dyDescent="0.25">
      <c r="A72" s="27"/>
      <c r="B72" s="27"/>
      <c r="C72" s="27"/>
      <c r="D72" s="27"/>
      <c r="E72" s="27"/>
      <c r="F72" s="27"/>
      <c r="G72" s="27"/>
      <c r="H72" s="27" t="s">
        <v>458</v>
      </c>
      <c r="I72" s="27"/>
      <c r="J72" s="28">
        <f>ROUND(SUM(J68:J71),5)</f>
        <v>2216249.9900000002</v>
      </c>
    </row>
    <row r="73" spans="1:10" ht="30" customHeight="1" x14ac:dyDescent="0.25">
      <c r="A73" s="27"/>
      <c r="B73" s="27"/>
      <c r="C73" s="27"/>
      <c r="D73" s="27"/>
      <c r="E73" s="27"/>
      <c r="F73" s="27"/>
      <c r="G73" s="27"/>
      <c r="H73" s="27" t="s">
        <v>817</v>
      </c>
      <c r="I73" s="27"/>
      <c r="J73" s="28"/>
    </row>
    <row r="74" spans="1:10" x14ac:dyDescent="0.25">
      <c r="A74" s="27"/>
      <c r="B74" s="27"/>
      <c r="C74" s="27"/>
      <c r="D74" s="27"/>
      <c r="E74" s="27"/>
      <c r="F74" s="27"/>
      <c r="G74" s="27"/>
      <c r="H74" s="27"/>
      <c r="I74" s="27" t="s">
        <v>868</v>
      </c>
      <c r="J74" s="28">
        <v>30000</v>
      </c>
    </row>
    <row r="75" spans="1:10" x14ac:dyDescent="0.25">
      <c r="A75" s="27"/>
      <c r="B75" s="27"/>
      <c r="C75" s="27"/>
      <c r="D75" s="27"/>
      <c r="E75" s="27"/>
      <c r="F75" s="27"/>
      <c r="G75" s="27"/>
      <c r="H75" s="27"/>
      <c r="I75" s="27" t="s">
        <v>869</v>
      </c>
      <c r="J75" s="28">
        <v>79708.33</v>
      </c>
    </row>
    <row r="76" spans="1:10" x14ac:dyDescent="0.25">
      <c r="A76" s="27"/>
      <c r="B76" s="27"/>
      <c r="C76" s="27"/>
      <c r="D76" s="27"/>
      <c r="E76" s="27"/>
      <c r="F76" s="27"/>
      <c r="G76" s="27"/>
      <c r="H76" s="27"/>
      <c r="I76" s="27" t="s">
        <v>870</v>
      </c>
      <c r="J76" s="28">
        <v>9565</v>
      </c>
    </row>
    <row r="77" spans="1:10" ht="15.75" thickBot="1" x14ac:dyDescent="0.3">
      <c r="A77" s="27"/>
      <c r="B77" s="27"/>
      <c r="C77" s="27"/>
      <c r="D77" s="27"/>
      <c r="E77" s="27"/>
      <c r="F77" s="27"/>
      <c r="G77" s="27"/>
      <c r="H77" s="27"/>
      <c r="I77" s="27" t="s">
        <v>871</v>
      </c>
      <c r="J77" s="29">
        <v>2391.25</v>
      </c>
    </row>
    <row r="78" spans="1:10" x14ac:dyDescent="0.25">
      <c r="A78" s="27"/>
      <c r="B78" s="27"/>
      <c r="C78" s="27"/>
      <c r="D78" s="27"/>
      <c r="E78" s="27"/>
      <c r="F78" s="27"/>
      <c r="G78" s="27"/>
      <c r="H78" s="27" t="s">
        <v>872</v>
      </c>
      <c r="I78" s="27"/>
      <c r="J78" s="28">
        <f>ROUND(SUM(J73:J77),5)</f>
        <v>121664.58</v>
      </c>
    </row>
    <row r="79" spans="1:10" ht="30" customHeight="1" x14ac:dyDescent="0.25">
      <c r="A79" s="27"/>
      <c r="B79" s="27"/>
      <c r="C79" s="27"/>
      <c r="D79" s="27"/>
      <c r="E79" s="27"/>
      <c r="F79" s="27"/>
      <c r="G79" s="27"/>
      <c r="H79" s="27" t="s">
        <v>698</v>
      </c>
      <c r="I79" s="27"/>
      <c r="J79" s="28"/>
    </row>
    <row r="80" spans="1:10" x14ac:dyDescent="0.25">
      <c r="A80" s="27"/>
      <c r="B80" s="27"/>
      <c r="C80" s="27"/>
      <c r="D80" s="27"/>
      <c r="E80" s="27"/>
      <c r="F80" s="27"/>
      <c r="G80" s="27"/>
      <c r="H80" s="27"/>
      <c r="I80" s="27" t="s">
        <v>700</v>
      </c>
      <c r="J80" s="28">
        <v>338759</v>
      </c>
    </row>
    <row r="81" spans="1:10" x14ac:dyDescent="0.25">
      <c r="A81" s="27"/>
      <c r="B81" s="27"/>
      <c r="C81" s="27"/>
      <c r="D81" s="27"/>
      <c r="E81" s="27"/>
      <c r="F81" s="27"/>
      <c r="G81" s="27"/>
      <c r="H81" s="27"/>
      <c r="I81" s="27" t="s">
        <v>701</v>
      </c>
      <c r="J81" s="28">
        <v>26970</v>
      </c>
    </row>
    <row r="82" spans="1:10" ht="15.75" thickBot="1" x14ac:dyDescent="0.3">
      <c r="A82" s="27"/>
      <c r="B82" s="27"/>
      <c r="C82" s="27"/>
      <c r="D82" s="27"/>
      <c r="E82" s="27"/>
      <c r="F82" s="27"/>
      <c r="G82" s="27"/>
      <c r="H82" s="27"/>
      <c r="I82" s="27" t="s">
        <v>702</v>
      </c>
      <c r="J82" s="29">
        <v>6742.5</v>
      </c>
    </row>
    <row r="83" spans="1:10" x14ac:dyDescent="0.25">
      <c r="A83" s="27"/>
      <c r="B83" s="27"/>
      <c r="C83" s="27"/>
      <c r="D83" s="27"/>
      <c r="E83" s="27"/>
      <c r="F83" s="27"/>
      <c r="G83" s="27"/>
      <c r="H83" s="27" t="s">
        <v>703</v>
      </c>
      <c r="I83" s="27"/>
      <c r="J83" s="28">
        <f>ROUND(SUM(J79:J82),5)</f>
        <v>372471.5</v>
      </c>
    </row>
    <row r="84" spans="1:10" ht="30" customHeight="1" x14ac:dyDescent="0.25">
      <c r="A84" s="27"/>
      <c r="B84" s="27"/>
      <c r="C84" s="27"/>
      <c r="D84" s="27"/>
      <c r="E84" s="27"/>
      <c r="F84" s="27"/>
      <c r="G84" s="27"/>
      <c r="H84" s="27" t="s">
        <v>459</v>
      </c>
      <c r="I84" s="27"/>
      <c r="J84" s="28"/>
    </row>
    <row r="85" spans="1:10" x14ac:dyDescent="0.25">
      <c r="A85" s="27"/>
      <c r="B85" s="27"/>
      <c r="C85" s="27"/>
      <c r="D85" s="27"/>
      <c r="E85" s="27"/>
      <c r="F85" s="27"/>
      <c r="G85" s="27"/>
      <c r="H85" s="27"/>
      <c r="I85" s="27" t="s">
        <v>461</v>
      </c>
      <c r="J85" s="28">
        <v>175000</v>
      </c>
    </row>
    <row r="86" spans="1:10" x14ac:dyDescent="0.25">
      <c r="A86" s="27"/>
      <c r="B86" s="27"/>
      <c r="C86" s="27"/>
      <c r="D86" s="27"/>
      <c r="E86" s="27"/>
      <c r="F86" s="27"/>
      <c r="G86" s="27"/>
      <c r="H86" s="27"/>
      <c r="I86" s="27" t="s">
        <v>462</v>
      </c>
      <c r="J86" s="28">
        <v>13800</v>
      </c>
    </row>
    <row r="87" spans="1:10" ht="15.75" thickBot="1" x14ac:dyDescent="0.3">
      <c r="A87" s="27"/>
      <c r="B87" s="27"/>
      <c r="C87" s="27"/>
      <c r="D87" s="27"/>
      <c r="E87" s="27"/>
      <c r="F87" s="27"/>
      <c r="G87" s="27"/>
      <c r="H87" s="27"/>
      <c r="I87" s="27" t="s">
        <v>463</v>
      </c>
      <c r="J87" s="29">
        <v>3450</v>
      </c>
    </row>
    <row r="88" spans="1:10" x14ac:dyDescent="0.25">
      <c r="A88" s="27"/>
      <c r="B88" s="27"/>
      <c r="C88" s="27"/>
      <c r="D88" s="27"/>
      <c r="E88" s="27"/>
      <c r="F88" s="27"/>
      <c r="G88" s="27"/>
      <c r="H88" s="27" t="s">
        <v>464</v>
      </c>
      <c r="I88" s="27"/>
      <c r="J88" s="28">
        <f>ROUND(SUM(J84:J87),5)</f>
        <v>192250</v>
      </c>
    </row>
    <row r="89" spans="1:10" ht="30" customHeight="1" x14ac:dyDescent="0.25">
      <c r="A89" s="27"/>
      <c r="B89" s="27"/>
      <c r="C89" s="27"/>
      <c r="D89" s="27"/>
      <c r="E89" s="27"/>
      <c r="F89" s="27"/>
      <c r="G89" s="27"/>
      <c r="H89" s="27" t="s">
        <v>776</v>
      </c>
      <c r="I89" s="27"/>
      <c r="J89" s="28"/>
    </row>
    <row r="90" spans="1:10" x14ac:dyDescent="0.25">
      <c r="A90" s="27"/>
      <c r="B90" s="27"/>
      <c r="C90" s="27"/>
      <c r="D90" s="27"/>
      <c r="E90" s="27"/>
      <c r="F90" s="27"/>
      <c r="G90" s="27"/>
      <c r="H90" s="27"/>
      <c r="I90" s="27" t="s">
        <v>873</v>
      </c>
      <c r="J90" s="28">
        <v>150500</v>
      </c>
    </row>
    <row r="91" spans="1:10" x14ac:dyDescent="0.25">
      <c r="A91" s="27"/>
      <c r="B91" s="27"/>
      <c r="C91" s="27"/>
      <c r="D91" s="27"/>
      <c r="E91" s="27"/>
      <c r="F91" s="27"/>
      <c r="G91" s="27"/>
      <c r="H91" s="27"/>
      <c r="I91" s="27" t="s">
        <v>874</v>
      </c>
      <c r="J91" s="28">
        <v>12300</v>
      </c>
    </row>
    <row r="92" spans="1:10" ht="15.75" thickBot="1" x14ac:dyDescent="0.3">
      <c r="A92" s="27"/>
      <c r="B92" s="27"/>
      <c r="C92" s="27"/>
      <c r="D92" s="27"/>
      <c r="E92" s="27"/>
      <c r="F92" s="27"/>
      <c r="G92" s="27"/>
      <c r="H92" s="27"/>
      <c r="I92" s="27" t="s">
        <v>875</v>
      </c>
      <c r="J92" s="29">
        <v>3075</v>
      </c>
    </row>
    <row r="93" spans="1:10" x14ac:dyDescent="0.25">
      <c r="A93" s="27"/>
      <c r="B93" s="27"/>
      <c r="C93" s="27"/>
      <c r="D93" s="27"/>
      <c r="E93" s="27"/>
      <c r="F93" s="27"/>
      <c r="G93" s="27"/>
      <c r="H93" s="27" t="s">
        <v>876</v>
      </c>
      <c r="I93" s="27"/>
      <c r="J93" s="28">
        <f>ROUND(SUM(J89:J92),5)</f>
        <v>165875</v>
      </c>
    </row>
    <row r="94" spans="1:10" ht="30" customHeight="1" x14ac:dyDescent="0.25">
      <c r="A94" s="27"/>
      <c r="B94" s="27"/>
      <c r="C94" s="27"/>
      <c r="D94" s="27"/>
      <c r="E94" s="27"/>
      <c r="F94" s="27"/>
      <c r="G94" s="27"/>
      <c r="H94" s="27" t="s">
        <v>684</v>
      </c>
      <c r="I94" s="27"/>
      <c r="J94" s="28"/>
    </row>
    <row r="95" spans="1:10" x14ac:dyDescent="0.25">
      <c r="A95" s="27"/>
      <c r="B95" s="27"/>
      <c r="C95" s="27"/>
      <c r="D95" s="27"/>
      <c r="E95" s="27"/>
      <c r="F95" s="27"/>
      <c r="G95" s="27"/>
      <c r="H95" s="27"/>
      <c r="I95" s="27" t="s">
        <v>685</v>
      </c>
      <c r="J95" s="28">
        <v>105500</v>
      </c>
    </row>
    <row r="96" spans="1:10" x14ac:dyDescent="0.25">
      <c r="A96" s="27"/>
      <c r="B96" s="27"/>
      <c r="C96" s="27"/>
      <c r="D96" s="27"/>
      <c r="E96" s="27"/>
      <c r="F96" s="27"/>
      <c r="G96" s="27"/>
      <c r="H96" s="27"/>
      <c r="I96" s="27" t="s">
        <v>687</v>
      </c>
      <c r="J96" s="28">
        <v>8700</v>
      </c>
    </row>
    <row r="97" spans="1:10" ht="15.75" thickBot="1" x14ac:dyDescent="0.3">
      <c r="A97" s="27"/>
      <c r="B97" s="27"/>
      <c r="C97" s="27"/>
      <c r="D97" s="27"/>
      <c r="E97" s="27"/>
      <c r="F97" s="27"/>
      <c r="G97" s="27"/>
      <c r="H97" s="27"/>
      <c r="I97" s="27" t="s">
        <v>688</v>
      </c>
      <c r="J97" s="29">
        <v>2175</v>
      </c>
    </row>
    <row r="98" spans="1:10" x14ac:dyDescent="0.25">
      <c r="A98" s="27"/>
      <c r="B98" s="27"/>
      <c r="C98" s="27"/>
      <c r="D98" s="27"/>
      <c r="E98" s="27"/>
      <c r="F98" s="27"/>
      <c r="G98" s="27"/>
      <c r="H98" s="27" t="s">
        <v>689</v>
      </c>
      <c r="I98" s="27"/>
      <c r="J98" s="28">
        <f>ROUND(SUM(J94:J97),5)</f>
        <v>116375</v>
      </c>
    </row>
    <row r="99" spans="1:10" ht="30" customHeight="1" x14ac:dyDescent="0.25">
      <c r="A99" s="27"/>
      <c r="B99" s="27"/>
      <c r="C99" s="27"/>
      <c r="D99" s="27"/>
      <c r="E99" s="27"/>
      <c r="F99" s="27"/>
      <c r="G99" s="27"/>
      <c r="H99" s="27" t="s">
        <v>742</v>
      </c>
      <c r="I99" s="27"/>
      <c r="J99" s="28"/>
    </row>
    <row r="100" spans="1:10" x14ac:dyDescent="0.25">
      <c r="A100" s="27"/>
      <c r="B100" s="27"/>
      <c r="C100" s="27"/>
      <c r="D100" s="27"/>
      <c r="E100" s="27"/>
      <c r="F100" s="27"/>
      <c r="G100" s="27"/>
      <c r="H100" s="27"/>
      <c r="I100" s="27" t="s">
        <v>877</v>
      </c>
      <c r="J100" s="28">
        <v>32425</v>
      </c>
    </row>
    <row r="101" spans="1:10" x14ac:dyDescent="0.25">
      <c r="A101" s="27"/>
      <c r="B101" s="27"/>
      <c r="C101" s="27"/>
      <c r="D101" s="27"/>
      <c r="E101" s="27"/>
      <c r="F101" s="27"/>
      <c r="G101" s="27"/>
      <c r="H101" s="27"/>
      <c r="I101" s="27" t="s">
        <v>878</v>
      </c>
      <c r="J101" s="28">
        <v>164166.66</v>
      </c>
    </row>
    <row r="102" spans="1:10" x14ac:dyDescent="0.25">
      <c r="A102" s="27"/>
      <c r="B102" s="27"/>
      <c r="C102" s="27"/>
      <c r="D102" s="27"/>
      <c r="E102" s="27"/>
      <c r="F102" s="27"/>
      <c r="G102" s="27"/>
      <c r="H102" s="27"/>
      <c r="I102" s="27" t="s">
        <v>879</v>
      </c>
      <c r="J102" s="28">
        <v>15900</v>
      </c>
    </row>
    <row r="103" spans="1:10" ht="15.75" thickBot="1" x14ac:dyDescent="0.3">
      <c r="A103" s="27"/>
      <c r="B103" s="27"/>
      <c r="C103" s="27"/>
      <c r="D103" s="27"/>
      <c r="E103" s="27"/>
      <c r="F103" s="27"/>
      <c r="G103" s="27"/>
      <c r="H103" s="27"/>
      <c r="I103" s="27" t="s">
        <v>880</v>
      </c>
      <c r="J103" s="29">
        <v>3975</v>
      </c>
    </row>
    <row r="104" spans="1:10" x14ac:dyDescent="0.25">
      <c r="A104" s="27"/>
      <c r="B104" s="27"/>
      <c r="C104" s="27"/>
      <c r="D104" s="27"/>
      <c r="E104" s="27"/>
      <c r="F104" s="27"/>
      <c r="G104" s="27"/>
      <c r="H104" s="27" t="s">
        <v>881</v>
      </c>
      <c r="I104" s="27"/>
      <c r="J104" s="28">
        <f>ROUND(SUM(J99:J103),5)</f>
        <v>216466.66</v>
      </c>
    </row>
    <row r="105" spans="1:10" ht="30" customHeight="1" x14ac:dyDescent="0.25">
      <c r="A105" s="27"/>
      <c r="B105" s="27"/>
      <c r="C105" s="27"/>
      <c r="D105" s="27"/>
      <c r="E105" s="27"/>
      <c r="F105" s="27"/>
      <c r="G105" s="27"/>
      <c r="H105" s="27" t="s">
        <v>777</v>
      </c>
      <c r="I105" s="27"/>
      <c r="J105" s="28"/>
    </row>
    <row r="106" spans="1:10" x14ac:dyDescent="0.25">
      <c r="A106" s="27"/>
      <c r="B106" s="27"/>
      <c r="C106" s="27"/>
      <c r="D106" s="27"/>
      <c r="E106" s="27"/>
      <c r="F106" s="27"/>
      <c r="G106" s="27"/>
      <c r="H106" s="27"/>
      <c r="I106" s="27" t="s">
        <v>882</v>
      </c>
      <c r="J106" s="28">
        <v>150000</v>
      </c>
    </row>
    <row r="107" spans="1:10" x14ac:dyDescent="0.25">
      <c r="A107" s="27"/>
      <c r="B107" s="27"/>
      <c r="C107" s="27"/>
      <c r="D107" s="27"/>
      <c r="E107" s="27"/>
      <c r="F107" s="27"/>
      <c r="G107" s="27"/>
      <c r="H107" s="27"/>
      <c r="I107" s="27" t="s">
        <v>883</v>
      </c>
      <c r="J107" s="28">
        <v>12000</v>
      </c>
    </row>
    <row r="108" spans="1:10" ht="15.75" thickBot="1" x14ac:dyDescent="0.3">
      <c r="A108" s="27"/>
      <c r="B108" s="27"/>
      <c r="C108" s="27"/>
      <c r="D108" s="27"/>
      <c r="E108" s="27"/>
      <c r="F108" s="27"/>
      <c r="G108" s="27"/>
      <c r="H108" s="27"/>
      <c r="I108" s="27" t="s">
        <v>884</v>
      </c>
      <c r="J108" s="29">
        <v>3000</v>
      </c>
    </row>
    <row r="109" spans="1:10" x14ac:dyDescent="0.25">
      <c r="A109" s="27"/>
      <c r="B109" s="27"/>
      <c r="C109" s="27"/>
      <c r="D109" s="27"/>
      <c r="E109" s="27"/>
      <c r="F109" s="27"/>
      <c r="G109" s="27"/>
      <c r="H109" s="27" t="s">
        <v>885</v>
      </c>
      <c r="I109" s="27"/>
      <c r="J109" s="28">
        <f>ROUND(SUM(J105:J108),5)</f>
        <v>165000</v>
      </c>
    </row>
    <row r="110" spans="1:10" ht="30" customHeight="1" x14ac:dyDescent="0.25">
      <c r="A110" s="27"/>
      <c r="B110" s="27"/>
      <c r="C110" s="27"/>
      <c r="D110" s="27"/>
      <c r="E110" s="27"/>
      <c r="F110" s="27"/>
      <c r="G110" s="27"/>
      <c r="H110" s="27" t="s">
        <v>778</v>
      </c>
      <c r="I110" s="27"/>
      <c r="J110" s="28"/>
    </row>
    <row r="111" spans="1:10" x14ac:dyDescent="0.25">
      <c r="A111" s="27"/>
      <c r="B111" s="27"/>
      <c r="C111" s="27"/>
      <c r="D111" s="27"/>
      <c r="E111" s="27"/>
      <c r="F111" s="27"/>
      <c r="G111" s="27"/>
      <c r="H111" s="27"/>
      <c r="I111" s="27" t="s">
        <v>886</v>
      </c>
      <c r="J111" s="28">
        <v>82500</v>
      </c>
    </row>
    <row r="112" spans="1:10" x14ac:dyDescent="0.25">
      <c r="A112" s="27"/>
      <c r="B112" s="27"/>
      <c r="C112" s="27"/>
      <c r="D112" s="27"/>
      <c r="E112" s="27"/>
      <c r="F112" s="27"/>
      <c r="G112" s="27"/>
      <c r="H112" s="27"/>
      <c r="I112" s="27" t="s">
        <v>887</v>
      </c>
      <c r="J112" s="28">
        <v>7500</v>
      </c>
    </row>
    <row r="113" spans="1:11" ht="15.75" thickBot="1" x14ac:dyDescent="0.3">
      <c r="A113" s="27"/>
      <c r="B113" s="27"/>
      <c r="C113" s="27"/>
      <c r="D113" s="27"/>
      <c r="E113" s="27"/>
      <c r="F113" s="27"/>
      <c r="G113" s="27"/>
      <c r="H113" s="27"/>
      <c r="I113" s="27" t="s">
        <v>888</v>
      </c>
      <c r="J113" s="30">
        <v>1875</v>
      </c>
    </row>
    <row r="114" spans="1:11" ht="15.75" thickBot="1" x14ac:dyDescent="0.3">
      <c r="A114" s="27"/>
      <c r="B114" s="27"/>
      <c r="C114" s="27"/>
      <c r="D114" s="27"/>
      <c r="E114" s="27"/>
      <c r="F114" s="27"/>
      <c r="G114" s="27"/>
      <c r="H114" s="27" t="s">
        <v>889</v>
      </c>
      <c r="I114" s="27"/>
      <c r="J114" s="33">
        <f>ROUND(SUM(J110:J113),5)</f>
        <v>91875</v>
      </c>
    </row>
    <row r="115" spans="1:11" ht="30" customHeight="1" x14ac:dyDescent="0.25">
      <c r="A115" s="27"/>
      <c r="B115" s="27"/>
      <c r="C115" s="27"/>
      <c r="D115" s="27"/>
      <c r="E115" s="27"/>
      <c r="F115" s="27"/>
      <c r="G115" s="27" t="s">
        <v>471</v>
      </c>
      <c r="H115" s="27"/>
      <c r="I115" s="27"/>
      <c r="J115" s="28">
        <f>ROUND(J27+J32+J37+J42+J47+J52+J58+J62+J67+J72+J78+J83+J88+J93+J98+J104+J109+J114,5)</f>
        <v>5654143.1500000004</v>
      </c>
    </row>
    <row r="116" spans="1:11" ht="30" customHeight="1" x14ac:dyDescent="0.25">
      <c r="A116" s="27"/>
      <c r="B116" s="27"/>
      <c r="C116" s="27"/>
      <c r="D116" s="27"/>
      <c r="E116" s="27"/>
      <c r="F116" s="27"/>
      <c r="G116" s="27" t="s">
        <v>779</v>
      </c>
      <c r="H116" s="27"/>
      <c r="I116" s="27"/>
      <c r="J116" s="28">
        <v>140681.71</v>
      </c>
    </row>
    <row r="117" spans="1:11" ht="15.75" thickBot="1" x14ac:dyDescent="0.3">
      <c r="A117" s="27"/>
      <c r="B117" s="27"/>
      <c r="C117" s="27"/>
      <c r="D117" s="27"/>
      <c r="E117" s="27"/>
      <c r="F117" s="27"/>
      <c r="G117" s="27" t="s">
        <v>839</v>
      </c>
      <c r="H117" s="27"/>
      <c r="I117" s="27"/>
      <c r="J117" s="29">
        <v>8363</v>
      </c>
    </row>
    <row r="118" spans="1:11" x14ac:dyDescent="0.25">
      <c r="A118" s="27"/>
      <c r="B118" s="27"/>
      <c r="C118" s="27"/>
      <c r="D118" s="27"/>
      <c r="E118" s="27"/>
      <c r="F118" s="27" t="s">
        <v>780</v>
      </c>
      <c r="G118" s="27"/>
      <c r="H118" s="27"/>
      <c r="I118" s="27"/>
      <c r="J118" s="28">
        <f>ROUND(J17+SUM(J21:J26)+SUM(J115:J117),5)</f>
        <v>6219749.9100000001</v>
      </c>
    </row>
    <row r="119" spans="1:11" ht="30" customHeight="1" x14ac:dyDescent="0.25">
      <c r="A119" s="27"/>
      <c r="B119" s="27"/>
      <c r="C119" s="27"/>
      <c r="D119" s="27"/>
      <c r="E119" s="27"/>
      <c r="F119" s="27" t="s">
        <v>781</v>
      </c>
      <c r="G119" s="27"/>
      <c r="H119" s="27"/>
      <c r="I119" s="27"/>
      <c r="J119" s="28"/>
    </row>
    <row r="120" spans="1:11" x14ac:dyDescent="0.25">
      <c r="A120" s="27"/>
      <c r="B120" s="27"/>
      <c r="C120" s="27"/>
      <c r="D120" s="27"/>
      <c r="E120" s="27"/>
      <c r="F120" s="27"/>
      <c r="G120" s="27" t="s">
        <v>718</v>
      </c>
      <c r="H120" s="27"/>
      <c r="I120" s="27"/>
      <c r="J120" s="28"/>
    </row>
    <row r="121" spans="1:11" ht="15.75" thickBot="1" x14ac:dyDescent="0.3">
      <c r="A121" s="27"/>
      <c r="B121" s="27"/>
      <c r="C121" s="27"/>
      <c r="D121" s="27"/>
      <c r="E121" s="27"/>
      <c r="F121" s="27"/>
      <c r="G121" s="27"/>
      <c r="H121" s="27" t="s">
        <v>783</v>
      </c>
      <c r="I121" s="27"/>
      <c r="J121" s="29">
        <v>137914.49</v>
      </c>
    </row>
    <row r="122" spans="1:11" x14ac:dyDescent="0.25">
      <c r="A122" s="27"/>
      <c r="B122" s="27"/>
      <c r="C122" s="27"/>
      <c r="D122" s="27"/>
      <c r="E122" s="27"/>
      <c r="F122" s="27"/>
      <c r="G122" s="27" t="s">
        <v>784</v>
      </c>
      <c r="H122" s="27"/>
      <c r="I122" s="27"/>
      <c r="J122" s="28">
        <f>ROUND(SUM(J120:J121),5)</f>
        <v>137914.49</v>
      </c>
    </row>
    <row r="123" spans="1:11" ht="30" customHeight="1" x14ac:dyDescent="0.25">
      <c r="A123" s="27"/>
      <c r="B123" s="27"/>
      <c r="C123" s="27"/>
      <c r="D123" s="27"/>
      <c r="E123" s="27"/>
      <c r="F123" s="27"/>
      <c r="G123" s="27" t="s">
        <v>786</v>
      </c>
      <c r="H123" s="27"/>
      <c r="I123" s="27"/>
      <c r="J123" s="28">
        <v>25335.3</v>
      </c>
    </row>
    <row r="124" spans="1:11" x14ac:dyDescent="0.25">
      <c r="A124" s="27"/>
      <c r="B124" s="27"/>
      <c r="C124" s="27"/>
      <c r="D124" s="27"/>
      <c r="E124" s="27"/>
      <c r="F124" s="27"/>
      <c r="G124" s="27" t="s">
        <v>787</v>
      </c>
      <c r="H124" s="27"/>
      <c r="I124" s="27"/>
      <c r="J124" s="28">
        <v>177381.78</v>
      </c>
    </row>
    <row r="125" spans="1:11" ht="15.75" thickBot="1" x14ac:dyDescent="0.3">
      <c r="A125" s="27"/>
      <c r="B125" s="27"/>
      <c r="C125" s="27"/>
      <c r="D125" s="27"/>
      <c r="E125" s="27"/>
      <c r="F125" s="27"/>
      <c r="G125" s="27" t="s">
        <v>788</v>
      </c>
      <c r="H125" s="27"/>
      <c r="I125" s="27"/>
      <c r="J125" s="29">
        <v>4294.9399999999996</v>
      </c>
    </row>
    <row r="126" spans="1:11" x14ac:dyDescent="0.25">
      <c r="A126" s="27"/>
      <c r="B126" s="27"/>
      <c r="C126" s="27"/>
      <c r="D126" s="27"/>
      <c r="E126" s="27"/>
      <c r="F126" s="27" t="s">
        <v>790</v>
      </c>
      <c r="G126" s="27"/>
      <c r="H126" s="27"/>
      <c r="I126" s="27"/>
      <c r="J126" s="28">
        <f>ROUND(J119+SUM(J122:J125),5)</f>
        <v>344926.51</v>
      </c>
      <c r="K126" s="23">
        <f>J126/147.27/1000</f>
        <v>2.3421369593264072</v>
      </c>
    </row>
    <row r="127" spans="1:11" ht="30" customHeight="1" x14ac:dyDescent="0.25">
      <c r="A127" s="27"/>
      <c r="B127" s="27"/>
      <c r="C127" s="27"/>
      <c r="D127" s="27"/>
      <c r="E127" s="27"/>
      <c r="F127" s="27" t="s">
        <v>849</v>
      </c>
      <c r="G127" s="27"/>
      <c r="H127" s="27"/>
      <c r="I127" s="27"/>
      <c r="J127" s="28"/>
    </row>
    <row r="128" spans="1:11" ht="15.75" thickBot="1" x14ac:dyDescent="0.3">
      <c r="A128" s="27"/>
      <c r="B128" s="27"/>
      <c r="C128" s="27"/>
      <c r="D128" s="27"/>
      <c r="E128" s="27"/>
      <c r="F128" s="27"/>
      <c r="G128" s="27" t="s">
        <v>850</v>
      </c>
      <c r="H128" s="27"/>
      <c r="I128" s="27"/>
      <c r="J128" s="29">
        <v>226528.8</v>
      </c>
    </row>
    <row r="129" spans="1:10" x14ac:dyDescent="0.25">
      <c r="A129" s="27"/>
      <c r="B129" s="27"/>
      <c r="C129" s="27"/>
      <c r="D129" s="27"/>
      <c r="E129" s="27"/>
      <c r="F129" s="27" t="s">
        <v>851</v>
      </c>
      <c r="G129" s="27"/>
      <c r="H129" s="27"/>
      <c r="I129" s="27"/>
      <c r="J129" s="28">
        <f>ROUND(SUM(J127:J128),5)</f>
        <v>226528.8</v>
      </c>
    </row>
    <row r="130" spans="1:10" ht="30" customHeight="1" x14ac:dyDescent="0.25">
      <c r="A130" s="27"/>
      <c r="B130" s="27"/>
      <c r="C130" s="27"/>
      <c r="D130" s="27"/>
      <c r="E130" s="27"/>
      <c r="F130" s="27" t="s">
        <v>797</v>
      </c>
      <c r="G130" s="27"/>
      <c r="H130" s="27"/>
      <c r="I130" s="27"/>
      <c r="J130" s="28"/>
    </row>
    <row r="131" spans="1:10" ht="15.75" thickBot="1" x14ac:dyDescent="0.3">
      <c r="A131" s="27"/>
      <c r="B131" s="27"/>
      <c r="C131" s="27"/>
      <c r="D131" s="27"/>
      <c r="E131" s="27"/>
      <c r="F131" s="27"/>
      <c r="G131" s="27" t="s">
        <v>798</v>
      </c>
      <c r="H131" s="27"/>
      <c r="I131" s="27"/>
      <c r="J131" s="29">
        <v>82390</v>
      </c>
    </row>
    <row r="132" spans="1:10" x14ac:dyDescent="0.25">
      <c r="A132" s="27"/>
      <c r="B132" s="27"/>
      <c r="C132" s="27"/>
      <c r="D132" s="27"/>
      <c r="E132" s="27"/>
      <c r="F132" s="27" t="s">
        <v>800</v>
      </c>
      <c r="G132" s="27"/>
      <c r="H132" s="27"/>
      <c r="I132" s="27"/>
      <c r="J132" s="28">
        <f>ROUND(SUM(J130:J131),5)</f>
        <v>82390</v>
      </c>
    </row>
    <row r="133" spans="1:10" ht="30" customHeight="1" x14ac:dyDescent="0.25">
      <c r="A133" s="27"/>
      <c r="B133" s="27"/>
      <c r="C133" s="27"/>
      <c r="D133" s="27"/>
      <c r="E133" s="27"/>
      <c r="F133" s="27" t="s">
        <v>801</v>
      </c>
      <c r="G133" s="27"/>
      <c r="H133" s="27"/>
      <c r="I133" s="27"/>
      <c r="J133" s="28"/>
    </row>
    <row r="134" spans="1:10" x14ac:dyDescent="0.25">
      <c r="A134" s="27"/>
      <c r="B134" s="27"/>
      <c r="C134" s="27"/>
      <c r="D134" s="27"/>
      <c r="E134" s="27"/>
      <c r="F134" s="27"/>
      <c r="G134" s="27" t="s">
        <v>802</v>
      </c>
      <c r="H134" s="27"/>
      <c r="I134" s="27"/>
      <c r="J134" s="28">
        <v>120191.15</v>
      </c>
    </row>
    <row r="135" spans="1:10" x14ac:dyDescent="0.25">
      <c r="A135" s="27"/>
      <c r="B135" s="27"/>
      <c r="C135" s="27"/>
      <c r="D135" s="27"/>
      <c r="E135" s="27"/>
      <c r="F135" s="27"/>
      <c r="G135" s="27" t="s">
        <v>803</v>
      </c>
      <c r="H135" s="27"/>
      <c r="I135" s="27"/>
      <c r="J135" s="28">
        <v>24370</v>
      </c>
    </row>
    <row r="136" spans="1:10" x14ac:dyDescent="0.25">
      <c r="A136" s="27"/>
      <c r="B136" s="27"/>
      <c r="C136" s="27"/>
      <c r="D136" s="27"/>
      <c r="E136" s="27"/>
      <c r="F136" s="27"/>
      <c r="G136" s="27" t="s">
        <v>804</v>
      </c>
      <c r="H136" s="27"/>
      <c r="I136" s="27"/>
      <c r="J136" s="28">
        <v>125000</v>
      </c>
    </row>
    <row r="137" spans="1:10" ht="15.75" thickBot="1" x14ac:dyDescent="0.3">
      <c r="A137" s="27"/>
      <c r="B137" s="27"/>
      <c r="C137" s="27"/>
      <c r="D137" s="27"/>
      <c r="E137" s="27"/>
      <c r="F137" s="27"/>
      <c r="G137" s="27" t="s">
        <v>826</v>
      </c>
      <c r="H137" s="27"/>
      <c r="I137" s="27"/>
      <c r="J137" s="30">
        <v>32714.32</v>
      </c>
    </row>
    <row r="138" spans="1:10" ht="15.75" thickBot="1" x14ac:dyDescent="0.3">
      <c r="A138" s="27"/>
      <c r="B138" s="27"/>
      <c r="C138" s="27"/>
      <c r="D138" s="27"/>
      <c r="E138" s="27"/>
      <c r="F138" s="27" t="s">
        <v>806</v>
      </c>
      <c r="G138" s="27"/>
      <c r="H138" s="27"/>
      <c r="I138" s="27"/>
      <c r="J138" s="33">
        <f>ROUND(SUM(J133:J137),5)</f>
        <v>302275.46999999997</v>
      </c>
    </row>
    <row r="139" spans="1:10" ht="30" customHeight="1" x14ac:dyDescent="0.25">
      <c r="A139" s="27"/>
      <c r="B139" s="27"/>
      <c r="C139" s="27"/>
      <c r="D139" s="27"/>
      <c r="E139" s="27" t="s">
        <v>807</v>
      </c>
      <c r="F139" s="27"/>
      <c r="G139" s="27"/>
      <c r="H139" s="27"/>
      <c r="I139" s="27"/>
      <c r="J139" s="28">
        <f>ROUND(J16+J118+J126+J129+J132+J138,5)</f>
        <v>7175870.6900000004</v>
      </c>
    </row>
    <row r="140" spans="1:10" ht="30" customHeight="1" x14ac:dyDescent="0.25">
      <c r="A140" s="27"/>
      <c r="B140" s="27"/>
      <c r="C140" s="27"/>
      <c r="D140" s="27"/>
      <c r="E140" s="27" t="s">
        <v>808</v>
      </c>
      <c r="F140" s="27"/>
      <c r="G140" s="27"/>
      <c r="H140" s="27"/>
      <c r="I140" s="27"/>
      <c r="J140" s="28"/>
    </row>
    <row r="141" spans="1:10" ht="15.75" thickBot="1" x14ac:dyDescent="0.3">
      <c r="A141" s="27"/>
      <c r="B141" s="27"/>
      <c r="C141" s="27"/>
      <c r="D141" s="27"/>
      <c r="E141" s="27"/>
      <c r="F141" s="27" t="s">
        <v>890</v>
      </c>
      <c r="G141" s="27"/>
      <c r="H141" s="27"/>
      <c r="I141" s="27"/>
      <c r="J141" s="30">
        <v>5055.33</v>
      </c>
    </row>
    <row r="142" spans="1:10" ht="15.75" thickBot="1" x14ac:dyDescent="0.3">
      <c r="A142" s="27"/>
      <c r="B142" s="27"/>
      <c r="C142" s="27"/>
      <c r="D142" s="27"/>
      <c r="E142" s="27" t="s">
        <v>811</v>
      </c>
      <c r="F142" s="27"/>
      <c r="G142" s="27"/>
      <c r="H142" s="27"/>
      <c r="I142" s="27"/>
      <c r="J142" s="34">
        <f>ROUND(SUM(J140:J141),5)</f>
        <v>5055.33</v>
      </c>
    </row>
    <row r="143" spans="1:10" ht="30" customHeight="1" thickBot="1" x14ac:dyDescent="0.3">
      <c r="A143" s="27"/>
      <c r="B143" s="27"/>
      <c r="C143" s="27"/>
      <c r="D143" s="27" t="s">
        <v>357</v>
      </c>
      <c r="E143" s="27"/>
      <c r="F143" s="27"/>
      <c r="G143" s="27"/>
      <c r="H143" s="27"/>
      <c r="I143" s="27"/>
      <c r="J143" s="34">
        <f>ROUND(J15+J139+J142,5)</f>
        <v>7180926.0199999996</v>
      </c>
    </row>
    <row r="144" spans="1:10" ht="30" customHeight="1" thickBot="1" x14ac:dyDescent="0.3">
      <c r="A144" s="27"/>
      <c r="B144" s="27" t="s">
        <v>358</v>
      </c>
      <c r="C144" s="27"/>
      <c r="D144" s="27"/>
      <c r="E144" s="27"/>
      <c r="F144" s="27"/>
      <c r="G144" s="27"/>
      <c r="H144" s="27"/>
      <c r="I144" s="27"/>
      <c r="J144" s="34">
        <f>ROUND(J2+J14-J143,5)</f>
        <v>2691833.73</v>
      </c>
    </row>
    <row r="145" spans="1:10" s="104" customFormat="1" ht="30" customHeight="1" thickBot="1" x14ac:dyDescent="0.25">
      <c r="A145" s="27" t="s">
        <v>372</v>
      </c>
      <c r="B145" s="27"/>
      <c r="C145" s="27"/>
      <c r="D145" s="27"/>
      <c r="E145" s="27"/>
      <c r="F145" s="27"/>
      <c r="G145" s="27"/>
      <c r="H145" s="27"/>
      <c r="I145" s="27"/>
      <c r="J145" s="35">
        <f>J144</f>
        <v>2691833.73</v>
      </c>
    </row>
    <row r="146" spans="1:10" ht="15.75" thickTop="1" x14ac:dyDescent="0.25"/>
  </sheetData>
  <pageMargins left="0.7" right="0.7" top="0.75" bottom="0.75" header="0.25" footer="0.3"/>
  <pageSetup orientation="portrait" r:id="rId1"/>
  <headerFooter>
    <oddHeader>&amp;L&amp;"Arial,Bold"&amp;8 3:46 AM
&amp;"Arial,Bold"&amp;8 09/01/16
&amp;"Arial,Bold"&amp;8 Accrual Basis&amp;C&amp;"Arial,Bold"&amp;12 TeKnowledge Shared Services (Pvt) Ltd
&amp;"Arial,Bold"&amp;14 Profit &amp;&amp; Loss
&amp;"Arial,Bold"&amp;10 July 29 through August 25, 2016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254978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254978" r:id="rId4" name="HEADER"/>
      </mc:Fallback>
    </mc:AlternateContent>
    <mc:AlternateContent xmlns:mc="http://schemas.openxmlformats.org/markup-compatibility/2006">
      <mc:Choice Requires="x14">
        <control shapeId="254977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254977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5</vt:i4>
      </vt:variant>
    </vt:vector>
  </HeadingPairs>
  <TitlesOfParts>
    <vt:vector size="30" baseType="lpstr">
      <vt:lpstr>KPM</vt:lpstr>
      <vt:lpstr>Summary</vt:lpstr>
      <vt:lpstr>P&amp;L2013</vt:lpstr>
      <vt:lpstr>P&amp;L13 update 27.1.14</vt:lpstr>
      <vt:lpstr>Summary Update 27.1.14</vt:lpstr>
      <vt:lpstr>KPM -  TeKSS </vt:lpstr>
      <vt:lpstr>P10</vt:lpstr>
      <vt:lpstr>P9</vt:lpstr>
      <vt:lpstr>P8</vt:lpstr>
      <vt:lpstr>P7</vt:lpstr>
      <vt:lpstr>P6</vt:lpstr>
      <vt:lpstr>P5</vt:lpstr>
      <vt:lpstr>P4</vt:lpstr>
      <vt:lpstr>P3</vt:lpstr>
      <vt:lpstr>P2</vt:lpstr>
      <vt:lpstr>P1</vt:lpstr>
      <vt:lpstr>KPM update - TFI </vt:lpstr>
      <vt:lpstr>TFI - Jan 2nd to 29th -  QB </vt:lpstr>
      <vt:lpstr>KPM update - TeKSS</vt:lpstr>
      <vt:lpstr>TFI &amp; TeKSS- Jul 3 - Jul 30</vt:lpstr>
      <vt:lpstr>TFI Apr3-Apr30</vt:lpstr>
      <vt:lpstr>KPM update 2014</vt:lpstr>
      <vt:lpstr>Salary Breakdown</vt:lpstr>
      <vt:lpstr>Appportionment Basis-Common cos</vt:lpstr>
      <vt:lpstr>Mail from Sam</vt:lpstr>
      <vt:lpstr>'KPM -  TeKSS '!Print_Area</vt:lpstr>
      <vt:lpstr>'P6'!Print_Titles</vt:lpstr>
      <vt:lpstr>'P8'!Print_Titles</vt:lpstr>
      <vt:lpstr>'P9'!Print_Titles</vt:lpstr>
      <vt:lpstr>'TFI - Jan 2nd to 29th -  QB 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Edward Gawlik</dc:creator>
  <cp:lastModifiedBy>Chathurangani</cp:lastModifiedBy>
  <cp:lastPrinted>2016-01-20T23:42:55Z</cp:lastPrinted>
  <dcterms:created xsi:type="dcterms:W3CDTF">2012-12-13T14:40:52Z</dcterms:created>
  <dcterms:modified xsi:type="dcterms:W3CDTF">2016-11-12T14:40:05Z</dcterms:modified>
</cp:coreProperties>
</file>